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trlProps/ctrlProp2.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trlProps/ctrlProp3.xml" ContentType="application/vnd.ms-excel.controlproperti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xml" ContentType="application/vnd.openxmlformats-officedocument.drawing+xml"/>
  <Override PartName="/xl/ctrlProps/ctrlProp4.xml" ContentType="application/vnd.ms-excel.controlproperti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trlProps/ctrlProp5.xml" ContentType="application/vnd.ms-excel.controlproperti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FEDERGON.COMBELL\Private\RDS-FolderRedirection$\RLCH\Desktop\"/>
    </mc:Choice>
  </mc:AlternateContent>
  <workbookProtection workbookAlgorithmName="SHA-512" workbookHashValue="rHLF1GojpskYHsh0R3v72EhwtsNaHCYd5bTCqG2wuzxVymv3wI8y1o1IJly0YMy58G764cFFD5mge5naiYwvLw==" workbookSaltValue="BqZWgPiK3OltpoauRY9ffw==" workbookSpinCount="100000" lockStructure="1"/>
  <bookViews>
    <workbookView xWindow="0" yWindow="0" windowWidth="19200" windowHeight="11460" tabRatio="924" activeTab="10"/>
  </bookViews>
  <sheets>
    <sheet name="Contents" sheetId="14" r:id="rId1"/>
    <sheet name="Total Employment" sheetId="1" r:id="rId2"/>
    <sheet name="Temp Employment" sheetId="22" state="hidden" r:id="rId3"/>
    <sheet name="Data-total_employment" sheetId="2" state="hidden" r:id="rId4"/>
    <sheet name="last_qrtr_totalemp" sheetId="29" state="hidden" r:id="rId5"/>
    <sheet name="data_validate_totalemp" sheetId="31" state="hidden" r:id="rId6"/>
    <sheet name="Temporary Employment" sheetId="8" r:id="rId7"/>
    <sheet name="Data-temp_employment" sheetId="6" state="hidden" r:id="rId8"/>
    <sheet name="last_qrtr_tempemp" sheetId="30" state="hidden" r:id="rId9"/>
    <sheet name="data_validate_tempemp" sheetId="32" state="hidden" r:id="rId10"/>
    <sheet name="Agency Work" sheetId="17" r:id="rId11"/>
    <sheet name="WEC data_formatted" sheetId="10" state="hidden" r:id="rId12"/>
    <sheet name="Agency Work Correlations" sheetId="25" state="hidden" r:id="rId13"/>
    <sheet name="Agency Work with correlation_2" sheetId="26" state="hidden" r:id="rId14"/>
    <sheet name="Notes" sheetId="11" r:id="rId15"/>
    <sheet name="data-processing-steps" sheetId="28" state="hidden" r:id="rId16"/>
    <sheet name="Notes_2" sheetId="27" state="hidden" r:id="rId17"/>
  </sheets>
  <externalReferences>
    <externalReference r:id="rId18"/>
  </externalReferences>
  <definedNames>
    <definedName name="an1cand" localSheetId="15">'data-processing-steps'!#REF!</definedName>
    <definedName name="percTemprange" localSheetId="15">#REF!</definedName>
    <definedName name="percTemprange">#REF!</definedName>
    <definedName name="Table1" localSheetId="15">#REF!</definedName>
    <definedName name="Table1">#REF!</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1004" i="17" l="1"/>
  <c r="AD1004" i="17"/>
  <c r="AC1004" i="17"/>
  <c r="AB1004" i="17"/>
  <c r="AA1004" i="17"/>
  <c r="Z1004" i="17"/>
  <c r="Y1004" i="17"/>
  <c r="W1004" i="17"/>
  <c r="V1004" i="17"/>
  <c r="U1004" i="17"/>
  <c r="T1004" i="17"/>
  <c r="S1004" i="17"/>
  <c r="R1004" i="17"/>
  <c r="Q1004" i="17"/>
  <c r="P1004" i="17"/>
  <c r="O1004" i="17"/>
  <c r="N1004" i="17"/>
  <c r="M1004" i="17"/>
  <c r="L1004" i="17"/>
  <c r="K1004" i="17"/>
  <c r="J1004" i="17"/>
  <c r="I1004" i="17"/>
  <c r="H1004" i="17"/>
  <c r="G1004" i="17"/>
  <c r="F1004" i="17"/>
  <c r="E1004" i="17"/>
  <c r="D1004" i="17"/>
  <c r="C1004" i="17"/>
  <c r="X1004" i="17"/>
  <c r="AV1005" i="17" l="1"/>
  <c r="AW1005" i="17"/>
  <c r="AX1005" i="17"/>
  <c r="AY1005" i="17"/>
  <c r="AZ1005" i="17"/>
  <c r="BA1005" i="17"/>
  <c r="BA1004" i="17"/>
  <c r="AZ1004" i="17"/>
  <c r="AY1004" i="17"/>
  <c r="AW1004" i="17"/>
  <c r="AV1004" i="17"/>
  <c r="AU1004" i="17"/>
  <c r="AT1004" i="17"/>
  <c r="AS1004" i="17"/>
  <c r="AR1004" i="17"/>
  <c r="AQ1004" i="17"/>
  <c r="AP1004" i="17"/>
  <c r="AO1004" i="17"/>
  <c r="AN1004" i="17"/>
  <c r="AM1004" i="17"/>
  <c r="AL1004" i="17"/>
  <c r="AK1004" i="17"/>
  <c r="AJ1004" i="17"/>
  <c r="AI1004" i="17"/>
  <c r="AH1004" i="17"/>
  <c r="AF1004" i="17"/>
  <c r="AG1004" i="17"/>
  <c r="AX1004" i="17"/>
  <c r="BA1003" i="17"/>
  <c r="AY1003" i="17"/>
  <c r="AX1003" i="17"/>
  <c r="AW1003" i="17"/>
  <c r="AV1003" i="17"/>
  <c r="AU1003" i="17"/>
  <c r="AT1003" i="17"/>
  <c r="AS1003" i="17"/>
  <c r="AR1003" i="17"/>
  <c r="AQ1003" i="17"/>
  <c r="AP1003" i="17"/>
  <c r="AO1003" i="17"/>
  <c r="AN1003" i="17"/>
  <c r="AM1003" i="17"/>
  <c r="AL1003" i="17"/>
  <c r="AK1003" i="17"/>
  <c r="AJ1003" i="17"/>
  <c r="AI1003" i="17"/>
  <c r="AH1003" i="17"/>
  <c r="AG1003" i="17"/>
  <c r="AF1003" i="17"/>
  <c r="AE1003" i="17"/>
  <c r="AD1003" i="17"/>
  <c r="AC1003" i="17"/>
  <c r="AB1003" i="17"/>
  <c r="AA1003" i="17"/>
  <c r="Z1003" i="17"/>
  <c r="Y1003" i="17"/>
  <c r="X1003" i="17"/>
  <c r="W1003" i="17"/>
  <c r="V1003" i="17"/>
  <c r="U1003" i="17"/>
  <c r="T1003" i="17"/>
  <c r="S1003" i="17"/>
  <c r="R1003" i="17"/>
  <c r="Q1003" i="17"/>
  <c r="P1003" i="17"/>
  <c r="O1003" i="17"/>
  <c r="N1003" i="17"/>
  <c r="M1003" i="17"/>
  <c r="L1003" i="17"/>
  <c r="K1003" i="17"/>
  <c r="J1003" i="17"/>
  <c r="I1003" i="17"/>
  <c r="H1003" i="17"/>
  <c r="G1003" i="17"/>
  <c r="F1003" i="17"/>
  <c r="D1003" i="17"/>
  <c r="E1003" i="17"/>
  <c r="C1003" i="17"/>
  <c r="AW1002" i="17"/>
  <c r="AX1002" i="17"/>
  <c r="AY1002" i="17"/>
  <c r="AZ1002" i="17"/>
  <c r="BA1002" i="17"/>
  <c r="AV1002" i="17"/>
  <c r="AY42" i="10"/>
  <c r="AZ42" i="10"/>
  <c r="BA42" i="10"/>
  <c r="AY39" i="10"/>
  <c r="AZ39" i="10"/>
  <c r="BA39" i="10"/>
  <c r="AW18" i="10"/>
  <c r="AX18" i="10"/>
  <c r="AY18" i="10"/>
  <c r="AZ18" i="10"/>
  <c r="BA18"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X42" i="10"/>
  <c r="W42" i="10"/>
  <c r="V42" i="10"/>
  <c r="U42" i="10"/>
  <c r="T42" i="10"/>
  <c r="S42" i="10"/>
  <c r="R42" i="10"/>
  <c r="Q42" i="10"/>
  <c r="P42" i="10"/>
  <c r="O42" i="10"/>
  <c r="N42" i="10"/>
  <c r="M42" i="10"/>
  <c r="L42" i="10"/>
  <c r="K42" i="10"/>
  <c r="J42" i="10"/>
  <c r="I42" i="10"/>
  <c r="H42" i="10"/>
  <c r="G42" i="10"/>
  <c r="F42" i="10"/>
  <c r="E42" i="10"/>
  <c r="D42" i="10"/>
  <c r="C42" i="10"/>
  <c r="AX39" i="10"/>
  <c r="AW39" i="10"/>
  <c r="AV39" i="10"/>
  <c r="AU39" i="10"/>
  <c r="AT39" i="10"/>
  <c r="AS39" i="10"/>
  <c r="AR39" i="10"/>
  <c r="AQ39" i="10"/>
  <c r="AP39" i="10"/>
  <c r="AO39" i="10"/>
  <c r="AN39" i="10"/>
  <c r="AM39" i="10"/>
  <c r="AL39" i="10"/>
  <c r="AK39" i="10"/>
  <c r="AJ39" i="10"/>
  <c r="AI39" i="10"/>
  <c r="AH39" i="10"/>
  <c r="AG39" i="10"/>
  <c r="AF39" i="10"/>
  <c r="AE39" i="10"/>
  <c r="AD39" i="10"/>
  <c r="AC39" i="10"/>
  <c r="AB39" i="10"/>
  <c r="AA39" i="10"/>
  <c r="Z39" i="10"/>
  <c r="Y39" i="10"/>
  <c r="X39" i="10"/>
  <c r="W39" i="10"/>
  <c r="V39" i="10"/>
  <c r="U39" i="10"/>
  <c r="T39" i="10"/>
  <c r="S39" i="10"/>
  <c r="R39" i="10"/>
  <c r="Q39" i="10"/>
  <c r="P39" i="10"/>
  <c r="O39" i="10"/>
  <c r="N39" i="10"/>
  <c r="M39" i="10"/>
  <c r="L39" i="10"/>
  <c r="K39" i="10"/>
  <c r="J39" i="10"/>
  <c r="I39" i="10"/>
  <c r="H39" i="10"/>
  <c r="G39" i="10"/>
  <c r="F39" i="10"/>
  <c r="E39" i="10"/>
  <c r="D39" i="10"/>
  <c r="C39"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D18" i="10"/>
  <c r="C18" i="10"/>
  <c r="AU1002" i="17" l="1"/>
  <c r="C1002" i="17"/>
  <c r="AT1002" i="17" l="1"/>
  <c r="AT1005" i="17" s="1"/>
  <c r="B1004" i="17"/>
  <c r="AU1005" i="17" l="1"/>
  <c r="AS1002" i="17"/>
  <c r="AS1005" i="17" s="1"/>
  <c r="AR1002" i="17" l="1"/>
  <c r="AR1005" i="17" s="1"/>
  <c r="C4" i="31" l="1"/>
  <c r="BL10" i="2"/>
  <c r="AC23" i="26" l="1"/>
  <c r="AD23" i="26"/>
  <c r="AC20" i="26"/>
  <c r="Z17" i="26"/>
  <c r="Y18" i="26"/>
  <c r="AD14" i="26"/>
  <c r="AB13" i="26"/>
  <c r="AC13" i="26"/>
  <c r="AD13" i="26"/>
  <c r="Y16" i="26"/>
  <c r="Z16" i="26"/>
  <c r="Y14" i="26"/>
  <c r="Z14" i="26"/>
  <c r="D1003" i="26"/>
  <c r="F1003" i="26"/>
  <c r="D42" i="31"/>
  <c r="C42" i="31"/>
  <c r="AU42" i="31"/>
  <c r="L4" i="31"/>
  <c r="L47" i="31" s="1"/>
  <c r="F7" i="31"/>
  <c r="G47" i="2"/>
  <c r="L55" i="2"/>
  <c r="BT19" i="2"/>
  <c r="OU11" i="32"/>
  <c r="OT10" i="32"/>
  <c r="OU10" i="32"/>
  <c r="OV10" i="32"/>
  <c r="OW10" i="32"/>
  <c r="OX10" i="32"/>
  <c r="OY10" i="32"/>
  <c r="OZ10" i="32"/>
  <c r="PA10" i="32"/>
  <c r="PB10" i="32"/>
  <c r="PC10" i="32"/>
  <c r="OT9" i="32"/>
  <c r="OX30" i="32"/>
  <c r="PC42" i="32"/>
  <c r="PB42" i="32"/>
  <c r="PA42" i="32"/>
  <c r="OZ42" i="32"/>
  <c r="OY42" i="32"/>
  <c r="OX42" i="32"/>
  <c r="OW42" i="32"/>
  <c r="OV42" i="32"/>
  <c r="OU42" i="32"/>
  <c r="OT42" i="32"/>
  <c r="PC41" i="32"/>
  <c r="PB41" i="32"/>
  <c r="PA41" i="32"/>
  <c r="OZ41" i="32"/>
  <c r="OY41" i="32"/>
  <c r="OX41" i="32"/>
  <c r="OW41" i="32"/>
  <c r="OV41" i="32"/>
  <c r="OU41" i="32"/>
  <c r="OT41" i="32"/>
  <c r="PC40" i="32"/>
  <c r="PB40" i="32"/>
  <c r="PA40" i="32"/>
  <c r="OZ40" i="32"/>
  <c r="OY40" i="32"/>
  <c r="OX40" i="32"/>
  <c r="OW40" i="32"/>
  <c r="OV40" i="32"/>
  <c r="OU40" i="32"/>
  <c r="OT40" i="32"/>
  <c r="PC39" i="32"/>
  <c r="PB39" i="32"/>
  <c r="PA39" i="32"/>
  <c r="OZ39" i="32"/>
  <c r="OY39" i="32"/>
  <c r="OX39" i="32"/>
  <c r="OW39" i="32"/>
  <c r="OV39" i="32"/>
  <c r="OU39" i="32"/>
  <c r="OT39" i="32"/>
  <c r="PC38" i="32"/>
  <c r="PB38" i="32"/>
  <c r="PA38" i="32"/>
  <c r="OZ38" i="32"/>
  <c r="OY38" i="32"/>
  <c r="OX38" i="32"/>
  <c r="OW38" i="32"/>
  <c r="OV38" i="32"/>
  <c r="OU38" i="32"/>
  <c r="OT38" i="32"/>
  <c r="PC37" i="32"/>
  <c r="PB37" i="32"/>
  <c r="PA37" i="32"/>
  <c r="OZ37" i="32"/>
  <c r="OY37" i="32"/>
  <c r="OX37" i="32"/>
  <c r="OW37" i="32"/>
  <c r="OV37" i="32"/>
  <c r="OU37" i="32"/>
  <c r="OT37" i="32"/>
  <c r="PC36" i="32"/>
  <c r="PB36" i="32"/>
  <c r="PA36" i="32"/>
  <c r="OZ36" i="32"/>
  <c r="OY36" i="32"/>
  <c r="OX36" i="32"/>
  <c r="OW36" i="32"/>
  <c r="OV36" i="32"/>
  <c r="OU36" i="32"/>
  <c r="OT36" i="32"/>
  <c r="PC35" i="32"/>
  <c r="PB35" i="32"/>
  <c r="PA35" i="32"/>
  <c r="OZ35" i="32"/>
  <c r="OY35" i="32"/>
  <c r="OX35" i="32"/>
  <c r="OW35" i="32"/>
  <c r="OV35" i="32"/>
  <c r="OU35" i="32"/>
  <c r="OT35" i="32"/>
  <c r="PC34" i="32"/>
  <c r="PB34" i="32"/>
  <c r="PA34" i="32"/>
  <c r="OZ34" i="32"/>
  <c r="OY34" i="32"/>
  <c r="OX34" i="32"/>
  <c r="OW34" i="32"/>
  <c r="OV34" i="32"/>
  <c r="OU34" i="32"/>
  <c r="OT34" i="32"/>
  <c r="PC33" i="32"/>
  <c r="PB33" i="32"/>
  <c r="PA33" i="32"/>
  <c r="OZ33" i="32"/>
  <c r="OY33" i="32"/>
  <c r="OX33" i="32"/>
  <c r="OW33" i="32"/>
  <c r="OV33" i="32"/>
  <c r="OU33" i="32"/>
  <c r="OT33" i="32"/>
  <c r="PC32" i="32"/>
  <c r="PB32" i="32"/>
  <c r="PA32" i="32"/>
  <c r="OZ32" i="32"/>
  <c r="OY32" i="32"/>
  <c r="OX32" i="32"/>
  <c r="OW32" i="32"/>
  <c r="OV32" i="32"/>
  <c r="OU32" i="32"/>
  <c r="OT32" i="32"/>
  <c r="PC31" i="32"/>
  <c r="PB31" i="32"/>
  <c r="PA31" i="32"/>
  <c r="OZ31" i="32"/>
  <c r="OY31" i="32"/>
  <c r="OX31" i="32"/>
  <c r="OW31" i="32"/>
  <c r="OV31" i="32"/>
  <c r="OU31" i="32"/>
  <c r="OT31" i="32"/>
  <c r="PC30" i="32"/>
  <c r="PB30" i="32"/>
  <c r="PA30" i="32"/>
  <c r="OZ30" i="32"/>
  <c r="OY30" i="32"/>
  <c r="OW30" i="32"/>
  <c r="OV30" i="32"/>
  <c r="OU30" i="32"/>
  <c r="OT30" i="32"/>
  <c r="PC29" i="32"/>
  <c r="PB29" i="32"/>
  <c r="PA29" i="32"/>
  <c r="OZ29" i="32"/>
  <c r="OY29" i="32"/>
  <c r="OX29" i="32"/>
  <c r="OW29" i="32"/>
  <c r="OV29" i="32"/>
  <c r="OU29" i="32"/>
  <c r="OT29" i="32"/>
  <c r="PC28" i="32"/>
  <c r="PB28" i="32"/>
  <c r="PA28" i="32"/>
  <c r="OZ28" i="32"/>
  <c r="OY28" i="32"/>
  <c r="OX28" i="32"/>
  <c r="OW28" i="32"/>
  <c r="OV28" i="32"/>
  <c r="OU28" i="32"/>
  <c r="OT28" i="32"/>
  <c r="PC27" i="32"/>
  <c r="PB27" i="32"/>
  <c r="PA27" i="32"/>
  <c r="OZ27" i="32"/>
  <c r="OY27" i="32"/>
  <c r="OX27" i="32"/>
  <c r="OW27" i="32"/>
  <c r="OV27" i="32"/>
  <c r="OU27" i="32"/>
  <c r="OT27" i="32"/>
  <c r="PC26" i="32"/>
  <c r="PB26" i="32"/>
  <c r="PA26" i="32"/>
  <c r="OZ26" i="32"/>
  <c r="OY26" i="32"/>
  <c r="OX26" i="32"/>
  <c r="OW26" i="32"/>
  <c r="OV26" i="32"/>
  <c r="OU26" i="32"/>
  <c r="OT26" i="32"/>
  <c r="PC25" i="32"/>
  <c r="PB25" i="32"/>
  <c r="PA25" i="32"/>
  <c r="OZ25" i="32"/>
  <c r="OY25" i="32"/>
  <c r="OX25" i="32"/>
  <c r="OW25" i="32"/>
  <c r="OV25" i="32"/>
  <c r="OU25" i="32"/>
  <c r="OT25" i="32"/>
  <c r="PC24" i="32"/>
  <c r="PB24" i="32"/>
  <c r="PA24" i="32"/>
  <c r="OZ24" i="32"/>
  <c r="OY24" i="32"/>
  <c r="OX24" i="32"/>
  <c r="OW24" i="32"/>
  <c r="OV24" i="32"/>
  <c r="OU24" i="32"/>
  <c r="OT24" i="32"/>
  <c r="PC23" i="32"/>
  <c r="PB23" i="32"/>
  <c r="PA23" i="32"/>
  <c r="OZ23" i="32"/>
  <c r="OY23" i="32"/>
  <c r="OX23" i="32"/>
  <c r="OW23" i="32"/>
  <c r="OV23" i="32"/>
  <c r="OU23" i="32"/>
  <c r="OT23" i="32"/>
  <c r="PC22" i="32"/>
  <c r="PB22" i="32"/>
  <c r="PA22" i="32"/>
  <c r="OZ22" i="32"/>
  <c r="OY22" i="32"/>
  <c r="OX22" i="32"/>
  <c r="OW22" i="32"/>
  <c r="OV22" i="32"/>
  <c r="OU22" i="32"/>
  <c r="OT22" i="32"/>
  <c r="PC21" i="32"/>
  <c r="PB21" i="32"/>
  <c r="PA21" i="32"/>
  <c r="OZ21" i="32"/>
  <c r="OY21" i="32"/>
  <c r="OX21" i="32"/>
  <c r="OW21" i="32"/>
  <c r="OV21" i="32"/>
  <c r="OU21" i="32"/>
  <c r="OT21" i="32"/>
  <c r="PC20" i="32"/>
  <c r="PB20" i="32"/>
  <c r="PA20" i="32"/>
  <c r="OZ20" i="32"/>
  <c r="OY20" i="32"/>
  <c r="OX20" i="32"/>
  <c r="OW20" i="32"/>
  <c r="OV20" i="32"/>
  <c r="OU20" i="32"/>
  <c r="OT20" i="32"/>
  <c r="PC19" i="32"/>
  <c r="PB19" i="32"/>
  <c r="PA19" i="32"/>
  <c r="OZ19" i="32"/>
  <c r="OY19" i="32"/>
  <c r="OX19" i="32"/>
  <c r="OW19" i="32"/>
  <c r="OV19" i="32"/>
  <c r="OU19" i="32"/>
  <c r="OT19" i="32"/>
  <c r="PC18" i="32"/>
  <c r="PB18" i="32"/>
  <c r="PA18" i="32"/>
  <c r="OZ18" i="32"/>
  <c r="OY18" i="32"/>
  <c r="OX18" i="32"/>
  <c r="OW18" i="32"/>
  <c r="OV18" i="32"/>
  <c r="OU18" i="32"/>
  <c r="OT18" i="32"/>
  <c r="PC17" i="32"/>
  <c r="PB17" i="32"/>
  <c r="PA17" i="32"/>
  <c r="OZ17" i="32"/>
  <c r="OY17" i="32"/>
  <c r="OX17" i="32"/>
  <c r="OW17" i="32"/>
  <c r="OV17" i="32"/>
  <c r="OU17" i="32"/>
  <c r="OT17" i="32"/>
  <c r="PC16" i="32"/>
  <c r="PB16" i="32"/>
  <c r="PA16" i="32"/>
  <c r="OZ16" i="32"/>
  <c r="OY16" i="32"/>
  <c r="OX16" i="32"/>
  <c r="OW16" i="32"/>
  <c r="OV16" i="32"/>
  <c r="OU16" i="32"/>
  <c r="OT16" i="32"/>
  <c r="PC15" i="32"/>
  <c r="PB15" i="32"/>
  <c r="PA15" i="32"/>
  <c r="OZ15" i="32"/>
  <c r="OY15" i="32"/>
  <c r="OX15" i="32"/>
  <c r="OW15" i="32"/>
  <c r="OV15" i="32"/>
  <c r="OU15" i="32"/>
  <c r="OT15" i="32"/>
  <c r="PC14" i="32"/>
  <c r="PB14" i="32"/>
  <c r="PA14" i="32"/>
  <c r="OZ14" i="32"/>
  <c r="OY14" i="32"/>
  <c r="OX14" i="32"/>
  <c r="OW14" i="32"/>
  <c r="OV14" i="32"/>
  <c r="OU14" i="32"/>
  <c r="OT14" i="32"/>
  <c r="PC13" i="32"/>
  <c r="PB13" i="32"/>
  <c r="PA13" i="32"/>
  <c r="OZ13" i="32"/>
  <c r="OY13" i="32"/>
  <c r="OX13" i="32"/>
  <c r="OW13" i="32"/>
  <c r="OV13" i="32"/>
  <c r="OU13" i="32"/>
  <c r="OT13" i="32"/>
  <c r="PC12" i="32"/>
  <c r="PB12" i="32"/>
  <c r="PA12" i="32"/>
  <c r="OZ12" i="32"/>
  <c r="OY12" i="32"/>
  <c r="OX12" i="32"/>
  <c r="OW12" i="32"/>
  <c r="OV12" i="32"/>
  <c r="OU12" i="32"/>
  <c r="OT12" i="32"/>
  <c r="PC11" i="32"/>
  <c r="PB11" i="32"/>
  <c r="PA11" i="32"/>
  <c r="OZ11" i="32"/>
  <c r="OY11" i="32"/>
  <c r="OX11" i="32"/>
  <c r="OW11" i="32"/>
  <c r="OV11" i="32"/>
  <c r="OT11" i="32"/>
  <c r="PC9" i="32"/>
  <c r="PB9" i="32"/>
  <c r="PA9" i="32"/>
  <c r="OZ9" i="32"/>
  <c r="OY9" i="32"/>
  <c r="OX9" i="32"/>
  <c r="OW9" i="32"/>
  <c r="OV9" i="32"/>
  <c r="OU9" i="32"/>
  <c r="PC8" i="32"/>
  <c r="PB8" i="32"/>
  <c r="PA8" i="32"/>
  <c r="OZ8" i="32"/>
  <c r="OY8" i="32"/>
  <c r="OX8" i="32"/>
  <c r="OW8" i="32"/>
  <c r="OV8" i="32"/>
  <c r="OU8" i="32"/>
  <c r="OT8" i="32"/>
  <c r="PC7" i="32"/>
  <c r="PB7" i="32"/>
  <c r="PA7" i="32"/>
  <c r="OZ7" i="32"/>
  <c r="OY7" i="32"/>
  <c r="OX7" i="32"/>
  <c r="OW7" i="32"/>
  <c r="OV7" i="32"/>
  <c r="OU7" i="32"/>
  <c r="OT7" i="32"/>
  <c r="PC6" i="32"/>
  <c r="PB6" i="32"/>
  <c r="PA6" i="32"/>
  <c r="OZ6" i="32"/>
  <c r="OY6" i="32"/>
  <c r="OX6" i="32"/>
  <c r="OW6" i="32"/>
  <c r="OV6" i="32"/>
  <c r="OU6" i="32"/>
  <c r="OT6" i="32"/>
  <c r="PC5" i="32"/>
  <c r="PB5" i="32"/>
  <c r="PA5" i="32"/>
  <c r="OZ5" i="32"/>
  <c r="OY5" i="32"/>
  <c r="OX5" i="32"/>
  <c r="OW5" i="32"/>
  <c r="OV5" i="32"/>
  <c r="OU5" i="32"/>
  <c r="OT5" i="32"/>
  <c r="PC4" i="32"/>
  <c r="PB4" i="32"/>
  <c r="PA4" i="32"/>
  <c r="OZ4" i="32"/>
  <c r="OY4" i="32"/>
  <c r="OX4" i="32"/>
  <c r="OW4" i="32"/>
  <c r="OV4" i="32"/>
  <c r="OU4" i="32"/>
  <c r="OT4" i="32"/>
  <c r="OG42" i="32"/>
  <c r="OF42" i="32"/>
  <c r="OE42" i="32"/>
  <c r="OD42" i="32"/>
  <c r="OC42" i="32"/>
  <c r="OB42" i="32"/>
  <c r="OA42" i="32"/>
  <c r="NZ42" i="32"/>
  <c r="NY42" i="32"/>
  <c r="NX42" i="32"/>
  <c r="OG41" i="32"/>
  <c r="OF41" i="32"/>
  <c r="OE41" i="32"/>
  <c r="OD41" i="32"/>
  <c r="OC41" i="32"/>
  <c r="OB41" i="32"/>
  <c r="OA41" i="32"/>
  <c r="NZ41" i="32"/>
  <c r="NY41" i="32"/>
  <c r="NX41" i="32"/>
  <c r="OG40" i="32"/>
  <c r="OF40" i="32"/>
  <c r="OE40" i="32"/>
  <c r="OD40" i="32"/>
  <c r="OC40" i="32"/>
  <c r="OB40" i="32"/>
  <c r="OA40" i="32"/>
  <c r="NZ40" i="32"/>
  <c r="NY40" i="32"/>
  <c r="NX40" i="32"/>
  <c r="OG39" i="32"/>
  <c r="OF39" i="32"/>
  <c r="OE39" i="32"/>
  <c r="OD39" i="32"/>
  <c r="OC39" i="32"/>
  <c r="OB39" i="32"/>
  <c r="OA39" i="32"/>
  <c r="NZ39" i="32"/>
  <c r="NY39" i="32"/>
  <c r="NX39" i="32"/>
  <c r="OG38" i="32"/>
  <c r="OF38" i="32"/>
  <c r="OE38" i="32"/>
  <c r="OD38" i="32"/>
  <c r="OC38" i="32"/>
  <c r="OB38" i="32"/>
  <c r="OA38" i="32"/>
  <c r="NZ38" i="32"/>
  <c r="NY38" i="32"/>
  <c r="NX38" i="32"/>
  <c r="OG37" i="32"/>
  <c r="OF37" i="32"/>
  <c r="OE37" i="32"/>
  <c r="OD37" i="32"/>
  <c r="OC37" i="32"/>
  <c r="OB37" i="32"/>
  <c r="OA37" i="32"/>
  <c r="NZ37" i="32"/>
  <c r="NY37" i="32"/>
  <c r="NX37" i="32"/>
  <c r="OG36" i="32"/>
  <c r="OF36" i="32"/>
  <c r="OE36" i="32"/>
  <c r="OD36" i="32"/>
  <c r="OC36" i="32"/>
  <c r="OB36" i="32"/>
  <c r="OA36" i="32"/>
  <c r="NZ36" i="32"/>
  <c r="NY36" i="32"/>
  <c r="NX36" i="32"/>
  <c r="OG35" i="32"/>
  <c r="OF35" i="32"/>
  <c r="OE35" i="32"/>
  <c r="OD35" i="32"/>
  <c r="OC35" i="32"/>
  <c r="OB35" i="32"/>
  <c r="OA35" i="32"/>
  <c r="NZ35" i="32"/>
  <c r="NY35" i="32"/>
  <c r="NX35" i="32"/>
  <c r="OG34" i="32"/>
  <c r="OF34" i="32"/>
  <c r="OE34" i="32"/>
  <c r="OD34" i="32"/>
  <c r="OC34" i="32"/>
  <c r="OB34" i="32"/>
  <c r="OA34" i="32"/>
  <c r="NZ34" i="32"/>
  <c r="NY34" i="32"/>
  <c r="NX34" i="32"/>
  <c r="OG33" i="32"/>
  <c r="OF33" i="32"/>
  <c r="OE33" i="32"/>
  <c r="OD33" i="32"/>
  <c r="OC33" i="32"/>
  <c r="OB33" i="32"/>
  <c r="OA33" i="32"/>
  <c r="NZ33" i="32"/>
  <c r="NY33" i="32"/>
  <c r="NX33" i="32"/>
  <c r="OG32" i="32"/>
  <c r="OF32" i="32"/>
  <c r="OE32" i="32"/>
  <c r="OD32" i="32"/>
  <c r="OC32" i="32"/>
  <c r="OB32" i="32"/>
  <c r="OA32" i="32"/>
  <c r="NZ32" i="32"/>
  <c r="NY32" i="32"/>
  <c r="NX32" i="32"/>
  <c r="OG31" i="32"/>
  <c r="OF31" i="32"/>
  <c r="OE31" i="32"/>
  <c r="OD31" i="32"/>
  <c r="OC31" i="32"/>
  <c r="OB31" i="32"/>
  <c r="OA31" i="32"/>
  <c r="NZ31" i="32"/>
  <c r="NY31" i="32"/>
  <c r="NX31" i="32"/>
  <c r="OG30" i="32"/>
  <c r="OF30" i="32"/>
  <c r="OE30" i="32"/>
  <c r="OD30" i="32"/>
  <c r="OC30" i="32"/>
  <c r="OB30" i="32"/>
  <c r="OA30" i="32"/>
  <c r="NZ30" i="32"/>
  <c r="NY30" i="32"/>
  <c r="NX30" i="32"/>
  <c r="OG29" i="32"/>
  <c r="OF29" i="32"/>
  <c r="OE29" i="32"/>
  <c r="OD29" i="32"/>
  <c r="OC29" i="32"/>
  <c r="OB29" i="32"/>
  <c r="OA29" i="32"/>
  <c r="NZ29" i="32"/>
  <c r="NY29" i="32"/>
  <c r="NX29" i="32"/>
  <c r="OG28" i="32"/>
  <c r="OF28" i="32"/>
  <c r="OE28" i="32"/>
  <c r="OD28" i="32"/>
  <c r="OC28" i="32"/>
  <c r="OB28" i="32"/>
  <c r="OA28" i="32"/>
  <c r="NZ28" i="32"/>
  <c r="NY28" i="32"/>
  <c r="NX28" i="32"/>
  <c r="OG27" i="32"/>
  <c r="OF27" i="32"/>
  <c r="OE27" i="32"/>
  <c r="OD27" i="32"/>
  <c r="OC27" i="32"/>
  <c r="OB27" i="32"/>
  <c r="OA27" i="32"/>
  <c r="NZ27" i="32"/>
  <c r="NY27" i="32"/>
  <c r="NX27" i="32"/>
  <c r="OG26" i="32"/>
  <c r="OF26" i="32"/>
  <c r="OE26" i="32"/>
  <c r="OD26" i="32"/>
  <c r="OC26" i="32"/>
  <c r="OB26" i="32"/>
  <c r="OA26" i="32"/>
  <c r="NZ26" i="32"/>
  <c r="NY26" i="32"/>
  <c r="NX26" i="32"/>
  <c r="OG25" i="32"/>
  <c r="OF25" i="32"/>
  <c r="OE25" i="32"/>
  <c r="OD25" i="32"/>
  <c r="OC25" i="32"/>
  <c r="OB25" i="32"/>
  <c r="OA25" i="32"/>
  <c r="NZ25" i="32"/>
  <c r="NY25" i="32"/>
  <c r="NX25" i="32"/>
  <c r="OG24" i="32"/>
  <c r="OF24" i="32"/>
  <c r="OE24" i="32"/>
  <c r="OD24" i="32"/>
  <c r="OC24" i="32"/>
  <c r="OB24" i="32"/>
  <c r="OA24" i="32"/>
  <c r="NZ24" i="32"/>
  <c r="NY24" i="32"/>
  <c r="NX24" i="32"/>
  <c r="OG23" i="32"/>
  <c r="OF23" i="32"/>
  <c r="OE23" i="32"/>
  <c r="OD23" i="32"/>
  <c r="OC23" i="32"/>
  <c r="OB23" i="32"/>
  <c r="OA23" i="32"/>
  <c r="NZ23" i="32"/>
  <c r="NY23" i="32"/>
  <c r="NX23" i="32"/>
  <c r="OG22" i="32"/>
  <c r="OF22" i="32"/>
  <c r="OE22" i="32"/>
  <c r="OD22" i="32"/>
  <c r="OC22" i="32"/>
  <c r="OB22" i="32"/>
  <c r="OA22" i="32"/>
  <c r="NZ22" i="32"/>
  <c r="NY22" i="32"/>
  <c r="NX22" i="32"/>
  <c r="OG21" i="32"/>
  <c r="OF21" i="32"/>
  <c r="OE21" i="32"/>
  <c r="OD21" i="32"/>
  <c r="OC21" i="32"/>
  <c r="OB21" i="32"/>
  <c r="OA21" i="32"/>
  <c r="NZ21" i="32"/>
  <c r="NY21" i="32"/>
  <c r="NX21" i="32"/>
  <c r="OG20" i="32"/>
  <c r="OF20" i="32"/>
  <c r="OE20" i="32"/>
  <c r="OD20" i="32"/>
  <c r="OC20" i="32"/>
  <c r="OB20" i="32"/>
  <c r="OA20" i="32"/>
  <c r="NZ20" i="32"/>
  <c r="NY20" i="32"/>
  <c r="NX20" i="32"/>
  <c r="OG19" i="32"/>
  <c r="OF19" i="32"/>
  <c r="OE19" i="32"/>
  <c r="OD19" i="32"/>
  <c r="OC19" i="32"/>
  <c r="OB19" i="32"/>
  <c r="OA19" i="32"/>
  <c r="NZ19" i="32"/>
  <c r="NY19" i="32"/>
  <c r="NX19" i="32"/>
  <c r="OG18" i="32"/>
  <c r="OF18" i="32"/>
  <c r="OE18" i="32"/>
  <c r="OD18" i="32"/>
  <c r="OC18" i="32"/>
  <c r="OB18" i="32"/>
  <c r="OA18" i="32"/>
  <c r="NZ18" i="32"/>
  <c r="NY18" i="32"/>
  <c r="NX18" i="32"/>
  <c r="OG17" i="32"/>
  <c r="OF17" i="32"/>
  <c r="OE17" i="32"/>
  <c r="OD17" i="32"/>
  <c r="OC17" i="32"/>
  <c r="OB17" i="32"/>
  <c r="OA17" i="32"/>
  <c r="NZ17" i="32"/>
  <c r="NY17" i="32"/>
  <c r="NX17" i="32"/>
  <c r="OG16" i="32"/>
  <c r="OF16" i="32"/>
  <c r="OE16" i="32"/>
  <c r="OD16" i="32"/>
  <c r="OC16" i="32"/>
  <c r="OB16" i="32"/>
  <c r="OA16" i="32"/>
  <c r="NZ16" i="32"/>
  <c r="NY16" i="32"/>
  <c r="NX16" i="32"/>
  <c r="OG15" i="32"/>
  <c r="OF15" i="32"/>
  <c r="OE15" i="32"/>
  <c r="OD15" i="32"/>
  <c r="OC15" i="32"/>
  <c r="OB15" i="32"/>
  <c r="OA15" i="32"/>
  <c r="NZ15" i="32"/>
  <c r="NY15" i="32"/>
  <c r="NX15" i="32"/>
  <c r="OG14" i="32"/>
  <c r="OF14" i="32"/>
  <c r="OE14" i="32"/>
  <c r="OD14" i="32"/>
  <c r="OC14" i="32"/>
  <c r="OB14" i="32"/>
  <c r="OA14" i="32"/>
  <c r="NZ14" i="32"/>
  <c r="NY14" i="32"/>
  <c r="NX14" i="32"/>
  <c r="OG13" i="32"/>
  <c r="OF13" i="32"/>
  <c r="OE13" i="32"/>
  <c r="OD13" i="32"/>
  <c r="OC13" i="32"/>
  <c r="OB13" i="32"/>
  <c r="OA13" i="32"/>
  <c r="NZ13" i="32"/>
  <c r="NY13" i="32"/>
  <c r="NX13" i="32"/>
  <c r="OG12" i="32"/>
  <c r="OF12" i="32"/>
  <c r="OE12" i="32"/>
  <c r="OD12" i="32"/>
  <c r="OC12" i="32"/>
  <c r="OB12" i="32"/>
  <c r="OA12" i="32"/>
  <c r="NZ12" i="32"/>
  <c r="NY12" i="32"/>
  <c r="NX12" i="32"/>
  <c r="OG11" i="32"/>
  <c r="OF11" i="32"/>
  <c r="OE11" i="32"/>
  <c r="OD11" i="32"/>
  <c r="OC11" i="32"/>
  <c r="OB11" i="32"/>
  <c r="OA11" i="32"/>
  <c r="NZ11" i="32"/>
  <c r="NY11" i="32"/>
  <c r="NX11" i="32"/>
  <c r="OG10" i="32"/>
  <c r="OF10" i="32"/>
  <c r="OE10" i="32"/>
  <c r="OD10" i="32"/>
  <c r="OC10" i="32"/>
  <c r="OB10" i="32"/>
  <c r="OA10" i="32"/>
  <c r="NZ10" i="32"/>
  <c r="NY10" i="32"/>
  <c r="NX10" i="32"/>
  <c r="OG9" i="32"/>
  <c r="OF9" i="32"/>
  <c r="OE9" i="32"/>
  <c r="OD9" i="32"/>
  <c r="OC9" i="32"/>
  <c r="OB9" i="32"/>
  <c r="OA9" i="32"/>
  <c r="NZ9" i="32"/>
  <c r="NY9" i="32"/>
  <c r="NX9" i="32"/>
  <c r="OG8" i="32"/>
  <c r="OF8" i="32"/>
  <c r="OE8" i="32"/>
  <c r="OD8" i="32"/>
  <c r="OC8" i="32"/>
  <c r="OB8" i="32"/>
  <c r="OA8" i="32"/>
  <c r="NZ8" i="32"/>
  <c r="NY8" i="32"/>
  <c r="NX8" i="32"/>
  <c r="OG7" i="32"/>
  <c r="OF7" i="32"/>
  <c r="OE7" i="32"/>
  <c r="OD7" i="32"/>
  <c r="OC7" i="32"/>
  <c r="OB7" i="32"/>
  <c r="OA7" i="32"/>
  <c r="NZ7" i="32"/>
  <c r="NY7" i="32"/>
  <c r="NX7" i="32"/>
  <c r="OG6" i="32"/>
  <c r="OF6" i="32"/>
  <c r="OE6" i="32"/>
  <c r="OD6" i="32"/>
  <c r="OC6" i="32"/>
  <c r="OB6" i="32"/>
  <c r="OA6" i="32"/>
  <c r="NZ6" i="32"/>
  <c r="NY6" i="32"/>
  <c r="NX6" i="32"/>
  <c r="OG5" i="32"/>
  <c r="OF5" i="32"/>
  <c r="OE5" i="32"/>
  <c r="OD5" i="32"/>
  <c r="OC5" i="32"/>
  <c r="OB5" i="32"/>
  <c r="OA5" i="32"/>
  <c r="NZ5" i="32"/>
  <c r="NY5" i="32"/>
  <c r="NX5" i="32"/>
  <c r="OG4" i="32"/>
  <c r="OF4" i="32"/>
  <c r="OE4" i="32"/>
  <c r="OD4" i="32"/>
  <c r="OC4" i="32"/>
  <c r="OB4" i="32"/>
  <c r="OA4" i="32"/>
  <c r="NZ4" i="32"/>
  <c r="NY4" i="32"/>
  <c r="NX4" i="32"/>
  <c r="NV42" i="32"/>
  <c r="NU42" i="32"/>
  <c r="NT42" i="32"/>
  <c r="NS42" i="32"/>
  <c r="NR42" i="32"/>
  <c r="NQ42" i="32"/>
  <c r="NP42" i="32"/>
  <c r="NO42" i="32"/>
  <c r="NN42" i="32"/>
  <c r="NM42" i="32"/>
  <c r="NV41" i="32"/>
  <c r="NU41" i="32"/>
  <c r="NT41" i="32"/>
  <c r="NS41" i="32"/>
  <c r="NR41" i="32"/>
  <c r="NQ41" i="32"/>
  <c r="NP41" i="32"/>
  <c r="NO41" i="32"/>
  <c r="NN41" i="32"/>
  <c r="NM41" i="32"/>
  <c r="NV40" i="32"/>
  <c r="NU40" i="32"/>
  <c r="NT40" i="32"/>
  <c r="NS40" i="32"/>
  <c r="NR40" i="32"/>
  <c r="NQ40" i="32"/>
  <c r="NP40" i="32"/>
  <c r="NO40" i="32"/>
  <c r="NN40" i="32"/>
  <c r="NM40" i="32"/>
  <c r="NV39" i="32"/>
  <c r="NU39" i="32"/>
  <c r="NT39" i="32"/>
  <c r="NS39" i="32"/>
  <c r="NR39" i="32"/>
  <c r="NQ39" i="32"/>
  <c r="NP39" i="32"/>
  <c r="NO39" i="32"/>
  <c r="NN39" i="32"/>
  <c r="NM39" i="32"/>
  <c r="NV38" i="32"/>
  <c r="NU38" i="32"/>
  <c r="NT38" i="32"/>
  <c r="NS38" i="32"/>
  <c r="NR38" i="32"/>
  <c r="NQ38" i="32"/>
  <c r="NP38" i="32"/>
  <c r="NO38" i="32"/>
  <c r="NN38" i="32"/>
  <c r="NM38" i="32"/>
  <c r="NV37" i="32"/>
  <c r="NU37" i="32"/>
  <c r="NT37" i="32"/>
  <c r="NS37" i="32"/>
  <c r="NR37" i="32"/>
  <c r="NQ37" i="32"/>
  <c r="NP37" i="32"/>
  <c r="NO37" i="32"/>
  <c r="NN37" i="32"/>
  <c r="NM37" i="32"/>
  <c r="NV36" i="32"/>
  <c r="NU36" i="32"/>
  <c r="NT36" i="32"/>
  <c r="NS36" i="32"/>
  <c r="NR36" i="32"/>
  <c r="NQ36" i="32"/>
  <c r="NP36" i="32"/>
  <c r="NO36" i="32"/>
  <c r="NN36" i="32"/>
  <c r="NM36" i="32"/>
  <c r="NV35" i="32"/>
  <c r="NU35" i="32"/>
  <c r="NT35" i="32"/>
  <c r="NS35" i="32"/>
  <c r="NR35" i="32"/>
  <c r="NQ35" i="32"/>
  <c r="NP35" i="32"/>
  <c r="NO35" i="32"/>
  <c r="NN35" i="32"/>
  <c r="NM35" i="32"/>
  <c r="NV34" i="32"/>
  <c r="NU34" i="32"/>
  <c r="NT34" i="32"/>
  <c r="NS34" i="32"/>
  <c r="NR34" i="32"/>
  <c r="NQ34" i="32"/>
  <c r="NP34" i="32"/>
  <c r="NO34" i="32"/>
  <c r="NN34" i="32"/>
  <c r="NM34" i="32"/>
  <c r="NV33" i="32"/>
  <c r="NU33" i="32"/>
  <c r="NT33" i="32"/>
  <c r="NS33" i="32"/>
  <c r="NR33" i="32"/>
  <c r="NQ33" i="32"/>
  <c r="NP33" i="32"/>
  <c r="NO33" i="32"/>
  <c r="NN33" i="32"/>
  <c r="NM33" i="32"/>
  <c r="NV32" i="32"/>
  <c r="NU32" i="32"/>
  <c r="NT32" i="32"/>
  <c r="NS32" i="32"/>
  <c r="NR32" i="32"/>
  <c r="NQ32" i="32"/>
  <c r="NP32" i="32"/>
  <c r="NO32" i="32"/>
  <c r="NN32" i="32"/>
  <c r="NM32" i="32"/>
  <c r="NV31" i="32"/>
  <c r="NU31" i="32"/>
  <c r="NT31" i="32"/>
  <c r="NS31" i="32"/>
  <c r="NR31" i="32"/>
  <c r="NQ31" i="32"/>
  <c r="NP31" i="32"/>
  <c r="NO31" i="32"/>
  <c r="NN31" i="32"/>
  <c r="NM31" i="32"/>
  <c r="NV30" i="32"/>
  <c r="NU30" i="32"/>
  <c r="NT30" i="32"/>
  <c r="NS30" i="32"/>
  <c r="NR30" i="32"/>
  <c r="NQ30" i="32"/>
  <c r="NP30" i="32"/>
  <c r="NO30" i="32"/>
  <c r="NN30" i="32"/>
  <c r="NM30" i="32"/>
  <c r="NV29" i="32"/>
  <c r="NU29" i="32"/>
  <c r="NT29" i="32"/>
  <c r="NS29" i="32"/>
  <c r="NR29" i="32"/>
  <c r="NQ29" i="32"/>
  <c r="NP29" i="32"/>
  <c r="NO29" i="32"/>
  <c r="NN29" i="32"/>
  <c r="NM29" i="32"/>
  <c r="NV28" i="32"/>
  <c r="NU28" i="32"/>
  <c r="NT28" i="32"/>
  <c r="NS28" i="32"/>
  <c r="NR28" i="32"/>
  <c r="NQ28" i="32"/>
  <c r="NP28" i="32"/>
  <c r="NO28" i="32"/>
  <c r="NN28" i="32"/>
  <c r="NM28" i="32"/>
  <c r="NV27" i="32"/>
  <c r="NU27" i="32"/>
  <c r="NT27" i="32"/>
  <c r="NS27" i="32"/>
  <c r="NR27" i="32"/>
  <c r="NQ27" i="32"/>
  <c r="NP27" i="32"/>
  <c r="NO27" i="32"/>
  <c r="NN27" i="32"/>
  <c r="NM27" i="32"/>
  <c r="NV26" i="32"/>
  <c r="NU26" i="32"/>
  <c r="NT26" i="32"/>
  <c r="NS26" i="32"/>
  <c r="NR26" i="32"/>
  <c r="NQ26" i="32"/>
  <c r="NP26" i="32"/>
  <c r="NO26" i="32"/>
  <c r="NN26" i="32"/>
  <c r="NM26" i="32"/>
  <c r="NV25" i="32"/>
  <c r="NU25" i="32"/>
  <c r="NT25" i="32"/>
  <c r="NS25" i="32"/>
  <c r="NR25" i="32"/>
  <c r="NQ25" i="32"/>
  <c r="NP25" i="32"/>
  <c r="NO25" i="32"/>
  <c r="NN25" i="32"/>
  <c r="NM25" i="32"/>
  <c r="NV24" i="32"/>
  <c r="NU24" i="32"/>
  <c r="NT24" i="32"/>
  <c r="NS24" i="32"/>
  <c r="NR24" i="32"/>
  <c r="NQ24" i="32"/>
  <c r="NP24" i="32"/>
  <c r="NO24" i="32"/>
  <c r="NN24" i="32"/>
  <c r="NM24" i="32"/>
  <c r="NV23" i="32"/>
  <c r="NU23" i="32"/>
  <c r="NT23" i="32"/>
  <c r="NS23" i="32"/>
  <c r="NR23" i="32"/>
  <c r="NQ23" i="32"/>
  <c r="NP23" i="32"/>
  <c r="NO23" i="32"/>
  <c r="NN23" i="32"/>
  <c r="NM23" i="32"/>
  <c r="NV22" i="32"/>
  <c r="NU22" i="32"/>
  <c r="NT22" i="32"/>
  <c r="NS22" i="32"/>
  <c r="NR22" i="32"/>
  <c r="NQ22" i="32"/>
  <c r="NP22" i="32"/>
  <c r="NO22" i="32"/>
  <c r="NN22" i="32"/>
  <c r="NM22" i="32"/>
  <c r="NV21" i="32"/>
  <c r="NU21" i="32"/>
  <c r="NT21" i="32"/>
  <c r="NS21" i="32"/>
  <c r="NR21" i="32"/>
  <c r="NQ21" i="32"/>
  <c r="NP21" i="32"/>
  <c r="NO21" i="32"/>
  <c r="NN21" i="32"/>
  <c r="NM21" i="32"/>
  <c r="NV20" i="32"/>
  <c r="NU20" i="32"/>
  <c r="NT20" i="32"/>
  <c r="NS20" i="32"/>
  <c r="NR20" i="32"/>
  <c r="NQ20" i="32"/>
  <c r="NP20" i="32"/>
  <c r="NO20" i="32"/>
  <c r="NN20" i="32"/>
  <c r="NM20" i="32"/>
  <c r="NV19" i="32"/>
  <c r="NU19" i="32"/>
  <c r="NT19" i="32"/>
  <c r="NS19" i="32"/>
  <c r="NR19" i="32"/>
  <c r="NQ19" i="32"/>
  <c r="NP19" i="32"/>
  <c r="NO19" i="32"/>
  <c r="NN19" i="32"/>
  <c r="NM19" i="32"/>
  <c r="NV18" i="32"/>
  <c r="NU18" i="32"/>
  <c r="NT18" i="32"/>
  <c r="NS18" i="32"/>
  <c r="NR18" i="32"/>
  <c r="NQ18" i="32"/>
  <c r="NP18" i="32"/>
  <c r="NO18" i="32"/>
  <c r="NN18" i="32"/>
  <c r="NM18" i="32"/>
  <c r="NV17" i="32"/>
  <c r="NU17" i="32"/>
  <c r="NT17" i="32"/>
  <c r="NS17" i="32"/>
  <c r="NR17" i="32"/>
  <c r="NQ17" i="32"/>
  <c r="NP17" i="32"/>
  <c r="NO17" i="32"/>
  <c r="NN17" i="32"/>
  <c r="NM17" i="32"/>
  <c r="NV16" i="32"/>
  <c r="NU16" i="32"/>
  <c r="NT16" i="32"/>
  <c r="NS16" i="32"/>
  <c r="NR16" i="32"/>
  <c r="NQ16" i="32"/>
  <c r="NP16" i="32"/>
  <c r="NO16" i="32"/>
  <c r="NN16" i="32"/>
  <c r="NM16" i="32"/>
  <c r="NV15" i="32"/>
  <c r="NU15" i="32"/>
  <c r="NT15" i="32"/>
  <c r="NS15" i="32"/>
  <c r="NR15" i="32"/>
  <c r="NQ15" i="32"/>
  <c r="NP15" i="32"/>
  <c r="NO15" i="32"/>
  <c r="NN15" i="32"/>
  <c r="NM15" i="32"/>
  <c r="NV14" i="32"/>
  <c r="NU14" i="32"/>
  <c r="NT14" i="32"/>
  <c r="NS14" i="32"/>
  <c r="NR14" i="32"/>
  <c r="NQ14" i="32"/>
  <c r="NP14" i="32"/>
  <c r="NO14" i="32"/>
  <c r="NN14" i="32"/>
  <c r="NM14" i="32"/>
  <c r="NV13" i="32"/>
  <c r="NU13" i="32"/>
  <c r="NT13" i="32"/>
  <c r="NS13" i="32"/>
  <c r="NR13" i="32"/>
  <c r="NQ13" i="32"/>
  <c r="NP13" i="32"/>
  <c r="NO13" i="32"/>
  <c r="NN13" i="32"/>
  <c r="NM13" i="32"/>
  <c r="NV12" i="32"/>
  <c r="NU12" i="32"/>
  <c r="NT12" i="32"/>
  <c r="NS12" i="32"/>
  <c r="NR12" i="32"/>
  <c r="NQ12" i="32"/>
  <c r="NP12" i="32"/>
  <c r="NO12" i="32"/>
  <c r="NN12" i="32"/>
  <c r="NM12" i="32"/>
  <c r="NV11" i="32"/>
  <c r="NU11" i="32"/>
  <c r="NT11" i="32"/>
  <c r="NS11" i="32"/>
  <c r="NR11" i="32"/>
  <c r="NQ11" i="32"/>
  <c r="NP11" i="32"/>
  <c r="NO11" i="32"/>
  <c r="NN11" i="32"/>
  <c r="NM11" i="32"/>
  <c r="NV10" i="32"/>
  <c r="NU10" i="32"/>
  <c r="NT10" i="32"/>
  <c r="NS10" i="32"/>
  <c r="NR10" i="32"/>
  <c r="NQ10" i="32"/>
  <c r="NP10" i="32"/>
  <c r="NO10" i="32"/>
  <c r="NN10" i="32"/>
  <c r="NM10" i="32"/>
  <c r="NV9" i="32"/>
  <c r="NU9" i="32"/>
  <c r="NT9" i="32"/>
  <c r="NS9" i="32"/>
  <c r="NR9" i="32"/>
  <c r="NQ9" i="32"/>
  <c r="NP9" i="32"/>
  <c r="NO9" i="32"/>
  <c r="NN9" i="32"/>
  <c r="NM9" i="32"/>
  <c r="NV8" i="32"/>
  <c r="NU8" i="32"/>
  <c r="NT8" i="32"/>
  <c r="NS8" i="32"/>
  <c r="NR8" i="32"/>
  <c r="NQ8" i="32"/>
  <c r="NP8" i="32"/>
  <c r="NO8" i="32"/>
  <c r="NN8" i="32"/>
  <c r="NM8" i="32"/>
  <c r="NV7" i="32"/>
  <c r="NU7" i="32"/>
  <c r="NT7" i="32"/>
  <c r="NS7" i="32"/>
  <c r="NR7" i="32"/>
  <c r="NQ7" i="32"/>
  <c r="NP7" i="32"/>
  <c r="NO7" i="32"/>
  <c r="NN7" i="32"/>
  <c r="NM7" i="32"/>
  <c r="NV6" i="32"/>
  <c r="NU6" i="32"/>
  <c r="NT6" i="32"/>
  <c r="NS6" i="32"/>
  <c r="NR6" i="32"/>
  <c r="NQ6" i="32"/>
  <c r="NP6" i="32"/>
  <c r="NO6" i="32"/>
  <c r="NN6" i="32"/>
  <c r="NM6" i="32"/>
  <c r="NV5" i="32"/>
  <c r="NU5" i="32"/>
  <c r="NT5" i="32"/>
  <c r="NS5" i="32"/>
  <c r="NR5" i="32"/>
  <c r="NQ5" i="32"/>
  <c r="NP5" i="32"/>
  <c r="NO5" i="32"/>
  <c r="NN5" i="32"/>
  <c r="NM5" i="32"/>
  <c r="NV4" i="32"/>
  <c r="NU4" i="32"/>
  <c r="NT4" i="32"/>
  <c r="NS4" i="32"/>
  <c r="NR4" i="32"/>
  <c r="NQ4" i="32"/>
  <c r="NP4" i="32"/>
  <c r="NO4" i="32"/>
  <c r="NN4" i="32"/>
  <c r="NM4" i="32"/>
  <c r="NK42" i="32"/>
  <c r="NJ42" i="32"/>
  <c r="NI42" i="32"/>
  <c r="NH42" i="32"/>
  <c r="NG42" i="32"/>
  <c r="NF42" i="32"/>
  <c r="NE42" i="32"/>
  <c r="ND42" i="32"/>
  <c r="NC42" i="32"/>
  <c r="NB42" i="32"/>
  <c r="NK41" i="32"/>
  <c r="NJ41" i="32"/>
  <c r="NI41" i="32"/>
  <c r="NH41" i="32"/>
  <c r="NG41" i="32"/>
  <c r="NF41" i="32"/>
  <c r="NE41" i="32"/>
  <c r="ND41" i="32"/>
  <c r="NC41" i="32"/>
  <c r="NB41" i="32"/>
  <c r="NK40" i="32"/>
  <c r="NJ40" i="32"/>
  <c r="NI40" i="32"/>
  <c r="NH40" i="32"/>
  <c r="NG40" i="32"/>
  <c r="NF40" i="32"/>
  <c r="NE40" i="32"/>
  <c r="ND40" i="32"/>
  <c r="NC40" i="32"/>
  <c r="NB40" i="32"/>
  <c r="NK39" i="32"/>
  <c r="NJ39" i="32"/>
  <c r="NI39" i="32"/>
  <c r="NH39" i="32"/>
  <c r="NG39" i="32"/>
  <c r="NF39" i="32"/>
  <c r="NE39" i="32"/>
  <c r="ND39" i="32"/>
  <c r="NC39" i="32"/>
  <c r="NB39" i="32"/>
  <c r="NK38" i="32"/>
  <c r="NJ38" i="32"/>
  <c r="NI38" i="32"/>
  <c r="NH38" i="32"/>
  <c r="NG38" i="32"/>
  <c r="NF38" i="32"/>
  <c r="NE38" i="32"/>
  <c r="ND38" i="32"/>
  <c r="NC38" i="32"/>
  <c r="NB38" i="32"/>
  <c r="NK37" i="32"/>
  <c r="NJ37" i="32"/>
  <c r="NI37" i="32"/>
  <c r="NH37" i="32"/>
  <c r="NG37" i="32"/>
  <c r="NF37" i="32"/>
  <c r="NE37" i="32"/>
  <c r="ND37" i="32"/>
  <c r="NC37" i="32"/>
  <c r="NB37" i="32"/>
  <c r="NK36" i="32"/>
  <c r="NJ36" i="32"/>
  <c r="NI36" i="32"/>
  <c r="NH36" i="32"/>
  <c r="NG36" i="32"/>
  <c r="NF36" i="32"/>
  <c r="NE36" i="32"/>
  <c r="ND36" i="32"/>
  <c r="NC36" i="32"/>
  <c r="NB36" i="32"/>
  <c r="NK35" i="32"/>
  <c r="NJ35" i="32"/>
  <c r="NI35" i="32"/>
  <c r="NH35" i="32"/>
  <c r="NG35" i="32"/>
  <c r="NF35" i="32"/>
  <c r="NE35" i="32"/>
  <c r="ND35" i="32"/>
  <c r="NC35" i="32"/>
  <c r="NB35" i="32"/>
  <c r="NK34" i="32"/>
  <c r="NJ34" i="32"/>
  <c r="NI34" i="32"/>
  <c r="NH34" i="32"/>
  <c r="NG34" i="32"/>
  <c r="NF34" i="32"/>
  <c r="NE34" i="32"/>
  <c r="ND34" i="32"/>
  <c r="NC34" i="32"/>
  <c r="NB34" i="32"/>
  <c r="NK33" i="32"/>
  <c r="NJ33" i="32"/>
  <c r="NI33" i="32"/>
  <c r="NH33" i="32"/>
  <c r="NG33" i="32"/>
  <c r="NF33" i="32"/>
  <c r="NE33" i="32"/>
  <c r="ND33" i="32"/>
  <c r="NC33" i="32"/>
  <c r="NB33" i="32"/>
  <c r="NK32" i="32"/>
  <c r="NJ32" i="32"/>
  <c r="NI32" i="32"/>
  <c r="NH32" i="32"/>
  <c r="NG32" i="32"/>
  <c r="NF32" i="32"/>
  <c r="NE32" i="32"/>
  <c r="ND32" i="32"/>
  <c r="NC32" i="32"/>
  <c r="NB32" i="32"/>
  <c r="NK31" i="32"/>
  <c r="NJ31" i="32"/>
  <c r="NI31" i="32"/>
  <c r="NH31" i="32"/>
  <c r="NG31" i="32"/>
  <c r="NF31" i="32"/>
  <c r="NE31" i="32"/>
  <c r="ND31" i="32"/>
  <c r="NC31" i="32"/>
  <c r="NB31" i="32"/>
  <c r="NK30" i="32"/>
  <c r="NJ30" i="32"/>
  <c r="NI30" i="32"/>
  <c r="NH30" i="32"/>
  <c r="NG30" i="32"/>
  <c r="NF30" i="32"/>
  <c r="NE30" i="32"/>
  <c r="ND30" i="32"/>
  <c r="NC30" i="32"/>
  <c r="NB30" i="32"/>
  <c r="NK29" i="32"/>
  <c r="NJ29" i="32"/>
  <c r="NI29" i="32"/>
  <c r="NH29" i="32"/>
  <c r="NG29" i="32"/>
  <c r="NF29" i="32"/>
  <c r="NE29" i="32"/>
  <c r="ND29" i="32"/>
  <c r="NC29" i="32"/>
  <c r="NB29" i="32"/>
  <c r="NK28" i="32"/>
  <c r="NJ28" i="32"/>
  <c r="NI28" i="32"/>
  <c r="NH28" i="32"/>
  <c r="NG28" i="32"/>
  <c r="NF28" i="32"/>
  <c r="NE28" i="32"/>
  <c r="ND28" i="32"/>
  <c r="NC28" i="32"/>
  <c r="NB28" i="32"/>
  <c r="NK27" i="32"/>
  <c r="NJ27" i="32"/>
  <c r="NI27" i="32"/>
  <c r="NH27" i="32"/>
  <c r="NG27" i="32"/>
  <c r="NF27" i="32"/>
  <c r="NE27" i="32"/>
  <c r="ND27" i="32"/>
  <c r="NC27" i="32"/>
  <c r="NB27" i="32"/>
  <c r="NK26" i="32"/>
  <c r="NJ26" i="32"/>
  <c r="NI26" i="32"/>
  <c r="NH26" i="32"/>
  <c r="NG26" i="32"/>
  <c r="NF26" i="32"/>
  <c r="NE26" i="32"/>
  <c r="ND26" i="32"/>
  <c r="NC26" i="32"/>
  <c r="NB26" i="32"/>
  <c r="NK25" i="32"/>
  <c r="NJ25" i="32"/>
  <c r="NI25" i="32"/>
  <c r="NH25" i="32"/>
  <c r="NG25" i="32"/>
  <c r="NF25" i="32"/>
  <c r="NE25" i="32"/>
  <c r="ND25" i="32"/>
  <c r="NC25" i="32"/>
  <c r="NB25" i="32"/>
  <c r="NK24" i="32"/>
  <c r="NJ24" i="32"/>
  <c r="NI24" i="32"/>
  <c r="NH24" i="32"/>
  <c r="NG24" i="32"/>
  <c r="NF24" i="32"/>
  <c r="NE24" i="32"/>
  <c r="ND24" i="32"/>
  <c r="NC24" i="32"/>
  <c r="NB24" i="32"/>
  <c r="NK23" i="32"/>
  <c r="NJ23" i="32"/>
  <c r="NI23" i="32"/>
  <c r="NH23" i="32"/>
  <c r="NG23" i="32"/>
  <c r="NF23" i="32"/>
  <c r="NE23" i="32"/>
  <c r="ND23" i="32"/>
  <c r="NC23" i="32"/>
  <c r="NB23" i="32"/>
  <c r="NK22" i="32"/>
  <c r="NJ22" i="32"/>
  <c r="NI22" i="32"/>
  <c r="NH22" i="32"/>
  <c r="NG22" i="32"/>
  <c r="NF22" i="32"/>
  <c r="NE22" i="32"/>
  <c r="ND22" i="32"/>
  <c r="NC22" i="32"/>
  <c r="NB22" i="32"/>
  <c r="NK21" i="32"/>
  <c r="NJ21" i="32"/>
  <c r="NI21" i="32"/>
  <c r="NH21" i="32"/>
  <c r="NG21" i="32"/>
  <c r="NF21" i="32"/>
  <c r="NE21" i="32"/>
  <c r="ND21" i="32"/>
  <c r="NC21" i="32"/>
  <c r="NB21" i="32"/>
  <c r="NK20" i="32"/>
  <c r="NJ20" i="32"/>
  <c r="NI20" i="32"/>
  <c r="NH20" i="32"/>
  <c r="NG20" i="32"/>
  <c r="NF20" i="32"/>
  <c r="NE20" i="32"/>
  <c r="ND20" i="32"/>
  <c r="NC20" i="32"/>
  <c r="NB20" i="32"/>
  <c r="NK19" i="32"/>
  <c r="NJ19" i="32"/>
  <c r="NI19" i="32"/>
  <c r="NH19" i="32"/>
  <c r="NG19" i="32"/>
  <c r="NF19" i="32"/>
  <c r="NE19" i="32"/>
  <c r="ND19" i="32"/>
  <c r="NC19" i="32"/>
  <c r="NB19" i="32"/>
  <c r="NK18" i="32"/>
  <c r="NJ18" i="32"/>
  <c r="NI18" i="32"/>
  <c r="NH18" i="32"/>
  <c r="NG18" i="32"/>
  <c r="NF18" i="32"/>
  <c r="NE18" i="32"/>
  <c r="ND18" i="32"/>
  <c r="NC18" i="32"/>
  <c r="NB18" i="32"/>
  <c r="NK17" i="32"/>
  <c r="NJ17" i="32"/>
  <c r="NI17" i="32"/>
  <c r="NH17" i="32"/>
  <c r="NG17" i="32"/>
  <c r="NF17" i="32"/>
  <c r="NE17" i="32"/>
  <c r="ND17" i="32"/>
  <c r="NC17" i="32"/>
  <c r="NB17" i="32"/>
  <c r="NK16" i="32"/>
  <c r="NJ16" i="32"/>
  <c r="NI16" i="32"/>
  <c r="NH16" i="32"/>
  <c r="NG16" i="32"/>
  <c r="NF16" i="32"/>
  <c r="NE16" i="32"/>
  <c r="ND16" i="32"/>
  <c r="NC16" i="32"/>
  <c r="NB16" i="32"/>
  <c r="NK15" i="32"/>
  <c r="NJ15" i="32"/>
  <c r="NI15" i="32"/>
  <c r="NH15" i="32"/>
  <c r="NG15" i="32"/>
  <c r="NF15" i="32"/>
  <c r="NE15" i="32"/>
  <c r="ND15" i="32"/>
  <c r="NC15" i="32"/>
  <c r="NB15" i="32"/>
  <c r="NK14" i="32"/>
  <c r="NJ14" i="32"/>
  <c r="NI14" i="32"/>
  <c r="NH14" i="32"/>
  <c r="NG14" i="32"/>
  <c r="NF14" i="32"/>
  <c r="NE14" i="32"/>
  <c r="ND14" i="32"/>
  <c r="NC14" i="32"/>
  <c r="NB14" i="32"/>
  <c r="NK13" i="32"/>
  <c r="NJ13" i="32"/>
  <c r="NI13" i="32"/>
  <c r="NH13" i="32"/>
  <c r="NG13" i="32"/>
  <c r="NF13" i="32"/>
  <c r="NE13" i="32"/>
  <c r="ND13" i="32"/>
  <c r="NC13" i="32"/>
  <c r="NB13" i="32"/>
  <c r="NK12" i="32"/>
  <c r="NJ12" i="32"/>
  <c r="NI12" i="32"/>
  <c r="NH12" i="32"/>
  <c r="NG12" i="32"/>
  <c r="NF12" i="32"/>
  <c r="NE12" i="32"/>
  <c r="ND12" i="32"/>
  <c r="NC12" i="32"/>
  <c r="NB12" i="32"/>
  <c r="NK11" i="32"/>
  <c r="NJ11" i="32"/>
  <c r="NI11" i="32"/>
  <c r="NH11" i="32"/>
  <c r="NG11" i="32"/>
  <c r="NF11" i="32"/>
  <c r="NE11" i="32"/>
  <c r="ND11" i="32"/>
  <c r="NC11" i="32"/>
  <c r="NB11" i="32"/>
  <c r="NK10" i="32"/>
  <c r="NJ10" i="32"/>
  <c r="NI10" i="32"/>
  <c r="NH10" i="32"/>
  <c r="NG10" i="32"/>
  <c r="NF10" i="32"/>
  <c r="NE10" i="32"/>
  <c r="ND10" i="32"/>
  <c r="NC10" i="32"/>
  <c r="NB10" i="32"/>
  <c r="NK9" i="32"/>
  <c r="NJ9" i="32"/>
  <c r="NI9" i="32"/>
  <c r="NH9" i="32"/>
  <c r="NG9" i="32"/>
  <c r="NF9" i="32"/>
  <c r="NE9" i="32"/>
  <c r="ND9" i="32"/>
  <c r="NC9" i="32"/>
  <c r="NB9" i="32"/>
  <c r="NK8" i="32"/>
  <c r="NJ8" i="32"/>
  <c r="NI8" i="32"/>
  <c r="NH8" i="32"/>
  <c r="NG8" i="32"/>
  <c r="NF8" i="32"/>
  <c r="NE8" i="32"/>
  <c r="ND8" i="32"/>
  <c r="NC8" i="32"/>
  <c r="NB8" i="32"/>
  <c r="NK7" i="32"/>
  <c r="NJ7" i="32"/>
  <c r="NI7" i="32"/>
  <c r="NH7" i="32"/>
  <c r="NG7" i="32"/>
  <c r="NF7" i="32"/>
  <c r="NE7" i="32"/>
  <c r="ND7" i="32"/>
  <c r="NC7" i="32"/>
  <c r="NB7" i="32"/>
  <c r="NK6" i="32"/>
  <c r="NJ6" i="32"/>
  <c r="NI6" i="32"/>
  <c r="NH6" i="32"/>
  <c r="NG6" i="32"/>
  <c r="NF6" i="32"/>
  <c r="NE6" i="32"/>
  <c r="ND6" i="32"/>
  <c r="NC6" i="32"/>
  <c r="NB6" i="32"/>
  <c r="NK5" i="32"/>
  <c r="NJ5" i="32"/>
  <c r="NI5" i="32"/>
  <c r="NH5" i="32"/>
  <c r="NG5" i="32"/>
  <c r="NF5" i="32"/>
  <c r="NE5" i="32"/>
  <c r="ND5" i="32"/>
  <c r="NC5" i="32"/>
  <c r="NB5" i="32"/>
  <c r="NK4" i="32"/>
  <c r="NJ4" i="32"/>
  <c r="NI4" i="32"/>
  <c r="NH4" i="32"/>
  <c r="NG4" i="32"/>
  <c r="NF4" i="32"/>
  <c r="NE4" i="32"/>
  <c r="ND4" i="32"/>
  <c r="NC4" i="32"/>
  <c r="NB4" i="32"/>
  <c r="MZ42" i="32"/>
  <c r="MY42" i="32"/>
  <c r="MX42" i="32"/>
  <c r="MW42" i="32"/>
  <c r="MV42" i="32"/>
  <c r="MU42" i="32"/>
  <c r="MT42" i="32"/>
  <c r="MS42" i="32"/>
  <c r="MR42" i="32"/>
  <c r="MQ42" i="32"/>
  <c r="MZ41" i="32"/>
  <c r="MY41" i="32"/>
  <c r="MX41" i="32"/>
  <c r="MW41" i="32"/>
  <c r="MV41" i="32"/>
  <c r="MU41" i="32"/>
  <c r="MT41" i="32"/>
  <c r="MS41" i="32"/>
  <c r="MR41" i="32"/>
  <c r="MQ41" i="32"/>
  <c r="MZ40" i="32"/>
  <c r="MY40" i="32"/>
  <c r="MX40" i="32"/>
  <c r="MW40" i="32"/>
  <c r="MV40" i="32"/>
  <c r="MU40" i="32"/>
  <c r="MT40" i="32"/>
  <c r="MS40" i="32"/>
  <c r="MR40" i="32"/>
  <c r="MQ40" i="32"/>
  <c r="MZ39" i="32"/>
  <c r="MY39" i="32"/>
  <c r="MX39" i="32"/>
  <c r="MW39" i="32"/>
  <c r="MV39" i="32"/>
  <c r="MU39" i="32"/>
  <c r="MT39" i="32"/>
  <c r="MS39" i="32"/>
  <c r="MR39" i="32"/>
  <c r="MQ39" i="32"/>
  <c r="MZ38" i="32"/>
  <c r="MY38" i="32"/>
  <c r="MX38" i="32"/>
  <c r="MW38" i="32"/>
  <c r="MV38" i="32"/>
  <c r="MU38" i="32"/>
  <c r="MT38" i="32"/>
  <c r="MS38" i="32"/>
  <c r="MR38" i="32"/>
  <c r="MQ38" i="32"/>
  <c r="MZ37" i="32"/>
  <c r="MY37" i="32"/>
  <c r="MX37" i="32"/>
  <c r="MW37" i="32"/>
  <c r="MV37" i="32"/>
  <c r="MU37" i="32"/>
  <c r="MT37" i="32"/>
  <c r="MS37" i="32"/>
  <c r="MR37" i="32"/>
  <c r="MQ37" i="32"/>
  <c r="MZ36" i="32"/>
  <c r="MY36" i="32"/>
  <c r="MX36" i="32"/>
  <c r="MW36" i="32"/>
  <c r="MV36" i="32"/>
  <c r="MU36" i="32"/>
  <c r="MT36" i="32"/>
  <c r="MS36" i="32"/>
  <c r="MR36" i="32"/>
  <c r="MQ36" i="32"/>
  <c r="MZ35" i="32"/>
  <c r="MY35" i="32"/>
  <c r="MX35" i="32"/>
  <c r="MW35" i="32"/>
  <c r="MV35" i="32"/>
  <c r="MU35" i="32"/>
  <c r="MT35" i="32"/>
  <c r="MS35" i="32"/>
  <c r="MR35" i="32"/>
  <c r="MQ35" i="32"/>
  <c r="MZ34" i="32"/>
  <c r="MY34" i="32"/>
  <c r="MX34" i="32"/>
  <c r="MW34" i="32"/>
  <c r="MV34" i="32"/>
  <c r="MU34" i="32"/>
  <c r="MT34" i="32"/>
  <c r="MS34" i="32"/>
  <c r="MR34" i="32"/>
  <c r="MQ34" i="32"/>
  <c r="MZ33" i="32"/>
  <c r="MY33" i="32"/>
  <c r="MX33" i="32"/>
  <c r="MW33" i="32"/>
  <c r="MV33" i="32"/>
  <c r="MU33" i="32"/>
  <c r="MT33" i="32"/>
  <c r="MS33" i="32"/>
  <c r="MR33" i="32"/>
  <c r="MQ33" i="32"/>
  <c r="MZ32" i="32"/>
  <c r="MY32" i="32"/>
  <c r="MX32" i="32"/>
  <c r="MW32" i="32"/>
  <c r="MV32" i="32"/>
  <c r="MU32" i="32"/>
  <c r="MT32" i="32"/>
  <c r="MS32" i="32"/>
  <c r="MR32" i="32"/>
  <c r="MQ32" i="32"/>
  <c r="MZ31" i="32"/>
  <c r="MY31" i="32"/>
  <c r="MX31" i="32"/>
  <c r="MW31" i="32"/>
  <c r="MV31" i="32"/>
  <c r="MU31" i="32"/>
  <c r="MT31" i="32"/>
  <c r="MS31" i="32"/>
  <c r="MR31" i="32"/>
  <c r="MQ31" i="32"/>
  <c r="MZ30" i="32"/>
  <c r="MY30" i="32"/>
  <c r="MX30" i="32"/>
  <c r="MW30" i="32"/>
  <c r="MV30" i="32"/>
  <c r="MU30" i="32"/>
  <c r="MT30" i="32"/>
  <c r="MS30" i="32"/>
  <c r="MR30" i="32"/>
  <c r="MQ30" i="32"/>
  <c r="MZ29" i="32"/>
  <c r="MY29" i="32"/>
  <c r="MX29" i="32"/>
  <c r="MW29" i="32"/>
  <c r="MV29" i="32"/>
  <c r="MU29" i="32"/>
  <c r="MT29" i="32"/>
  <c r="MS29" i="32"/>
  <c r="MR29" i="32"/>
  <c r="MQ29" i="32"/>
  <c r="MZ28" i="32"/>
  <c r="MY28" i="32"/>
  <c r="MX28" i="32"/>
  <c r="MW28" i="32"/>
  <c r="MV28" i="32"/>
  <c r="MU28" i="32"/>
  <c r="MT28" i="32"/>
  <c r="MS28" i="32"/>
  <c r="MR28" i="32"/>
  <c r="MQ28" i="32"/>
  <c r="MZ27" i="32"/>
  <c r="MY27" i="32"/>
  <c r="MX27" i="32"/>
  <c r="MW27" i="32"/>
  <c r="MV27" i="32"/>
  <c r="MU27" i="32"/>
  <c r="MT27" i="32"/>
  <c r="MS27" i="32"/>
  <c r="MR27" i="32"/>
  <c r="MQ27" i="32"/>
  <c r="MZ26" i="32"/>
  <c r="MY26" i="32"/>
  <c r="MX26" i="32"/>
  <c r="MW26" i="32"/>
  <c r="MV26" i="32"/>
  <c r="MU26" i="32"/>
  <c r="MT26" i="32"/>
  <c r="MS26" i="32"/>
  <c r="MR26" i="32"/>
  <c r="MQ26" i="32"/>
  <c r="MZ25" i="32"/>
  <c r="MY25" i="32"/>
  <c r="MX25" i="32"/>
  <c r="MW25" i="32"/>
  <c r="MV25" i="32"/>
  <c r="MU25" i="32"/>
  <c r="MT25" i="32"/>
  <c r="MS25" i="32"/>
  <c r="MR25" i="32"/>
  <c r="MQ25" i="32"/>
  <c r="MZ24" i="32"/>
  <c r="MY24" i="32"/>
  <c r="MX24" i="32"/>
  <c r="MW24" i="32"/>
  <c r="MV24" i="32"/>
  <c r="MU24" i="32"/>
  <c r="MT24" i="32"/>
  <c r="MS24" i="32"/>
  <c r="MR24" i="32"/>
  <c r="MQ24" i="32"/>
  <c r="MZ23" i="32"/>
  <c r="MY23" i="32"/>
  <c r="MX23" i="32"/>
  <c r="MW23" i="32"/>
  <c r="MV23" i="32"/>
  <c r="MU23" i="32"/>
  <c r="MT23" i="32"/>
  <c r="MS23" i="32"/>
  <c r="MR23" i="32"/>
  <c r="MQ23" i="32"/>
  <c r="MZ22" i="32"/>
  <c r="MY22" i="32"/>
  <c r="MX22" i="32"/>
  <c r="MW22" i="32"/>
  <c r="MV22" i="32"/>
  <c r="MU22" i="32"/>
  <c r="MT22" i="32"/>
  <c r="MS22" i="32"/>
  <c r="MR22" i="32"/>
  <c r="MQ22" i="32"/>
  <c r="MZ21" i="32"/>
  <c r="MY21" i="32"/>
  <c r="MX21" i="32"/>
  <c r="MW21" i="32"/>
  <c r="MV21" i="32"/>
  <c r="MU21" i="32"/>
  <c r="MT21" i="32"/>
  <c r="MS21" i="32"/>
  <c r="MR21" i="32"/>
  <c r="MQ21" i="32"/>
  <c r="MZ20" i="32"/>
  <c r="MY20" i="32"/>
  <c r="MX20" i="32"/>
  <c r="MW20" i="32"/>
  <c r="MV20" i="32"/>
  <c r="MU20" i="32"/>
  <c r="MT20" i="32"/>
  <c r="MS20" i="32"/>
  <c r="MR20" i="32"/>
  <c r="MQ20" i="32"/>
  <c r="MZ19" i="32"/>
  <c r="MY19" i="32"/>
  <c r="MX19" i="32"/>
  <c r="MW19" i="32"/>
  <c r="MV19" i="32"/>
  <c r="MU19" i="32"/>
  <c r="MT19" i="32"/>
  <c r="MS19" i="32"/>
  <c r="MR19" i="32"/>
  <c r="MQ19" i="32"/>
  <c r="MZ18" i="32"/>
  <c r="MY18" i="32"/>
  <c r="MX18" i="32"/>
  <c r="MW18" i="32"/>
  <c r="MV18" i="32"/>
  <c r="MU18" i="32"/>
  <c r="MT18" i="32"/>
  <c r="MS18" i="32"/>
  <c r="MR18" i="32"/>
  <c r="MQ18" i="32"/>
  <c r="MZ17" i="32"/>
  <c r="MY17" i="32"/>
  <c r="MX17" i="32"/>
  <c r="MW17" i="32"/>
  <c r="MV17" i="32"/>
  <c r="MU17" i="32"/>
  <c r="MT17" i="32"/>
  <c r="MS17" i="32"/>
  <c r="MR17" i="32"/>
  <c r="MQ17" i="32"/>
  <c r="MZ16" i="32"/>
  <c r="MY16" i="32"/>
  <c r="MX16" i="32"/>
  <c r="MW16" i="32"/>
  <c r="MV16" i="32"/>
  <c r="MU16" i="32"/>
  <c r="MT16" i="32"/>
  <c r="MS16" i="32"/>
  <c r="MR16" i="32"/>
  <c r="MQ16" i="32"/>
  <c r="MZ15" i="32"/>
  <c r="MY15" i="32"/>
  <c r="MX15" i="32"/>
  <c r="MW15" i="32"/>
  <c r="MV15" i="32"/>
  <c r="MU15" i="32"/>
  <c r="MT15" i="32"/>
  <c r="MS15" i="32"/>
  <c r="MR15" i="32"/>
  <c r="MQ15" i="32"/>
  <c r="MZ14" i="32"/>
  <c r="MY14" i="32"/>
  <c r="MX14" i="32"/>
  <c r="MW14" i="32"/>
  <c r="MV14" i="32"/>
  <c r="MU14" i="32"/>
  <c r="MT14" i="32"/>
  <c r="MS14" i="32"/>
  <c r="MR14" i="32"/>
  <c r="MQ14" i="32"/>
  <c r="MZ13" i="32"/>
  <c r="MY13" i="32"/>
  <c r="MX13" i="32"/>
  <c r="MW13" i="32"/>
  <c r="MV13" i="32"/>
  <c r="MU13" i="32"/>
  <c r="MT13" i="32"/>
  <c r="MS13" i="32"/>
  <c r="MR13" i="32"/>
  <c r="MQ13" i="32"/>
  <c r="MZ12" i="32"/>
  <c r="MY12" i="32"/>
  <c r="MX12" i="32"/>
  <c r="MW12" i="32"/>
  <c r="MV12" i="32"/>
  <c r="MU12" i="32"/>
  <c r="MT12" i="32"/>
  <c r="MS12" i="32"/>
  <c r="MR12" i="32"/>
  <c r="MQ12" i="32"/>
  <c r="MZ11" i="32"/>
  <c r="MY11" i="32"/>
  <c r="MX11" i="32"/>
  <c r="MW11" i="32"/>
  <c r="MV11" i="32"/>
  <c r="MU11" i="32"/>
  <c r="MT11" i="32"/>
  <c r="MS11" i="32"/>
  <c r="MR11" i="32"/>
  <c r="MQ11" i="32"/>
  <c r="MZ10" i="32"/>
  <c r="MY10" i="32"/>
  <c r="MX10" i="32"/>
  <c r="MW10" i="32"/>
  <c r="MV10" i="32"/>
  <c r="MU10" i="32"/>
  <c r="MT10" i="32"/>
  <c r="MS10" i="32"/>
  <c r="MR10" i="32"/>
  <c r="MQ10" i="32"/>
  <c r="MZ9" i="32"/>
  <c r="MY9" i="32"/>
  <c r="MX9" i="32"/>
  <c r="MW9" i="32"/>
  <c r="MV9" i="32"/>
  <c r="MU9" i="32"/>
  <c r="MT9" i="32"/>
  <c r="MS9" i="32"/>
  <c r="MR9" i="32"/>
  <c r="MQ9" i="32"/>
  <c r="MZ8" i="32"/>
  <c r="MY8" i="32"/>
  <c r="MX8" i="32"/>
  <c r="MW8" i="32"/>
  <c r="MV8" i="32"/>
  <c r="MU8" i="32"/>
  <c r="MT8" i="32"/>
  <c r="MS8" i="32"/>
  <c r="MR8" i="32"/>
  <c r="MQ8" i="32"/>
  <c r="MZ7" i="32"/>
  <c r="MY7" i="32"/>
  <c r="MX7" i="32"/>
  <c r="MW7" i="32"/>
  <c r="MV7" i="32"/>
  <c r="MU7" i="32"/>
  <c r="MT7" i="32"/>
  <c r="MS7" i="32"/>
  <c r="MR7" i="32"/>
  <c r="MQ7" i="32"/>
  <c r="MZ6" i="32"/>
  <c r="MY6" i="32"/>
  <c r="MX6" i="32"/>
  <c r="MW6" i="32"/>
  <c r="MV6" i="32"/>
  <c r="MU6" i="32"/>
  <c r="MT6" i="32"/>
  <c r="MS6" i="32"/>
  <c r="MR6" i="32"/>
  <c r="MQ6" i="32"/>
  <c r="MZ5" i="32"/>
  <c r="MY5" i="32"/>
  <c r="MX5" i="32"/>
  <c r="MW5" i="32"/>
  <c r="MV5" i="32"/>
  <c r="MU5" i="32"/>
  <c r="MT5" i="32"/>
  <c r="MS5" i="32"/>
  <c r="MR5" i="32"/>
  <c r="MQ5" i="32"/>
  <c r="MZ4" i="32"/>
  <c r="MY4" i="32"/>
  <c r="MX4" i="32"/>
  <c r="MW4" i="32"/>
  <c r="MV4" i="32"/>
  <c r="MU4" i="32"/>
  <c r="MT4" i="32"/>
  <c r="MS4" i="32"/>
  <c r="MR4" i="32"/>
  <c r="MQ4" i="32"/>
  <c r="MO42" i="32"/>
  <c r="MN42" i="32"/>
  <c r="MM42" i="32"/>
  <c r="ML42" i="32"/>
  <c r="MK42" i="32"/>
  <c r="MJ42" i="32"/>
  <c r="MI42" i="32"/>
  <c r="MH42" i="32"/>
  <c r="MG42" i="32"/>
  <c r="MF42" i="32"/>
  <c r="MO41" i="32"/>
  <c r="MN41" i="32"/>
  <c r="MM41" i="32"/>
  <c r="ML41" i="32"/>
  <c r="MK41" i="32"/>
  <c r="MJ41" i="32"/>
  <c r="MI41" i="32"/>
  <c r="MH41" i="32"/>
  <c r="MG41" i="32"/>
  <c r="MF41" i="32"/>
  <c r="MO40" i="32"/>
  <c r="MN40" i="32"/>
  <c r="MM40" i="32"/>
  <c r="ML40" i="32"/>
  <c r="MK40" i="32"/>
  <c r="MJ40" i="32"/>
  <c r="MI40" i="32"/>
  <c r="MH40" i="32"/>
  <c r="MG40" i="32"/>
  <c r="MF40" i="32"/>
  <c r="MO39" i="32"/>
  <c r="MN39" i="32"/>
  <c r="MM39" i="32"/>
  <c r="ML39" i="32"/>
  <c r="MK39" i="32"/>
  <c r="MJ39" i="32"/>
  <c r="MI39" i="32"/>
  <c r="MH39" i="32"/>
  <c r="MG39" i="32"/>
  <c r="MF39" i="32"/>
  <c r="MO38" i="32"/>
  <c r="MN38" i="32"/>
  <c r="MM38" i="32"/>
  <c r="ML38" i="32"/>
  <c r="MK38" i="32"/>
  <c r="MJ38" i="32"/>
  <c r="MI38" i="32"/>
  <c r="MH38" i="32"/>
  <c r="MG38" i="32"/>
  <c r="MF38" i="32"/>
  <c r="MO37" i="32"/>
  <c r="MN37" i="32"/>
  <c r="MM37" i="32"/>
  <c r="ML37" i="32"/>
  <c r="MK37" i="32"/>
  <c r="MJ37" i="32"/>
  <c r="MI37" i="32"/>
  <c r="MH37" i="32"/>
  <c r="MG37" i="32"/>
  <c r="MF37" i="32"/>
  <c r="MO36" i="32"/>
  <c r="MN36" i="32"/>
  <c r="MM36" i="32"/>
  <c r="ML36" i="32"/>
  <c r="MK36" i="32"/>
  <c r="MJ36" i="32"/>
  <c r="MI36" i="32"/>
  <c r="MH36" i="32"/>
  <c r="MG36" i="32"/>
  <c r="MF36" i="32"/>
  <c r="MO35" i="32"/>
  <c r="MN35" i="32"/>
  <c r="MM35" i="32"/>
  <c r="ML35" i="32"/>
  <c r="MK35" i="32"/>
  <c r="MJ35" i="32"/>
  <c r="MI35" i="32"/>
  <c r="MH35" i="32"/>
  <c r="MG35" i="32"/>
  <c r="MF35" i="32"/>
  <c r="MO34" i="32"/>
  <c r="MN34" i="32"/>
  <c r="MM34" i="32"/>
  <c r="ML34" i="32"/>
  <c r="MK34" i="32"/>
  <c r="MJ34" i="32"/>
  <c r="MI34" i="32"/>
  <c r="MH34" i="32"/>
  <c r="MG34" i="32"/>
  <c r="MF34" i="32"/>
  <c r="MO33" i="32"/>
  <c r="MN33" i="32"/>
  <c r="MM33" i="32"/>
  <c r="ML33" i="32"/>
  <c r="MK33" i="32"/>
  <c r="MJ33" i="32"/>
  <c r="MI33" i="32"/>
  <c r="MH33" i="32"/>
  <c r="MG33" i="32"/>
  <c r="MF33" i="32"/>
  <c r="MO32" i="32"/>
  <c r="MN32" i="32"/>
  <c r="MM32" i="32"/>
  <c r="ML32" i="32"/>
  <c r="MK32" i="32"/>
  <c r="MJ32" i="32"/>
  <c r="MI32" i="32"/>
  <c r="MH32" i="32"/>
  <c r="MG32" i="32"/>
  <c r="MF32" i="32"/>
  <c r="MO31" i="32"/>
  <c r="MN31" i="32"/>
  <c r="MM31" i="32"/>
  <c r="ML31" i="32"/>
  <c r="MK31" i="32"/>
  <c r="MJ31" i="32"/>
  <c r="MI31" i="32"/>
  <c r="MH31" i="32"/>
  <c r="MG31" i="32"/>
  <c r="MF31" i="32"/>
  <c r="MO30" i="32"/>
  <c r="MN30" i="32"/>
  <c r="MM30" i="32"/>
  <c r="ML30" i="32"/>
  <c r="MK30" i="32"/>
  <c r="MJ30" i="32"/>
  <c r="MI30" i="32"/>
  <c r="MH30" i="32"/>
  <c r="MG30" i="32"/>
  <c r="MF30" i="32"/>
  <c r="MO29" i="32"/>
  <c r="MN29" i="32"/>
  <c r="MM29" i="32"/>
  <c r="ML29" i="32"/>
  <c r="MK29" i="32"/>
  <c r="MJ29" i="32"/>
  <c r="MI29" i="32"/>
  <c r="MH29" i="32"/>
  <c r="MG29" i="32"/>
  <c r="MF29" i="32"/>
  <c r="MO28" i="32"/>
  <c r="MN28" i="32"/>
  <c r="MM28" i="32"/>
  <c r="ML28" i="32"/>
  <c r="MK28" i="32"/>
  <c r="MJ28" i="32"/>
  <c r="MI28" i="32"/>
  <c r="MH28" i="32"/>
  <c r="MG28" i="32"/>
  <c r="MF28" i="32"/>
  <c r="MO27" i="32"/>
  <c r="MN27" i="32"/>
  <c r="MM27" i="32"/>
  <c r="ML27" i="32"/>
  <c r="MK27" i="32"/>
  <c r="MJ27" i="32"/>
  <c r="MI27" i="32"/>
  <c r="MH27" i="32"/>
  <c r="MG27" i="32"/>
  <c r="MF27" i="32"/>
  <c r="MO26" i="32"/>
  <c r="MN26" i="32"/>
  <c r="MM26" i="32"/>
  <c r="ML26" i="32"/>
  <c r="MK26" i="32"/>
  <c r="MJ26" i="32"/>
  <c r="MI26" i="32"/>
  <c r="MH26" i="32"/>
  <c r="MG26" i="32"/>
  <c r="MF26" i="32"/>
  <c r="MO25" i="32"/>
  <c r="MN25" i="32"/>
  <c r="MM25" i="32"/>
  <c r="ML25" i="32"/>
  <c r="MK25" i="32"/>
  <c r="MJ25" i="32"/>
  <c r="MI25" i="32"/>
  <c r="MH25" i="32"/>
  <c r="MG25" i="32"/>
  <c r="MF25" i="32"/>
  <c r="MO24" i="32"/>
  <c r="MN24" i="32"/>
  <c r="MM24" i="32"/>
  <c r="ML24" i="32"/>
  <c r="MK24" i="32"/>
  <c r="MJ24" i="32"/>
  <c r="MI24" i="32"/>
  <c r="MH24" i="32"/>
  <c r="MG24" i="32"/>
  <c r="MF24" i="32"/>
  <c r="MO23" i="32"/>
  <c r="MN23" i="32"/>
  <c r="MM23" i="32"/>
  <c r="ML23" i="32"/>
  <c r="MK23" i="32"/>
  <c r="MJ23" i="32"/>
  <c r="MI23" i="32"/>
  <c r="MH23" i="32"/>
  <c r="MG23" i="32"/>
  <c r="MF23" i="32"/>
  <c r="MO22" i="32"/>
  <c r="MN22" i="32"/>
  <c r="MM22" i="32"/>
  <c r="ML22" i="32"/>
  <c r="MK22" i="32"/>
  <c r="MJ22" i="32"/>
  <c r="MI22" i="32"/>
  <c r="MH22" i="32"/>
  <c r="MG22" i="32"/>
  <c r="MF22" i="32"/>
  <c r="MO21" i="32"/>
  <c r="MN21" i="32"/>
  <c r="MM21" i="32"/>
  <c r="ML21" i="32"/>
  <c r="MK21" i="32"/>
  <c r="MJ21" i="32"/>
  <c r="MI21" i="32"/>
  <c r="MH21" i="32"/>
  <c r="MG21" i="32"/>
  <c r="MF21" i="32"/>
  <c r="MO20" i="32"/>
  <c r="MN20" i="32"/>
  <c r="MM20" i="32"/>
  <c r="ML20" i="32"/>
  <c r="MK20" i="32"/>
  <c r="MJ20" i="32"/>
  <c r="MI20" i="32"/>
  <c r="MH20" i="32"/>
  <c r="MG20" i="32"/>
  <c r="MF20" i="32"/>
  <c r="MO19" i="32"/>
  <c r="MN19" i="32"/>
  <c r="MM19" i="32"/>
  <c r="ML19" i="32"/>
  <c r="MK19" i="32"/>
  <c r="MJ19" i="32"/>
  <c r="MI19" i="32"/>
  <c r="MH19" i="32"/>
  <c r="MG19" i="32"/>
  <c r="MF19" i="32"/>
  <c r="MO18" i="32"/>
  <c r="MN18" i="32"/>
  <c r="MM18" i="32"/>
  <c r="ML18" i="32"/>
  <c r="MK18" i="32"/>
  <c r="MJ18" i="32"/>
  <c r="MI18" i="32"/>
  <c r="MH18" i="32"/>
  <c r="MG18" i="32"/>
  <c r="MF18" i="32"/>
  <c r="MO17" i="32"/>
  <c r="MN17" i="32"/>
  <c r="MM17" i="32"/>
  <c r="ML17" i="32"/>
  <c r="MK17" i="32"/>
  <c r="MJ17" i="32"/>
  <c r="MI17" i="32"/>
  <c r="MH17" i="32"/>
  <c r="MG17" i="32"/>
  <c r="MF17" i="32"/>
  <c r="MO16" i="32"/>
  <c r="MN16" i="32"/>
  <c r="MM16" i="32"/>
  <c r="ML16" i="32"/>
  <c r="MK16" i="32"/>
  <c r="MJ16" i="32"/>
  <c r="MI16" i="32"/>
  <c r="MH16" i="32"/>
  <c r="MG16" i="32"/>
  <c r="MF16" i="32"/>
  <c r="MO15" i="32"/>
  <c r="MN15" i="32"/>
  <c r="MM15" i="32"/>
  <c r="ML15" i="32"/>
  <c r="MK15" i="32"/>
  <c r="MJ15" i="32"/>
  <c r="MI15" i="32"/>
  <c r="MH15" i="32"/>
  <c r="MG15" i="32"/>
  <c r="MF15" i="32"/>
  <c r="MO14" i="32"/>
  <c r="MN14" i="32"/>
  <c r="MM14" i="32"/>
  <c r="ML14" i="32"/>
  <c r="MK14" i="32"/>
  <c r="MJ14" i="32"/>
  <c r="MI14" i="32"/>
  <c r="MH14" i="32"/>
  <c r="MG14" i="32"/>
  <c r="MF14" i="32"/>
  <c r="MO13" i="32"/>
  <c r="MN13" i="32"/>
  <c r="MM13" i="32"/>
  <c r="ML13" i="32"/>
  <c r="MK13" i="32"/>
  <c r="MJ13" i="32"/>
  <c r="MI13" i="32"/>
  <c r="MH13" i="32"/>
  <c r="MG13" i="32"/>
  <c r="MF13" i="32"/>
  <c r="MO12" i="32"/>
  <c r="MN12" i="32"/>
  <c r="MM12" i="32"/>
  <c r="ML12" i="32"/>
  <c r="MK12" i="32"/>
  <c r="MJ12" i="32"/>
  <c r="MI12" i="32"/>
  <c r="MH12" i="32"/>
  <c r="MG12" i="32"/>
  <c r="MF12" i="32"/>
  <c r="MO11" i="32"/>
  <c r="MN11" i="32"/>
  <c r="MM11" i="32"/>
  <c r="ML11" i="32"/>
  <c r="MK11" i="32"/>
  <c r="MJ11" i="32"/>
  <c r="MI11" i="32"/>
  <c r="MH11" i="32"/>
  <c r="MG11" i="32"/>
  <c r="MF11" i="32"/>
  <c r="MO10" i="32"/>
  <c r="MN10" i="32"/>
  <c r="MM10" i="32"/>
  <c r="ML10" i="32"/>
  <c r="MK10" i="32"/>
  <c r="MJ10" i="32"/>
  <c r="MI10" i="32"/>
  <c r="MH10" i="32"/>
  <c r="MG10" i="32"/>
  <c r="MF10" i="32"/>
  <c r="MO9" i="32"/>
  <c r="MN9" i="32"/>
  <c r="MM9" i="32"/>
  <c r="ML9" i="32"/>
  <c r="MK9" i="32"/>
  <c r="MJ9" i="32"/>
  <c r="MI9" i="32"/>
  <c r="MH9" i="32"/>
  <c r="MG9" i="32"/>
  <c r="MF9" i="32"/>
  <c r="MO8" i="32"/>
  <c r="MN8" i="32"/>
  <c r="MM8" i="32"/>
  <c r="ML8" i="32"/>
  <c r="MK8" i="32"/>
  <c r="MJ8" i="32"/>
  <c r="MI8" i="32"/>
  <c r="MH8" i="32"/>
  <c r="MG8" i="32"/>
  <c r="MF8" i="32"/>
  <c r="MO7" i="32"/>
  <c r="MN7" i="32"/>
  <c r="MM7" i="32"/>
  <c r="ML7" i="32"/>
  <c r="MK7" i="32"/>
  <c r="MJ7" i="32"/>
  <c r="MI7" i="32"/>
  <c r="MH7" i="32"/>
  <c r="MG7" i="32"/>
  <c r="MF7" i="32"/>
  <c r="MO6" i="32"/>
  <c r="MN6" i="32"/>
  <c r="MM6" i="32"/>
  <c r="ML6" i="32"/>
  <c r="MK6" i="32"/>
  <c r="MJ6" i="32"/>
  <c r="MI6" i="32"/>
  <c r="MH6" i="32"/>
  <c r="MG6" i="32"/>
  <c r="MF6" i="32"/>
  <c r="MO5" i="32"/>
  <c r="MN5" i="32"/>
  <c r="MM5" i="32"/>
  <c r="ML5" i="32"/>
  <c r="MK5" i="32"/>
  <c r="MJ5" i="32"/>
  <c r="MI5" i="32"/>
  <c r="MH5" i="32"/>
  <c r="MG5" i="32"/>
  <c r="MF5" i="32"/>
  <c r="MO4" i="32"/>
  <c r="MN4" i="32"/>
  <c r="MM4" i="32"/>
  <c r="ML4" i="32"/>
  <c r="MK4" i="32"/>
  <c r="MJ4" i="32"/>
  <c r="MI4" i="32"/>
  <c r="MH4" i="32"/>
  <c r="MG4" i="32"/>
  <c r="MF4" i="32"/>
  <c r="MD42" i="32"/>
  <c r="MC42" i="32"/>
  <c r="MB42" i="32"/>
  <c r="MA42" i="32"/>
  <c r="LZ42" i="32"/>
  <c r="LY42" i="32"/>
  <c r="LX42" i="32"/>
  <c r="LW42" i="32"/>
  <c r="LV42" i="32"/>
  <c r="LU42" i="32"/>
  <c r="MD41" i="32"/>
  <c r="MC41" i="32"/>
  <c r="MB41" i="32"/>
  <c r="MA41" i="32"/>
  <c r="LZ41" i="32"/>
  <c r="LY41" i="32"/>
  <c r="LX41" i="32"/>
  <c r="LW41" i="32"/>
  <c r="LV41" i="32"/>
  <c r="LU41" i="32"/>
  <c r="MD40" i="32"/>
  <c r="MC40" i="32"/>
  <c r="MB40" i="32"/>
  <c r="MA40" i="32"/>
  <c r="LZ40" i="32"/>
  <c r="LY40" i="32"/>
  <c r="LX40" i="32"/>
  <c r="LW40" i="32"/>
  <c r="LV40" i="32"/>
  <c r="LU40" i="32"/>
  <c r="MD39" i="32"/>
  <c r="MC39" i="32"/>
  <c r="MB39" i="32"/>
  <c r="MA39" i="32"/>
  <c r="LZ39" i="32"/>
  <c r="LY39" i="32"/>
  <c r="LX39" i="32"/>
  <c r="LW39" i="32"/>
  <c r="LV39" i="32"/>
  <c r="LU39" i="32"/>
  <c r="MD38" i="32"/>
  <c r="MC38" i="32"/>
  <c r="MB38" i="32"/>
  <c r="MA38" i="32"/>
  <c r="LZ38" i="32"/>
  <c r="LY38" i="32"/>
  <c r="LX38" i="32"/>
  <c r="LW38" i="32"/>
  <c r="LV38" i="32"/>
  <c r="LU38" i="32"/>
  <c r="MD37" i="32"/>
  <c r="MC37" i="32"/>
  <c r="MB37" i="32"/>
  <c r="MA37" i="32"/>
  <c r="LZ37" i="32"/>
  <c r="LY37" i="32"/>
  <c r="LX37" i="32"/>
  <c r="LW37" i="32"/>
  <c r="LV37" i="32"/>
  <c r="LU37" i="32"/>
  <c r="MD36" i="32"/>
  <c r="MC36" i="32"/>
  <c r="MB36" i="32"/>
  <c r="MA36" i="32"/>
  <c r="LZ36" i="32"/>
  <c r="LY36" i="32"/>
  <c r="LX36" i="32"/>
  <c r="LW36" i="32"/>
  <c r="LV36" i="32"/>
  <c r="LU36" i="32"/>
  <c r="MD35" i="32"/>
  <c r="MC35" i="32"/>
  <c r="MB35" i="32"/>
  <c r="MA35" i="32"/>
  <c r="LZ35" i="32"/>
  <c r="LY35" i="32"/>
  <c r="LX35" i="32"/>
  <c r="LW35" i="32"/>
  <c r="LV35" i="32"/>
  <c r="LU35" i="32"/>
  <c r="MD34" i="32"/>
  <c r="MC34" i="32"/>
  <c r="MB34" i="32"/>
  <c r="MA34" i="32"/>
  <c r="LZ34" i="32"/>
  <c r="LY34" i="32"/>
  <c r="LX34" i="32"/>
  <c r="LW34" i="32"/>
  <c r="LV34" i="32"/>
  <c r="LU34" i="32"/>
  <c r="MD33" i="32"/>
  <c r="MC33" i="32"/>
  <c r="MB33" i="32"/>
  <c r="MA33" i="32"/>
  <c r="LZ33" i="32"/>
  <c r="LY33" i="32"/>
  <c r="LX33" i="32"/>
  <c r="LW33" i="32"/>
  <c r="LV33" i="32"/>
  <c r="LU33" i="32"/>
  <c r="MD32" i="32"/>
  <c r="MC32" i="32"/>
  <c r="MB32" i="32"/>
  <c r="MA32" i="32"/>
  <c r="LZ32" i="32"/>
  <c r="LY32" i="32"/>
  <c r="LX32" i="32"/>
  <c r="LW32" i="32"/>
  <c r="LV32" i="32"/>
  <c r="LU32" i="32"/>
  <c r="MD31" i="32"/>
  <c r="MC31" i="32"/>
  <c r="MB31" i="32"/>
  <c r="MA31" i="32"/>
  <c r="LZ31" i="32"/>
  <c r="LY31" i="32"/>
  <c r="LX31" i="32"/>
  <c r="LW31" i="32"/>
  <c r="LV31" i="32"/>
  <c r="LU31" i="32"/>
  <c r="MD30" i="32"/>
  <c r="MC30" i="32"/>
  <c r="MB30" i="32"/>
  <c r="MA30" i="32"/>
  <c r="LZ30" i="32"/>
  <c r="LY30" i="32"/>
  <c r="LX30" i="32"/>
  <c r="LW30" i="32"/>
  <c r="LV30" i="32"/>
  <c r="LU30" i="32"/>
  <c r="MD29" i="32"/>
  <c r="MC29" i="32"/>
  <c r="MB29" i="32"/>
  <c r="MA29" i="32"/>
  <c r="LZ29" i="32"/>
  <c r="LY29" i="32"/>
  <c r="LX29" i="32"/>
  <c r="LW29" i="32"/>
  <c r="LV29" i="32"/>
  <c r="LU29" i="32"/>
  <c r="MD28" i="32"/>
  <c r="MC28" i="32"/>
  <c r="MB28" i="32"/>
  <c r="MA28" i="32"/>
  <c r="LZ28" i="32"/>
  <c r="LY28" i="32"/>
  <c r="LX28" i="32"/>
  <c r="LW28" i="32"/>
  <c r="LV28" i="32"/>
  <c r="LU28" i="32"/>
  <c r="MD27" i="32"/>
  <c r="MC27" i="32"/>
  <c r="MB27" i="32"/>
  <c r="MA27" i="32"/>
  <c r="LZ27" i="32"/>
  <c r="LY27" i="32"/>
  <c r="LX27" i="32"/>
  <c r="LW27" i="32"/>
  <c r="LV27" i="32"/>
  <c r="LU27" i="32"/>
  <c r="MD26" i="32"/>
  <c r="MC26" i="32"/>
  <c r="MB26" i="32"/>
  <c r="MA26" i="32"/>
  <c r="LZ26" i="32"/>
  <c r="LY26" i="32"/>
  <c r="LX26" i="32"/>
  <c r="LW26" i="32"/>
  <c r="LV26" i="32"/>
  <c r="LU26" i="32"/>
  <c r="MD25" i="32"/>
  <c r="MC25" i="32"/>
  <c r="MB25" i="32"/>
  <c r="MA25" i="32"/>
  <c r="LZ25" i="32"/>
  <c r="LY25" i="32"/>
  <c r="LX25" i="32"/>
  <c r="LW25" i="32"/>
  <c r="LV25" i="32"/>
  <c r="LU25" i="32"/>
  <c r="MD24" i="32"/>
  <c r="MC24" i="32"/>
  <c r="MB24" i="32"/>
  <c r="MA24" i="32"/>
  <c r="LZ24" i="32"/>
  <c r="LY24" i="32"/>
  <c r="LX24" i="32"/>
  <c r="LW24" i="32"/>
  <c r="LV24" i="32"/>
  <c r="LU24" i="32"/>
  <c r="MD23" i="32"/>
  <c r="MC23" i="32"/>
  <c r="MB23" i="32"/>
  <c r="MA23" i="32"/>
  <c r="LZ23" i="32"/>
  <c r="LY23" i="32"/>
  <c r="LX23" i="32"/>
  <c r="LW23" i="32"/>
  <c r="LV23" i="32"/>
  <c r="LU23" i="32"/>
  <c r="MD22" i="32"/>
  <c r="MC22" i="32"/>
  <c r="MB22" i="32"/>
  <c r="MA22" i="32"/>
  <c r="LZ22" i="32"/>
  <c r="LY22" i="32"/>
  <c r="LX22" i="32"/>
  <c r="LW22" i="32"/>
  <c r="LV22" i="32"/>
  <c r="LU22" i="32"/>
  <c r="MD21" i="32"/>
  <c r="MC21" i="32"/>
  <c r="MB21" i="32"/>
  <c r="MA21" i="32"/>
  <c r="LZ21" i="32"/>
  <c r="LY21" i="32"/>
  <c r="LX21" i="32"/>
  <c r="LW21" i="32"/>
  <c r="LV21" i="32"/>
  <c r="LU21" i="32"/>
  <c r="MD20" i="32"/>
  <c r="MC20" i="32"/>
  <c r="MB20" i="32"/>
  <c r="MA20" i="32"/>
  <c r="LZ20" i="32"/>
  <c r="LY20" i="32"/>
  <c r="LX20" i="32"/>
  <c r="LW20" i="32"/>
  <c r="LV20" i="32"/>
  <c r="LU20" i="32"/>
  <c r="MD19" i="32"/>
  <c r="MC19" i="32"/>
  <c r="MB19" i="32"/>
  <c r="MA19" i="32"/>
  <c r="LZ19" i="32"/>
  <c r="LY19" i="32"/>
  <c r="LX19" i="32"/>
  <c r="LW19" i="32"/>
  <c r="LV19" i="32"/>
  <c r="LU19" i="32"/>
  <c r="MD18" i="32"/>
  <c r="MC18" i="32"/>
  <c r="MB18" i="32"/>
  <c r="MA18" i="32"/>
  <c r="LZ18" i="32"/>
  <c r="LY18" i="32"/>
  <c r="LX18" i="32"/>
  <c r="LW18" i="32"/>
  <c r="LV18" i="32"/>
  <c r="LU18" i="32"/>
  <c r="MD17" i="32"/>
  <c r="MC17" i="32"/>
  <c r="MB17" i="32"/>
  <c r="MA17" i="32"/>
  <c r="LZ17" i="32"/>
  <c r="LY17" i="32"/>
  <c r="LX17" i="32"/>
  <c r="LW17" i="32"/>
  <c r="LV17" i="32"/>
  <c r="LU17" i="32"/>
  <c r="MD16" i="32"/>
  <c r="MC16" i="32"/>
  <c r="MB16" i="32"/>
  <c r="MA16" i="32"/>
  <c r="LZ16" i="32"/>
  <c r="LY16" i="32"/>
  <c r="LX16" i="32"/>
  <c r="LW16" i="32"/>
  <c r="LV16" i="32"/>
  <c r="LU16" i="32"/>
  <c r="MD15" i="32"/>
  <c r="MC15" i="32"/>
  <c r="MB15" i="32"/>
  <c r="MA15" i="32"/>
  <c r="LZ15" i="32"/>
  <c r="LY15" i="32"/>
  <c r="LX15" i="32"/>
  <c r="LW15" i="32"/>
  <c r="LV15" i="32"/>
  <c r="LU15" i="32"/>
  <c r="MD14" i="32"/>
  <c r="MC14" i="32"/>
  <c r="MB14" i="32"/>
  <c r="MA14" i="32"/>
  <c r="LZ14" i="32"/>
  <c r="LY14" i="32"/>
  <c r="LX14" i="32"/>
  <c r="LW14" i="32"/>
  <c r="LV14" i="32"/>
  <c r="LU14" i="32"/>
  <c r="MD13" i="32"/>
  <c r="MC13" i="32"/>
  <c r="MB13" i="32"/>
  <c r="MA13" i="32"/>
  <c r="LZ13" i="32"/>
  <c r="LY13" i="32"/>
  <c r="LX13" i="32"/>
  <c r="LW13" i="32"/>
  <c r="LV13" i="32"/>
  <c r="LU13" i="32"/>
  <c r="MD12" i="32"/>
  <c r="MC12" i="32"/>
  <c r="MB12" i="32"/>
  <c r="MA12" i="32"/>
  <c r="LZ12" i="32"/>
  <c r="LY12" i="32"/>
  <c r="LX12" i="32"/>
  <c r="LW12" i="32"/>
  <c r="LV12" i="32"/>
  <c r="LU12" i="32"/>
  <c r="MD11" i="32"/>
  <c r="MC11" i="32"/>
  <c r="MB11" i="32"/>
  <c r="MA11" i="32"/>
  <c r="LZ11" i="32"/>
  <c r="LY11" i="32"/>
  <c r="LX11" i="32"/>
  <c r="LW11" i="32"/>
  <c r="LV11" i="32"/>
  <c r="LU11" i="32"/>
  <c r="MD10" i="32"/>
  <c r="MC10" i="32"/>
  <c r="MB10" i="32"/>
  <c r="MA10" i="32"/>
  <c r="LZ10" i="32"/>
  <c r="LY10" i="32"/>
  <c r="LX10" i="32"/>
  <c r="LW10" i="32"/>
  <c r="LV10" i="32"/>
  <c r="LU10" i="32"/>
  <c r="MD9" i="32"/>
  <c r="MC9" i="32"/>
  <c r="MB9" i="32"/>
  <c r="MA9" i="32"/>
  <c r="LZ9" i="32"/>
  <c r="LY9" i="32"/>
  <c r="LX9" i="32"/>
  <c r="LW9" i="32"/>
  <c r="LV9" i="32"/>
  <c r="LU9" i="32"/>
  <c r="MD8" i="32"/>
  <c r="MC8" i="32"/>
  <c r="MB8" i="32"/>
  <c r="MA8" i="32"/>
  <c r="LZ8" i="32"/>
  <c r="LY8" i="32"/>
  <c r="LX8" i="32"/>
  <c r="LW8" i="32"/>
  <c r="LV8" i="32"/>
  <c r="LU8" i="32"/>
  <c r="MD7" i="32"/>
  <c r="MC7" i="32"/>
  <c r="MB7" i="32"/>
  <c r="MA7" i="32"/>
  <c r="LZ7" i="32"/>
  <c r="LY7" i="32"/>
  <c r="LX7" i="32"/>
  <c r="LW7" i="32"/>
  <c r="LV7" i="32"/>
  <c r="LU7" i="32"/>
  <c r="MD6" i="32"/>
  <c r="MC6" i="32"/>
  <c r="MB6" i="32"/>
  <c r="MA6" i="32"/>
  <c r="LZ6" i="32"/>
  <c r="LY6" i="32"/>
  <c r="LX6" i="32"/>
  <c r="LW6" i="32"/>
  <c r="LV6" i="32"/>
  <c r="LU6" i="32"/>
  <c r="MD5" i="32"/>
  <c r="MC5" i="32"/>
  <c r="MB5" i="32"/>
  <c r="MA5" i="32"/>
  <c r="LZ5" i="32"/>
  <c r="LY5" i="32"/>
  <c r="LX5" i="32"/>
  <c r="LW5" i="32"/>
  <c r="LV5" i="32"/>
  <c r="LU5" i="32"/>
  <c r="MD4" i="32"/>
  <c r="MC4" i="32"/>
  <c r="MB4" i="32"/>
  <c r="MA4" i="32"/>
  <c r="LZ4" i="32"/>
  <c r="LY4" i="32"/>
  <c r="LX4" i="32"/>
  <c r="LW4" i="32"/>
  <c r="LV4" i="32"/>
  <c r="LU4" i="32"/>
  <c r="LS42" i="32"/>
  <c r="LR42" i="32"/>
  <c r="LQ42" i="32"/>
  <c r="LP42" i="32"/>
  <c r="LO42" i="32"/>
  <c r="LN42" i="32"/>
  <c r="LM42" i="32"/>
  <c r="LL42" i="32"/>
  <c r="LK42" i="32"/>
  <c r="LJ42" i="32"/>
  <c r="LS41" i="32"/>
  <c r="LR41" i="32"/>
  <c r="LQ41" i="32"/>
  <c r="LP41" i="32"/>
  <c r="LO41" i="32"/>
  <c r="LN41" i="32"/>
  <c r="LM41" i="32"/>
  <c r="LL41" i="32"/>
  <c r="LK41" i="32"/>
  <c r="LJ41" i="32"/>
  <c r="LS40" i="32"/>
  <c r="LR40" i="32"/>
  <c r="LQ40" i="32"/>
  <c r="LP40" i="32"/>
  <c r="LO40" i="32"/>
  <c r="LN40" i="32"/>
  <c r="LM40" i="32"/>
  <c r="LL40" i="32"/>
  <c r="LK40" i="32"/>
  <c r="LJ40" i="32"/>
  <c r="LS39" i="32"/>
  <c r="LR39" i="32"/>
  <c r="LQ39" i="32"/>
  <c r="LP39" i="32"/>
  <c r="LO39" i="32"/>
  <c r="LN39" i="32"/>
  <c r="LM39" i="32"/>
  <c r="LL39" i="32"/>
  <c r="LK39" i="32"/>
  <c r="LJ39" i="32"/>
  <c r="LS38" i="32"/>
  <c r="LR38" i="32"/>
  <c r="LQ38" i="32"/>
  <c r="LP38" i="32"/>
  <c r="LO38" i="32"/>
  <c r="LN38" i="32"/>
  <c r="LM38" i="32"/>
  <c r="LL38" i="32"/>
  <c r="LK38" i="32"/>
  <c r="LJ38" i="32"/>
  <c r="LS37" i="32"/>
  <c r="LR37" i="32"/>
  <c r="LQ37" i="32"/>
  <c r="LP37" i="32"/>
  <c r="LO37" i="32"/>
  <c r="LN37" i="32"/>
  <c r="LM37" i="32"/>
  <c r="LL37" i="32"/>
  <c r="LK37" i="32"/>
  <c r="LJ37" i="32"/>
  <c r="LS36" i="32"/>
  <c r="LR36" i="32"/>
  <c r="LQ36" i="32"/>
  <c r="LP36" i="32"/>
  <c r="LO36" i="32"/>
  <c r="LN36" i="32"/>
  <c r="LM36" i="32"/>
  <c r="LL36" i="32"/>
  <c r="LK36" i="32"/>
  <c r="LJ36" i="32"/>
  <c r="LS35" i="32"/>
  <c r="LR35" i="32"/>
  <c r="LQ35" i="32"/>
  <c r="LP35" i="32"/>
  <c r="LO35" i="32"/>
  <c r="LN35" i="32"/>
  <c r="LM35" i="32"/>
  <c r="LL35" i="32"/>
  <c r="LK35" i="32"/>
  <c r="LJ35" i="32"/>
  <c r="LS34" i="32"/>
  <c r="LR34" i="32"/>
  <c r="LQ34" i="32"/>
  <c r="LP34" i="32"/>
  <c r="LO34" i="32"/>
  <c r="LN34" i="32"/>
  <c r="LM34" i="32"/>
  <c r="LL34" i="32"/>
  <c r="LK34" i="32"/>
  <c r="LJ34" i="32"/>
  <c r="LS33" i="32"/>
  <c r="LR33" i="32"/>
  <c r="LQ33" i="32"/>
  <c r="LP33" i="32"/>
  <c r="LO33" i="32"/>
  <c r="LN33" i="32"/>
  <c r="LM33" i="32"/>
  <c r="LL33" i="32"/>
  <c r="LK33" i="32"/>
  <c r="LJ33" i="32"/>
  <c r="LS32" i="32"/>
  <c r="LR32" i="32"/>
  <c r="LQ32" i="32"/>
  <c r="LP32" i="32"/>
  <c r="LO32" i="32"/>
  <c r="LN32" i="32"/>
  <c r="LM32" i="32"/>
  <c r="LL32" i="32"/>
  <c r="LK32" i="32"/>
  <c r="LJ32" i="32"/>
  <c r="LS31" i="32"/>
  <c r="LR31" i="32"/>
  <c r="LQ31" i="32"/>
  <c r="LP31" i="32"/>
  <c r="LO31" i="32"/>
  <c r="LN31" i="32"/>
  <c r="LM31" i="32"/>
  <c r="LL31" i="32"/>
  <c r="LK31" i="32"/>
  <c r="LJ31" i="32"/>
  <c r="LS30" i="32"/>
  <c r="LR30" i="32"/>
  <c r="LQ30" i="32"/>
  <c r="LP30" i="32"/>
  <c r="LO30" i="32"/>
  <c r="LN30" i="32"/>
  <c r="LM30" i="32"/>
  <c r="LL30" i="32"/>
  <c r="LK30" i="32"/>
  <c r="LJ30" i="32"/>
  <c r="LS29" i="32"/>
  <c r="LR29" i="32"/>
  <c r="LQ29" i="32"/>
  <c r="LP29" i="32"/>
  <c r="LO29" i="32"/>
  <c r="LN29" i="32"/>
  <c r="LM29" i="32"/>
  <c r="LL29" i="32"/>
  <c r="LK29" i="32"/>
  <c r="LJ29" i="32"/>
  <c r="LS28" i="32"/>
  <c r="LR28" i="32"/>
  <c r="LQ28" i="32"/>
  <c r="LP28" i="32"/>
  <c r="LO28" i="32"/>
  <c r="LN28" i="32"/>
  <c r="LM28" i="32"/>
  <c r="LL28" i="32"/>
  <c r="LK28" i="32"/>
  <c r="LJ28" i="32"/>
  <c r="LS27" i="32"/>
  <c r="LR27" i="32"/>
  <c r="LQ27" i="32"/>
  <c r="LP27" i="32"/>
  <c r="LO27" i="32"/>
  <c r="LN27" i="32"/>
  <c r="LM27" i="32"/>
  <c r="LL27" i="32"/>
  <c r="LK27" i="32"/>
  <c r="LJ27" i="32"/>
  <c r="LS26" i="32"/>
  <c r="LR26" i="32"/>
  <c r="LQ26" i="32"/>
  <c r="LP26" i="32"/>
  <c r="LO26" i="32"/>
  <c r="LN26" i="32"/>
  <c r="LM26" i="32"/>
  <c r="LL26" i="32"/>
  <c r="LK26" i="32"/>
  <c r="LJ26" i="32"/>
  <c r="LS25" i="32"/>
  <c r="LR25" i="32"/>
  <c r="LQ25" i="32"/>
  <c r="LP25" i="32"/>
  <c r="LO25" i="32"/>
  <c r="LN25" i="32"/>
  <c r="LM25" i="32"/>
  <c r="LL25" i="32"/>
  <c r="LK25" i="32"/>
  <c r="LJ25" i="32"/>
  <c r="LS24" i="32"/>
  <c r="LR24" i="32"/>
  <c r="LQ24" i="32"/>
  <c r="LP24" i="32"/>
  <c r="LO24" i="32"/>
  <c r="LN24" i="32"/>
  <c r="LM24" i="32"/>
  <c r="LL24" i="32"/>
  <c r="LK24" i="32"/>
  <c r="LJ24" i="32"/>
  <c r="LS23" i="32"/>
  <c r="LR23" i="32"/>
  <c r="LQ23" i="32"/>
  <c r="LP23" i="32"/>
  <c r="LO23" i="32"/>
  <c r="LN23" i="32"/>
  <c r="LM23" i="32"/>
  <c r="LL23" i="32"/>
  <c r="LK23" i="32"/>
  <c r="LJ23" i="32"/>
  <c r="LS22" i="32"/>
  <c r="LR22" i="32"/>
  <c r="LQ22" i="32"/>
  <c r="LP22" i="32"/>
  <c r="LO22" i="32"/>
  <c r="LN22" i="32"/>
  <c r="LM22" i="32"/>
  <c r="LL22" i="32"/>
  <c r="LK22" i="32"/>
  <c r="LJ22" i="32"/>
  <c r="LS21" i="32"/>
  <c r="LR21" i="32"/>
  <c r="LQ21" i="32"/>
  <c r="LP21" i="32"/>
  <c r="LO21" i="32"/>
  <c r="LN21" i="32"/>
  <c r="LM21" i="32"/>
  <c r="LL21" i="32"/>
  <c r="LK21" i="32"/>
  <c r="LJ21" i="32"/>
  <c r="LS20" i="32"/>
  <c r="LR20" i="32"/>
  <c r="LQ20" i="32"/>
  <c r="LP20" i="32"/>
  <c r="LO20" i="32"/>
  <c r="LN20" i="32"/>
  <c r="LM20" i="32"/>
  <c r="LL20" i="32"/>
  <c r="LK20" i="32"/>
  <c r="LJ20" i="32"/>
  <c r="LS19" i="32"/>
  <c r="LR19" i="32"/>
  <c r="LQ19" i="32"/>
  <c r="LP19" i="32"/>
  <c r="LO19" i="32"/>
  <c r="LN19" i="32"/>
  <c r="LM19" i="32"/>
  <c r="LL19" i="32"/>
  <c r="LK19" i="32"/>
  <c r="LJ19" i="32"/>
  <c r="LS18" i="32"/>
  <c r="LR18" i="32"/>
  <c r="LQ18" i="32"/>
  <c r="LP18" i="32"/>
  <c r="LO18" i="32"/>
  <c r="LN18" i="32"/>
  <c r="LM18" i="32"/>
  <c r="LL18" i="32"/>
  <c r="LK18" i="32"/>
  <c r="LJ18" i="32"/>
  <c r="LS17" i="32"/>
  <c r="LR17" i="32"/>
  <c r="LQ17" i="32"/>
  <c r="LP17" i="32"/>
  <c r="LO17" i="32"/>
  <c r="LN17" i="32"/>
  <c r="LM17" i="32"/>
  <c r="LL17" i="32"/>
  <c r="LK17" i="32"/>
  <c r="LJ17" i="32"/>
  <c r="LS16" i="32"/>
  <c r="LR16" i="32"/>
  <c r="LQ16" i="32"/>
  <c r="LP16" i="32"/>
  <c r="LO16" i="32"/>
  <c r="LN16" i="32"/>
  <c r="LM16" i="32"/>
  <c r="LL16" i="32"/>
  <c r="LK16" i="32"/>
  <c r="LJ16" i="32"/>
  <c r="LS15" i="32"/>
  <c r="LR15" i="32"/>
  <c r="LQ15" i="32"/>
  <c r="LP15" i="32"/>
  <c r="LO15" i="32"/>
  <c r="LN15" i="32"/>
  <c r="LM15" i="32"/>
  <c r="LL15" i="32"/>
  <c r="LK15" i="32"/>
  <c r="LJ15" i="32"/>
  <c r="LS14" i="32"/>
  <c r="LR14" i="32"/>
  <c r="LQ14" i="32"/>
  <c r="LP14" i="32"/>
  <c r="LO14" i="32"/>
  <c r="LN14" i="32"/>
  <c r="LM14" i="32"/>
  <c r="LL14" i="32"/>
  <c r="LK14" i="32"/>
  <c r="LJ14" i="32"/>
  <c r="LS13" i="32"/>
  <c r="LR13" i="32"/>
  <c r="LQ13" i="32"/>
  <c r="LP13" i="32"/>
  <c r="LO13" i="32"/>
  <c r="LN13" i="32"/>
  <c r="LM13" i="32"/>
  <c r="LL13" i="32"/>
  <c r="LK13" i="32"/>
  <c r="LJ13" i="32"/>
  <c r="LS12" i="32"/>
  <c r="LR12" i="32"/>
  <c r="LQ12" i="32"/>
  <c r="LP12" i="32"/>
  <c r="LO12" i="32"/>
  <c r="LN12" i="32"/>
  <c r="LM12" i="32"/>
  <c r="LL12" i="32"/>
  <c r="LK12" i="32"/>
  <c r="LJ12" i="32"/>
  <c r="LS11" i="32"/>
  <c r="LR11" i="32"/>
  <c r="LQ11" i="32"/>
  <c r="LP11" i="32"/>
  <c r="LO11" i="32"/>
  <c r="LN11" i="32"/>
  <c r="LM11" i="32"/>
  <c r="LL11" i="32"/>
  <c r="LK11" i="32"/>
  <c r="LJ11" i="32"/>
  <c r="LS10" i="32"/>
  <c r="LR10" i="32"/>
  <c r="LQ10" i="32"/>
  <c r="LP10" i="32"/>
  <c r="LO10" i="32"/>
  <c r="LN10" i="32"/>
  <c r="LM10" i="32"/>
  <c r="LL10" i="32"/>
  <c r="LK10" i="32"/>
  <c r="LJ10" i="32"/>
  <c r="LS9" i="32"/>
  <c r="LR9" i="32"/>
  <c r="LQ9" i="32"/>
  <c r="LP9" i="32"/>
  <c r="LO9" i="32"/>
  <c r="LN9" i="32"/>
  <c r="LM9" i="32"/>
  <c r="LL9" i="32"/>
  <c r="LK9" i="32"/>
  <c r="LJ9" i="32"/>
  <c r="LS8" i="32"/>
  <c r="LR8" i="32"/>
  <c r="LQ8" i="32"/>
  <c r="LP8" i="32"/>
  <c r="LO8" i="32"/>
  <c r="LN8" i="32"/>
  <c r="LM8" i="32"/>
  <c r="LL8" i="32"/>
  <c r="LK8" i="32"/>
  <c r="LJ8" i="32"/>
  <c r="LS7" i="32"/>
  <c r="LR7" i="32"/>
  <c r="LQ7" i="32"/>
  <c r="LP7" i="32"/>
  <c r="LO7" i="32"/>
  <c r="LN7" i="32"/>
  <c r="LM7" i="32"/>
  <c r="LL7" i="32"/>
  <c r="LK7" i="32"/>
  <c r="LJ7" i="32"/>
  <c r="LS6" i="32"/>
  <c r="LR6" i="32"/>
  <c r="LQ6" i="32"/>
  <c r="LP6" i="32"/>
  <c r="LO6" i="32"/>
  <c r="LN6" i="32"/>
  <c r="LM6" i="32"/>
  <c r="LL6" i="32"/>
  <c r="LK6" i="32"/>
  <c r="LJ6" i="32"/>
  <c r="LS5" i="32"/>
  <c r="LR5" i="32"/>
  <c r="LQ5" i="32"/>
  <c r="LP5" i="32"/>
  <c r="LO5" i="32"/>
  <c r="LN5" i="32"/>
  <c r="LM5" i="32"/>
  <c r="LL5" i="32"/>
  <c r="LK5" i="32"/>
  <c r="LJ5" i="32"/>
  <c r="LS4" i="32"/>
  <c r="LR4" i="32"/>
  <c r="LQ4" i="32"/>
  <c r="LP4" i="32"/>
  <c r="LO4" i="32"/>
  <c r="LN4" i="32"/>
  <c r="LM4" i="32"/>
  <c r="LL4" i="32"/>
  <c r="LK4" i="32"/>
  <c r="LJ4" i="32"/>
  <c r="LH42" i="32"/>
  <c r="LG42" i="32"/>
  <c r="LF42" i="32"/>
  <c r="LE42" i="32"/>
  <c r="LD42" i="32"/>
  <c r="LC42" i="32"/>
  <c r="LB42" i="32"/>
  <c r="LA42" i="32"/>
  <c r="KZ42" i="32"/>
  <c r="KY42" i="32"/>
  <c r="LH41" i="32"/>
  <c r="LG41" i="32"/>
  <c r="LF41" i="32"/>
  <c r="LE41" i="32"/>
  <c r="LD41" i="32"/>
  <c r="LC41" i="32"/>
  <c r="LB41" i="32"/>
  <c r="LA41" i="32"/>
  <c r="KZ41" i="32"/>
  <c r="KY41" i="32"/>
  <c r="LH40" i="32"/>
  <c r="LG40" i="32"/>
  <c r="LF40" i="32"/>
  <c r="LE40" i="32"/>
  <c r="LD40" i="32"/>
  <c r="LC40" i="32"/>
  <c r="LB40" i="32"/>
  <c r="LA40" i="32"/>
  <c r="KZ40" i="32"/>
  <c r="KY40" i="32"/>
  <c r="LH39" i="32"/>
  <c r="LG39" i="32"/>
  <c r="LF39" i="32"/>
  <c r="LE39" i="32"/>
  <c r="LD39" i="32"/>
  <c r="LC39" i="32"/>
  <c r="LB39" i="32"/>
  <c r="LA39" i="32"/>
  <c r="KZ39" i="32"/>
  <c r="KY39" i="32"/>
  <c r="LH38" i="32"/>
  <c r="LG38" i="32"/>
  <c r="LF38" i="32"/>
  <c r="LE38" i="32"/>
  <c r="LD38" i="32"/>
  <c r="LC38" i="32"/>
  <c r="LB38" i="32"/>
  <c r="LA38" i="32"/>
  <c r="KZ38" i="32"/>
  <c r="KY38" i="32"/>
  <c r="LH37" i="32"/>
  <c r="LG37" i="32"/>
  <c r="LF37" i="32"/>
  <c r="LE37" i="32"/>
  <c r="LD37" i="32"/>
  <c r="LC37" i="32"/>
  <c r="LB37" i="32"/>
  <c r="LA37" i="32"/>
  <c r="KZ37" i="32"/>
  <c r="KY37" i="32"/>
  <c r="LH36" i="32"/>
  <c r="LG36" i="32"/>
  <c r="LF36" i="32"/>
  <c r="LE36" i="32"/>
  <c r="LD36" i="32"/>
  <c r="LC36" i="32"/>
  <c r="LB36" i="32"/>
  <c r="LA36" i="32"/>
  <c r="KZ36" i="32"/>
  <c r="KY36" i="32"/>
  <c r="LH35" i="32"/>
  <c r="LG35" i="32"/>
  <c r="LF35" i="32"/>
  <c r="LE35" i="32"/>
  <c r="LD35" i="32"/>
  <c r="LC35" i="32"/>
  <c r="LB35" i="32"/>
  <c r="LA35" i="32"/>
  <c r="KZ35" i="32"/>
  <c r="KY35" i="32"/>
  <c r="LH34" i="32"/>
  <c r="LG34" i="32"/>
  <c r="LF34" i="32"/>
  <c r="LE34" i="32"/>
  <c r="LD34" i="32"/>
  <c r="LC34" i="32"/>
  <c r="LB34" i="32"/>
  <c r="LA34" i="32"/>
  <c r="KZ34" i="32"/>
  <c r="KY34" i="32"/>
  <c r="LH33" i="32"/>
  <c r="LG33" i="32"/>
  <c r="LF33" i="32"/>
  <c r="LE33" i="32"/>
  <c r="LD33" i="32"/>
  <c r="LC33" i="32"/>
  <c r="LB33" i="32"/>
  <c r="LA33" i="32"/>
  <c r="KZ33" i="32"/>
  <c r="KY33" i="32"/>
  <c r="LH32" i="32"/>
  <c r="LG32" i="32"/>
  <c r="LF32" i="32"/>
  <c r="LE32" i="32"/>
  <c r="LD32" i="32"/>
  <c r="LC32" i="32"/>
  <c r="LB32" i="32"/>
  <c r="LA32" i="32"/>
  <c r="KZ32" i="32"/>
  <c r="KY32" i="32"/>
  <c r="LH31" i="32"/>
  <c r="LG31" i="32"/>
  <c r="LF31" i="32"/>
  <c r="LE31" i="32"/>
  <c r="LD31" i="32"/>
  <c r="LC31" i="32"/>
  <c r="LB31" i="32"/>
  <c r="LA31" i="32"/>
  <c r="KZ31" i="32"/>
  <c r="KY31" i="32"/>
  <c r="LH30" i="32"/>
  <c r="LG30" i="32"/>
  <c r="LF30" i="32"/>
  <c r="LE30" i="32"/>
  <c r="LD30" i="32"/>
  <c r="LC30" i="32"/>
  <c r="LB30" i="32"/>
  <c r="LA30" i="32"/>
  <c r="KZ30" i="32"/>
  <c r="KY30" i="32"/>
  <c r="LH29" i="32"/>
  <c r="LG29" i="32"/>
  <c r="LF29" i="32"/>
  <c r="LE29" i="32"/>
  <c r="LD29" i="32"/>
  <c r="LC29" i="32"/>
  <c r="LB29" i="32"/>
  <c r="LA29" i="32"/>
  <c r="KZ29" i="32"/>
  <c r="KY29" i="32"/>
  <c r="LH28" i="32"/>
  <c r="LG28" i="32"/>
  <c r="LF28" i="32"/>
  <c r="LE28" i="32"/>
  <c r="LD28" i="32"/>
  <c r="LC28" i="32"/>
  <c r="LB28" i="32"/>
  <c r="LA28" i="32"/>
  <c r="KZ28" i="32"/>
  <c r="KY28" i="32"/>
  <c r="LH27" i="32"/>
  <c r="LG27" i="32"/>
  <c r="LF27" i="32"/>
  <c r="LE27" i="32"/>
  <c r="LD27" i="32"/>
  <c r="LC27" i="32"/>
  <c r="LB27" i="32"/>
  <c r="LA27" i="32"/>
  <c r="KZ27" i="32"/>
  <c r="KY27" i="32"/>
  <c r="LH26" i="32"/>
  <c r="LG26" i="32"/>
  <c r="LF26" i="32"/>
  <c r="LE26" i="32"/>
  <c r="LD26" i="32"/>
  <c r="LC26" i="32"/>
  <c r="LB26" i="32"/>
  <c r="LA26" i="32"/>
  <c r="KZ26" i="32"/>
  <c r="KY26" i="32"/>
  <c r="LH25" i="32"/>
  <c r="LG25" i="32"/>
  <c r="LF25" i="32"/>
  <c r="LE25" i="32"/>
  <c r="LD25" i="32"/>
  <c r="LC25" i="32"/>
  <c r="LB25" i="32"/>
  <c r="LA25" i="32"/>
  <c r="KZ25" i="32"/>
  <c r="KY25" i="32"/>
  <c r="LH24" i="32"/>
  <c r="LG24" i="32"/>
  <c r="LF24" i="32"/>
  <c r="LE24" i="32"/>
  <c r="LD24" i="32"/>
  <c r="LC24" i="32"/>
  <c r="LB24" i="32"/>
  <c r="LA24" i="32"/>
  <c r="KZ24" i="32"/>
  <c r="KY24" i="32"/>
  <c r="LH23" i="32"/>
  <c r="LG23" i="32"/>
  <c r="LF23" i="32"/>
  <c r="LE23" i="32"/>
  <c r="LD23" i="32"/>
  <c r="LC23" i="32"/>
  <c r="LB23" i="32"/>
  <c r="LA23" i="32"/>
  <c r="KZ23" i="32"/>
  <c r="KY23" i="32"/>
  <c r="LH22" i="32"/>
  <c r="LG22" i="32"/>
  <c r="LF22" i="32"/>
  <c r="LE22" i="32"/>
  <c r="LD22" i="32"/>
  <c r="LC22" i="32"/>
  <c r="LB22" i="32"/>
  <c r="LA22" i="32"/>
  <c r="KZ22" i="32"/>
  <c r="KY22" i="32"/>
  <c r="LH21" i="32"/>
  <c r="LG21" i="32"/>
  <c r="LF21" i="32"/>
  <c r="LE21" i="32"/>
  <c r="LD21" i="32"/>
  <c r="LC21" i="32"/>
  <c r="LB21" i="32"/>
  <c r="LA21" i="32"/>
  <c r="KZ21" i="32"/>
  <c r="KY21" i="32"/>
  <c r="LH20" i="32"/>
  <c r="LG20" i="32"/>
  <c r="LF20" i="32"/>
  <c r="LE20" i="32"/>
  <c r="LD20" i="32"/>
  <c r="LC20" i="32"/>
  <c r="LB20" i="32"/>
  <c r="LA20" i="32"/>
  <c r="KZ20" i="32"/>
  <c r="KY20" i="32"/>
  <c r="LH19" i="32"/>
  <c r="LG19" i="32"/>
  <c r="LF19" i="32"/>
  <c r="LE19" i="32"/>
  <c r="LD19" i="32"/>
  <c r="LC19" i="32"/>
  <c r="LB19" i="32"/>
  <c r="LA19" i="32"/>
  <c r="KZ19" i="32"/>
  <c r="KY19" i="32"/>
  <c r="LH18" i="32"/>
  <c r="LG18" i="32"/>
  <c r="LF18" i="32"/>
  <c r="LE18" i="32"/>
  <c r="LD18" i="32"/>
  <c r="LC18" i="32"/>
  <c r="LB18" i="32"/>
  <c r="LA18" i="32"/>
  <c r="KZ18" i="32"/>
  <c r="KY18" i="32"/>
  <c r="LH17" i="32"/>
  <c r="LG17" i="32"/>
  <c r="LF17" i="32"/>
  <c r="LE17" i="32"/>
  <c r="LD17" i="32"/>
  <c r="LC17" i="32"/>
  <c r="LB17" i="32"/>
  <c r="LA17" i="32"/>
  <c r="KZ17" i="32"/>
  <c r="KY17" i="32"/>
  <c r="LH16" i="32"/>
  <c r="LG16" i="32"/>
  <c r="LF16" i="32"/>
  <c r="LE16" i="32"/>
  <c r="LD16" i="32"/>
  <c r="LC16" i="32"/>
  <c r="LB16" i="32"/>
  <c r="LA16" i="32"/>
  <c r="KZ16" i="32"/>
  <c r="KY16" i="32"/>
  <c r="LH15" i="32"/>
  <c r="LG15" i="32"/>
  <c r="LF15" i="32"/>
  <c r="LE15" i="32"/>
  <c r="LD15" i="32"/>
  <c r="LC15" i="32"/>
  <c r="LB15" i="32"/>
  <c r="LA15" i="32"/>
  <c r="KZ15" i="32"/>
  <c r="KY15" i="32"/>
  <c r="LH14" i="32"/>
  <c r="LG14" i="32"/>
  <c r="LF14" i="32"/>
  <c r="LE14" i="32"/>
  <c r="LD14" i="32"/>
  <c r="LC14" i="32"/>
  <c r="LB14" i="32"/>
  <c r="LA14" i="32"/>
  <c r="KZ14" i="32"/>
  <c r="KY14" i="32"/>
  <c r="LH13" i="32"/>
  <c r="LG13" i="32"/>
  <c r="LF13" i="32"/>
  <c r="LE13" i="32"/>
  <c r="LD13" i="32"/>
  <c r="LC13" i="32"/>
  <c r="LB13" i="32"/>
  <c r="LA13" i="32"/>
  <c r="KZ13" i="32"/>
  <c r="KY13" i="32"/>
  <c r="LH12" i="32"/>
  <c r="LG12" i="32"/>
  <c r="LF12" i="32"/>
  <c r="LE12" i="32"/>
  <c r="LD12" i="32"/>
  <c r="LC12" i="32"/>
  <c r="LB12" i="32"/>
  <c r="LA12" i="32"/>
  <c r="KZ12" i="32"/>
  <c r="KY12" i="32"/>
  <c r="LH11" i="32"/>
  <c r="LG11" i="32"/>
  <c r="LF11" i="32"/>
  <c r="LE11" i="32"/>
  <c r="LD11" i="32"/>
  <c r="LC11" i="32"/>
  <c r="LB11" i="32"/>
  <c r="LA11" i="32"/>
  <c r="KZ11" i="32"/>
  <c r="KY11" i="32"/>
  <c r="LH10" i="32"/>
  <c r="LG10" i="32"/>
  <c r="LF10" i="32"/>
  <c r="LE10" i="32"/>
  <c r="LD10" i="32"/>
  <c r="LC10" i="32"/>
  <c r="LB10" i="32"/>
  <c r="LA10" i="32"/>
  <c r="KZ10" i="32"/>
  <c r="KY10" i="32"/>
  <c r="LH9" i="32"/>
  <c r="LG9" i="32"/>
  <c r="LF9" i="32"/>
  <c r="LE9" i="32"/>
  <c r="LD9" i="32"/>
  <c r="LC9" i="32"/>
  <c r="LB9" i="32"/>
  <c r="LA9" i="32"/>
  <c r="KZ9" i="32"/>
  <c r="KY9" i="32"/>
  <c r="LH8" i="32"/>
  <c r="LG8" i="32"/>
  <c r="LF8" i="32"/>
  <c r="LE8" i="32"/>
  <c r="LD8" i="32"/>
  <c r="LC8" i="32"/>
  <c r="LB8" i="32"/>
  <c r="LA8" i="32"/>
  <c r="KZ8" i="32"/>
  <c r="KY8" i="32"/>
  <c r="LH7" i="32"/>
  <c r="LG7" i="32"/>
  <c r="LF7" i="32"/>
  <c r="LE7" i="32"/>
  <c r="LD7" i="32"/>
  <c r="LC7" i="32"/>
  <c r="LB7" i="32"/>
  <c r="LA7" i="32"/>
  <c r="KZ7" i="32"/>
  <c r="KY7" i="32"/>
  <c r="LH6" i="32"/>
  <c r="LG6" i="32"/>
  <c r="LF6" i="32"/>
  <c r="LE6" i="32"/>
  <c r="LD6" i="32"/>
  <c r="LC6" i="32"/>
  <c r="LB6" i="32"/>
  <c r="LA6" i="32"/>
  <c r="KZ6" i="32"/>
  <c r="KY6" i="32"/>
  <c r="LH5" i="32"/>
  <c r="LG5" i="32"/>
  <c r="LF5" i="32"/>
  <c r="LE5" i="32"/>
  <c r="LD5" i="32"/>
  <c r="LC5" i="32"/>
  <c r="LB5" i="32"/>
  <c r="LA5" i="32"/>
  <c r="KZ5" i="32"/>
  <c r="KY5" i="32"/>
  <c r="LH4" i="32"/>
  <c r="LG4" i="32"/>
  <c r="LF4" i="32"/>
  <c r="LE4" i="32"/>
  <c r="LD4" i="32"/>
  <c r="LC4" i="32"/>
  <c r="LB4" i="32"/>
  <c r="LA4" i="32"/>
  <c r="KZ4" i="32"/>
  <c r="KY4" i="32"/>
  <c r="KW42" i="32"/>
  <c r="KV42" i="32"/>
  <c r="KU42" i="32"/>
  <c r="KT42" i="32"/>
  <c r="KS42" i="32"/>
  <c r="KR42" i="32"/>
  <c r="KQ42" i="32"/>
  <c r="KP42" i="32"/>
  <c r="KO42" i="32"/>
  <c r="KN42" i="32"/>
  <c r="KW41" i="32"/>
  <c r="KV41" i="32"/>
  <c r="KU41" i="32"/>
  <c r="KT41" i="32"/>
  <c r="KS41" i="32"/>
  <c r="KR41" i="32"/>
  <c r="KQ41" i="32"/>
  <c r="KP41" i="32"/>
  <c r="KO41" i="32"/>
  <c r="KN41" i="32"/>
  <c r="KW40" i="32"/>
  <c r="KV40" i="32"/>
  <c r="KU40" i="32"/>
  <c r="KT40" i="32"/>
  <c r="KS40" i="32"/>
  <c r="KR40" i="32"/>
  <c r="KQ40" i="32"/>
  <c r="KP40" i="32"/>
  <c r="KO40" i="32"/>
  <c r="KN40" i="32"/>
  <c r="KW39" i="32"/>
  <c r="KV39" i="32"/>
  <c r="KU39" i="32"/>
  <c r="KT39" i="32"/>
  <c r="KS39" i="32"/>
  <c r="KR39" i="32"/>
  <c r="KQ39" i="32"/>
  <c r="KP39" i="32"/>
  <c r="KO39" i="32"/>
  <c r="KN39" i="32"/>
  <c r="KW38" i="32"/>
  <c r="KV38" i="32"/>
  <c r="KU38" i="32"/>
  <c r="KT38" i="32"/>
  <c r="KS38" i="32"/>
  <c r="KR38" i="32"/>
  <c r="KQ38" i="32"/>
  <c r="KP38" i="32"/>
  <c r="KO38" i="32"/>
  <c r="KN38" i="32"/>
  <c r="KW37" i="32"/>
  <c r="KV37" i="32"/>
  <c r="KU37" i="32"/>
  <c r="KT37" i="32"/>
  <c r="KS37" i="32"/>
  <c r="KR37" i="32"/>
  <c r="KQ37" i="32"/>
  <c r="KP37" i="32"/>
  <c r="KO37" i="32"/>
  <c r="KN37" i="32"/>
  <c r="KW36" i="32"/>
  <c r="KV36" i="32"/>
  <c r="KU36" i="32"/>
  <c r="KT36" i="32"/>
  <c r="KS36" i="32"/>
  <c r="KR36" i="32"/>
  <c r="KQ36" i="32"/>
  <c r="KP36" i="32"/>
  <c r="KO36" i="32"/>
  <c r="KN36" i="32"/>
  <c r="KW35" i="32"/>
  <c r="KV35" i="32"/>
  <c r="KU35" i="32"/>
  <c r="KT35" i="32"/>
  <c r="KS35" i="32"/>
  <c r="KR35" i="32"/>
  <c r="KQ35" i="32"/>
  <c r="KP35" i="32"/>
  <c r="KO35" i="32"/>
  <c r="KN35" i="32"/>
  <c r="KW34" i="32"/>
  <c r="KV34" i="32"/>
  <c r="KU34" i="32"/>
  <c r="KT34" i="32"/>
  <c r="KS34" i="32"/>
  <c r="KR34" i="32"/>
  <c r="KQ34" i="32"/>
  <c r="KP34" i="32"/>
  <c r="KO34" i="32"/>
  <c r="KN34" i="32"/>
  <c r="KW33" i="32"/>
  <c r="KV33" i="32"/>
  <c r="KU33" i="32"/>
  <c r="KT33" i="32"/>
  <c r="KS33" i="32"/>
  <c r="KR33" i="32"/>
  <c r="KQ33" i="32"/>
  <c r="KP33" i="32"/>
  <c r="KO33" i="32"/>
  <c r="KN33" i="32"/>
  <c r="KW32" i="32"/>
  <c r="KV32" i="32"/>
  <c r="KU32" i="32"/>
  <c r="KT32" i="32"/>
  <c r="KS32" i="32"/>
  <c r="KR32" i="32"/>
  <c r="KQ32" i="32"/>
  <c r="KP32" i="32"/>
  <c r="KO32" i="32"/>
  <c r="KN32" i="32"/>
  <c r="KW31" i="32"/>
  <c r="KV31" i="32"/>
  <c r="KU31" i="32"/>
  <c r="KT31" i="32"/>
  <c r="KS31" i="32"/>
  <c r="KR31" i="32"/>
  <c r="KQ31" i="32"/>
  <c r="KP31" i="32"/>
  <c r="KO31" i="32"/>
  <c r="KN31" i="32"/>
  <c r="KW30" i="32"/>
  <c r="KV30" i="32"/>
  <c r="KU30" i="32"/>
  <c r="KT30" i="32"/>
  <c r="KS30" i="32"/>
  <c r="KR30" i="32"/>
  <c r="KQ30" i="32"/>
  <c r="KP30" i="32"/>
  <c r="KO30" i="32"/>
  <c r="KN30" i="32"/>
  <c r="KW29" i="32"/>
  <c r="KV29" i="32"/>
  <c r="KU29" i="32"/>
  <c r="KT29" i="32"/>
  <c r="KS29" i="32"/>
  <c r="KR29" i="32"/>
  <c r="KQ29" i="32"/>
  <c r="KP29" i="32"/>
  <c r="KO29" i="32"/>
  <c r="KN29" i="32"/>
  <c r="KW28" i="32"/>
  <c r="KV28" i="32"/>
  <c r="KU28" i="32"/>
  <c r="KT28" i="32"/>
  <c r="KS28" i="32"/>
  <c r="KR28" i="32"/>
  <c r="KQ28" i="32"/>
  <c r="KP28" i="32"/>
  <c r="KO28" i="32"/>
  <c r="KN28" i="32"/>
  <c r="KW27" i="32"/>
  <c r="KV27" i="32"/>
  <c r="KU27" i="32"/>
  <c r="KT27" i="32"/>
  <c r="KS27" i="32"/>
  <c r="KR27" i="32"/>
  <c r="KQ27" i="32"/>
  <c r="KP27" i="32"/>
  <c r="KO27" i="32"/>
  <c r="KN27" i="32"/>
  <c r="KW26" i="32"/>
  <c r="KV26" i="32"/>
  <c r="KU26" i="32"/>
  <c r="KT26" i="32"/>
  <c r="KS26" i="32"/>
  <c r="KR26" i="32"/>
  <c r="KQ26" i="32"/>
  <c r="KP26" i="32"/>
  <c r="KO26" i="32"/>
  <c r="KN26" i="32"/>
  <c r="KW25" i="32"/>
  <c r="KV25" i="32"/>
  <c r="KU25" i="32"/>
  <c r="KT25" i="32"/>
  <c r="KS25" i="32"/>
  <c r="KR25" i="32"/>
  <c r="KQ25" i="32"/>
  <c r="KP25" i="32"/>
  <c r="KO25" i="32"/>
  <c r="KN25" i="32"/>
  <c r="KW24" i="32"/>
  <c r="KV24" i="32"/>
  <c r="KU24" i="32"/>
  <c r="KT24" i="32"/>
  <c r="KS24" i="32"/>
  <c r="KR24" i="32"/>
  <c r="KQ24" i="32"/>
  <c r="KP24" i="32"/>
  <c r="KO24" i="32"/>
  <c r="KN24" i="32"/>
  <c r="KW23" i="32"/>
  <c r="KV23" i="32"/>
  <c r="KU23" i="32"/>
  <c r="KT23" i="32"/>
  <c r="KS23" i="32"/>
  <c r="KR23" i="32"/>
  <c r="KQ23" i="32"/>
  <c r="KP23" i="32"/>
  <c r="KO23" i="32"/>
  <c r="KN23" i="32"/>
  <c r="KW22" i="32"/>
  <c r="KV22" i="32"/>
  <c r="KU22" i="32"/>
  <c r="KT22" i="32"/>
  <c r="KS22" i="32"/>
  <c r="KR22" i="32"/>
  <c r="KQ22" i="32"/>
  <c r="KP22" i="32"/>
  <c r="KO22" i="32"/>
  <c r="KN22" i="32"/>
  <c r="KW21" i="32"/>
  <c r="KV21" i="32"/>
  <c r="KU21" i="32"/>
  <c r="KT21" i="32"/>
  <c r="KS21" i="32"/>
  <c r="KR21" i="32"/>
  <c r="KQ21" i="32"/>
  <c r="KP21" i="32"/>
  <c r="KO21" i="32"/>
  <c r="KN21" i="32"/>
  <c r="KW20" i="32"/>
  <c r="KV20" i="32"/>
  <c r="KU20" i="32"/>
  <c r="KT20" i="32"/>
  <c r="KS20" i="32"/>
  <c r="KR20" i="32"/>
  <c r="KQ20" i="32"/>
  <c r="KP20" i="32"/>
  <c r="KO20" i="32"/>
  <c r="KN20" i="32"/>
  <c r="KW19" i="32"/>
  <c r="KV19" i="32"/>
  <c r="KU19" i="32"/>
  <c r="KT19" i="32"/>
  <c r="KS19" i="32"/>
  <c r="KR19" i="32"/>
  <c r="KQ19" i="32"/>
  <c r="KP19" i="32"/>
  <c r="KO19" i="32"/>
  <c r="KN19" i="32"/>
  <c r="KW18" i="32"/>
  <c r="KV18" i="32"/>
  <c r="KU18" i="32"/>
  <c r="KT18" i="32"/>
  <c r="KS18" i="32"/>
  <c r="KR18" i="32"/>
  <c r="KQ18" i="32"/>
  <c r="KP18" i="32"/>
  <c r="KO18" i="32"/>
  <c r="KN18" i="32"/>
  <c r="KW17" i="32"/>
  <c r="KV17" i="32"/>
  <c r="KU17" i="32"/>
  <c r="KT17" i="32"/>
  <c r="KS17" i="32"/>
  <c r="KR17" i="32"/>
  <c r="KQ17" i="32"/>
  <c r="KP17" i="32"/>
  <c r="KO17" i="32"/>
  <c r="KN17" i="32"/>
  <c r="KW16" i="32"/>
  <c r="KV16" i="32"/>
  <c r="KU16" i="32"/>
  <c r="KT16" i="32"/>
  <c r="KS16" i="32"/>
  <c r="KR16" i="32"/>
  <c r="KQ16" i="32"/>
  <c r="KP16" i="32"/>
  <c r="KO16" i="32"/>
  <c r="KN16" i="32"/>
  <c r="KW15" i="32"/>
  <c r="KV15" i="32"/>
  <c r="KU15" i="32"/>
  <c r="KT15" i="32"/>
  <c r="KS15" i="32"/>
  <c r="KR15" i="32"/>
  <c r="KQ15" i="32"/>
  <c r="KP15" i="32"/>
  <c r="KO15" i="32"/>
  <c r="KN15" i="32"/>
  <c r="KW14" i="32"/>
  <c r="KV14" i="32"/>
  <c r="KU14" i="32"/>
  <c r="KT14" i="32"/>
  <c r="KS14" i="32"/>
  <c r="KR14" i="32"/>
  <c r="KQ14" i="32"/>
  <c r="KP14" i="32"/>
  <c r="KO14" i="32"/>
  <c r="KN14" i="32"/>
  <c r="KW13" i="32"/>
  <c r="KV13" i="32"/>
  <c r="KU13" i="32"/>
  <c r="KT13" i="32"/>
  <c r="KS13" i="32"/>
  <c r="KR13" i="32"/>
  <c r="KQ13" i="32"/>
  <c r="KP13" i="32"/>
  <c r="KO13" i="32"/>
  <c r="KN13" i="32"/>
  <c r="KW12" i="32"/>
  <c r="KV12" i="32"/>
  <c r="KU12" i="32"/>
  <c r="KT12" i="32"/>
  <c r="KS12" i="32"/>
  <c r="KR12" i="32"/>
  <c r="KQ12" i="32"/>
  <c r="KP12" i="32"/>
  <c r="KO12" i="32"/>
  <c r="KN12" i="32"/>
  <c r="KW11" i="32"/>
  <c r="KV11" i="32"/>
  <c r="KU11" i="32"/>
  <c r="KT11" i="32"/>
  <c r="KS11" i="32"/>
  <c r="KR11" i="32"/>
  <c r="KQ11" i="32"/>
  <c r="KP11" i="32"/>
  <c r="KO11" i="32"/>
  <c r="KN11" i="32"/>
  <c r="KW10" i="32"/>
  <c r="KV10" i="32"/>
  <c r="KU10" i="32"/>
  <c r="KT10" i="32"/>
  <c r="KS10" i="32"/>
  <c r="KR10" i="32"/>
  <c r="KQ10" i="32"/>
  <c r="KP10" i="32"/>
  <c r="KO10" i="32"/>
  <c r="KN10" i="32"/>
  <c r="KW9" i="32"/>
  <c r="KV9" i="32"/>
  <c r="KU9" i="32"/>
  <c r="KT9" i="32"/>
  <c r="KS9" i="32"/>
  <c r="KR9" i="32"/>
  <c r="KQ9" i="32"/>
  <c r="KP9" i="32"/>
  <c r="KO9" i="32"/>
  <c r="KN9" i="32"/>
  <c r="KW8" i="32"/>
  <c r="KV8" i="32"/>
  <c r="KU8" i="32"/>
  <c r="KT8" i="32"/>
  <c r="KS8" i="32"/>
  <c r="KR8" i="32"/>
  <c r="KQ8" i="32"/>
  <c r="KP8" i="32"/>
  <c r="KO8" i="32"/>
  <c r="KN8" i="32"/>
  <c r="KW7" i="32"/>
  <c r="KV7" i="32"/>
  <c r="KU7" i="32"/>
  <c r="KT7" i="32"/>
  <c r="KS7" i="32"/>
  <c r="KR7" i="32"/>
  <c r="KQ7" i="32"/>
  <c r="KP7" i="32"/>
  <c r="KO7" i="32"/>
  <c r="KN7" i="32"/>
  <c r="KW6" i="32"/>
  <c r="KV6" i="32"/>
  <c r="KU6" i="32"/>
  <c r="KT6" i="32"/>
  <c r="KS6" i="32"/>
  <c r="KR6" i="32"/>
  <c r="KQ6" i="32"/>
  <c r="KP6" i="32"/>
  <c r="KO6" i="32"/>
  <c r="KN6" i="32"/>
  <c r="KW5" i="32"/>
  <c r="KV5" i="32"/>
  <c r="KU5" i="32"/>
  <c r="KT5" i="32"/>
  <c r="KS5" i="32"/>
  <c r="KR5" i="32"/>
  <c r="KQ5" i="32"/>
  <c r="KP5" i="32"/>
  <c r="KO5" i="32"/>
  <c r="KN5" i="32"/>
  <c r="KW4" i="32"/>
  <c r="KV4" i="32"/>
  <c r="KU4" i="32"/>
  <c r="KT4" i="32"/>
  <c r="KS4" i="32"/>
  <c r="KR4" i="32"/>
  <c r="KQ4" i="32"/>
  <c r="KP4" i="32"/>
  <c r="KO4" i="32"/>
  <c r="KN4" i="32"/>
  <c r="KL42" i="32"/>
  <c r="KK42" i="32"/>
  <c r="KJ42" i="32"/>
  <c r="KI42" i="32"/>
  <c r="KH42" i="32"/>
  <c r="KG42" i="32"/>
  <c r="KF42" i="32"/>
  <c r="KE42" i="32"/>
  <c r="KD42" i="32"/>
  <c r="KC42" i="32"/>
  <c r="KL41" i="32"/>
  <c r="KK41" i="32"/>
  <c r="KJ41" i="32"/>
  <c r="KI41" i="32"/>
  <c r="KH41" i="32"/>
  <c r="KG41" i="32"/>
  <c r="KF41" i="32"/>
  <c r="KE41" i="32"/>
  <c r="KD41" i="32"/>
  <c r="KC41" i="32"/>
  <c r="KL40" i="32"/>
  <c r="KK40" i="32"/>
  <c r="KJ40" i="32"/>
  <c r="KI40" i="32"/>
  <c r="KH40" i="32"/>
  <c r="KG40" i="32"/>
  <c r="KF40" i="32"/>
  <c r="KE40" i="32"/>
  <c r="KD40" i="32"/>
  <c r="KC40" i="32"/>
  <c r="KL39" i="32"/>
  <c r="KK39" i="32"/>
  <c r="KJ39" i="32"/>
  <c r="KI39" i="32"/>
  <c r="KH39" i="32"/>
  <c r="KG39" i="32"/>
  <c r="KF39" i="32"/>
  <c r="KE39" i="32"/>
  <c r="KD39" i="32"/>
  <c r="KC39" i="32"/>
  <c r="KL38" i="32"/>
  <c r="KK38" i="32"/>
  <c r="KJ38" i="32"/>
  <c r="KI38" i="32"/>
  <c r="KH38" i="32"/>
  <c r="KG38" i="32"/>
  <c r="KF38" i="32"/>
  <c r="KE38" i="32"/>
  <c r="KD38" i="32"/>
  <c r="KC38" i="32"/>
  <c r="KL37" i="32"/>
  <c r="KK37" i="32"/>
  <c r="KJ37" i="32"/>
  <c r="KI37" i="32"/>
  <c r="KH37" i="32"/>
  <c r="KG37" i="32"/>
  <c r="KF37" i="32"/>
  <c r="KE37" i="32"/>
  <c r="KD37" i="32"/>
  <c r="KC37" i="32"/>
  <c r="KL36" i="32"/>
  <c r="KK36" i="32"/>
  <c r="KJ36" i="32"/>
  <c r="KI36" i="32"/>
  <c r="KH36" i="32"/>
  <c r="KG36" i="32"/>
  <c r="KF36" i="32"/>
  <c r="KE36" i="32"/>
  <c r="KD36" i="32"/>
  <c r="KC36" i="32"/>
  <c r="KL35" i="32"/>
  <c r="KK35" i="32"/>
  <c r="KJ35" i="32"/>
  <c r="KI35" i="32"/>
  <c r="KH35" i="32"/>
  <c r="KG35" i="32"/>
  <c r="KF35" i="32"/>
  <c r="KE35" i="32"/>
  <c r="KD35" i="32"/>
  <c r="KC35" i="32"/>
  <c r="KL34" i="32"/>
  <c r="KK34" i="32"/>
  <c r="KJ34" i="32"/>
  <c r="KI34" i="32"/>
  <c r="KH34" i="32"/>
  <c r="KG34" i="32"/>
  <c r="KF34" i="32"/>
  <c r="KE34" i="32"/>
  <c r="KD34" i="32"/>
  <c r="KC34" i="32"/>
  <c r="KL33" i="32"/>
  <c r="KK33" i="32"/>
  <c r="KJ33" i="32"/>
  <c r="KI33" i="32"/>
  <c r="KH33" i="32"/>
  <c r="KG33" i="32"/>
  <c r="KF33" i="32"/>
  <c r="KE33" i="32"/>
  <c r="KD33" i="32"/>
  <c r="KC33" i="32"/>
  <c r="KL32" i="32"/>
  <c r="KK32" i="32"/>
  <c r="KJ32" i="32"/>
  <c r="KI32" i="32"/>
  <c r="KH32" i="32"/>
  <c r="KG32" i="32"/>
  <c r="KF32" i="32"/>
  <c r="KE32" i="32"/>
  <c r="KD32" i="32"/>
  <c r="KC32" i="32"/>
  <c r="KL31" i="32"/>
  <c r="KK31" i="32"/>
  <c r="KJ31" i="32"/>
  <c r="KI31" i="32"/>
  <c r="KH31" i="32"/>
  <c r="KG31" i="32"/>
  <c r="KF31" i="32"/>
  <c r="KE31" i="32"/>
  <c r="KD31" i="32"/>
  <c r="KC31" i="32"/>
  <c r="KL30" i="32"/>
  <c r="KK30" i="32"/>
  <c r="KJ30" i="32"/>
  <c r="KI30" i="32"/>
  <c r="KH30" i="32"/>
  <c r="KG30" i="32"/>
  <c r="KF30" i="32"/>
  <c r="KE30" i="32"/>
  <c r="KD30" i="32"/>
  <c r="KC30" i="32"/>
  <c r="KL29" i="32"/>
  <c r="KK29" i="32"/>
  <c r="KJ29" i="32"/>
  <c r="KI29" i="32"/>
  <c r="KH29" i="32"/>
  <c r="KG29" i="32"/>
  <c r="KF29" i="32"/>
  <c r="KE29" i="32"/>
  <c r="KD29" i="32"/>
  <c r="KC29" i="32"/>
  <c r="KL28" i="32"/>
  <c r="KK28" i="32"/>
  <c r="KJ28" i="32"/>
  <c r="KI28" i="32"/>
  <c r="KH28" i="32"/>
  <c r="KG28" i="32"/>
  <c r="KF28" i="32"/>
  <c r="KE28" i="32"/>
  <c r="KD28" i="32"/>
  <c r="KC28" i="32"/>
  <c r="KL27" i="32"/>
  <c r="KK27" i="32"/>
  <c r="KJ27" i="32"/>
  <c r="KI27" i="32"/>
  <c r="KH27" i="32"/>
  <c r="KG27" i="32"/>
  <c r="KF27" i="32"/>
  <c r="KE27" i="32"/>
  <c r="KD27" i="32"/>
  <c r="KC27" i="32"/>
  <c r="KL26" i="32"/>
  <c r="KK26" i="32"/>
  <c r="KJ26" i="32"/>
  <c r="KI26" i="32"/>
  <c r="KH26" i="32"/>
  <c r="KG26" i="32"/>
  <c r="KF26" i="32"/>
  <c r="KE26" i="32"/>
  <c r="KD26" i="32"/>
  <c r="KC26" i="32"/>
  <c r="KL25" i="32"/>
  <c r="KK25" i="32"/>
  <c r="KJ25" i="32"/>
  <c r="KI25" i="32"/>
  <c r="KH25" i="32"/>
  <c r="KG25" i="32"/>
  <c r="KF25" i="32"/>
  <c r="KE25" i="32"/>
  <c r="KD25" i="32"/>
  <c r="KC25" i="32"/>
  <c r="KL24" i="32"/>
  <c r="KK24" i="32"/>
  <c r="KJ24" i="32"/>
  <c r="KI24" i="32"/>
  <c r="KH24" i="32"/>
  <c r="KG24" i="32"/>
  <c r="KF24" i="32"/>
  <c r="KE24" i="32"/>
  <c r="KD24" i="32"/>
  <c r="KC24" i="32"/>
  <c r="KL23" i="32"/>
  <c r="KK23" i="32"/>
  <c r="KJ23" i="32"/>
  <c r="KI23" i="32"/>
  <c r="KH23" i="32"/>
  <c r="KG23" i="32"/>
  <c r="KF23" i="32"/>
  <c r="KE23" i="32"/>
  <c r="KD23" i="32"/>
  <c r="KC23" i="32"/>
  <c r="KL22" i="32"/>
  <c r="KK22" i="32"/>
  <c r="KJ22" i="32"/>
  <c r="KI22" i="32"/>
  <c r="KH22" i="32"/>
  <c r="KG22" i="32"/>
  <c r="KF22" i="32"/>
  <c r="KE22" i="32"/>
  <c r="KD22" i="32"/>
  <c r="KC22" i="32"/>
  <c r="KL21" i="32"/>
  <c r="KK21" i="32"/>
  <c r="KJ21" i="32"/>
  <c r="KI21" i="32"/>
  <c r="KH21" i="32"/>
  <c r="KG21" i="32"/>
  <c r="KF21" i="32"/>
  <c r="KE21" i="32"/>
  <c r="KD21" i="32"/>
  <c r="KC21" i="32"/>
  <c r="KL20" i="32"/>
  <c r="KK20" i="32"/>
  <c r="KJ20" i="32"/>
  <c r="KI20" i="32"/>
  <c r="KH20" i="32"/>
  <c r="KG20" i="32"/>
  <c r="KF20" i="32"/>
  <c r="KE20" i="32"/>
  <c r="KD20" i="32"/>
  <c r="KC20" i="32"/>
  <c r="KL19" i="32"/>
  <c r="KK19" i="32"/>
  <c r="KJ19" i="32"/>
  <c r="KI19" i="32"/>
  <c r="KH19" i="32"/>
  <c r="KG19" i="32"/>
  <c r="KF19" i="32"/>
  <c r="KE19" i="32"/>
  <c r="KD19" i="32"/>
  <c r="KC19" i="32"/>
  <c r="KL18" i="32"/>
  <c r="KK18" i="32"/>
  <c r="KJ18" i="32"/>
  <c r="KI18" i="32"/>
  <c r="KH18" i="32"/>
  <c r="KG18" i="32"/>
  <c r="KF18" i="32"/>
  <c r="KE18" i="32"/>
  <c r="KD18" i="32"/>
  <c r="KC18" i="32"/>
  <c r="KL17" i="32"/>
  <c r="KK17" i="32"/>
  <c r="KJ17" i="32"/>
  <c r="KI17" i="32"/>
  <c r="KH17" i="32"/>
  <c r="KG17" i="32"/>
  <c r="KF17" i="32"/>
  <c r="KE17" i="32"/>
  <c r="KD17" i="32"/>
  <c r="KC17" i="32"/>
  <c r="KL16" i="32"/>
  <c r="KK16" i="32"/>
  <c r="KJ16" i="32"/>
  <c r="KI16" i="32"/>
  <c r="KH16" i="32"/>
  <c r="KG16" i="32"/>
  <c r="KF16" i="32"/>
  <c r="KE16" i="32"/>
  <c r="KD16" i="32"/>
  <c r="KC16" i="32"/>
  <c r="KL15" i="32"/>
  <c r="KK15" i="32"/>
  <c r="KJ15" i="32"/>
  <c r="KI15" i="32"/>
  <c r="KH15" i="32"/>
  <c r="KG15" i="32"/>
  <c r="KF15" i="32"/>
  <c r="KE15" i="32"/>
  <c r="KD15" i="32"/>
  <c r="KC15" i="32"/>
  <c r="KL14" i="32"/>
  <c r="KK14" i="32"/>
  <c r="KJ14" i="32"/>
  <c r="KI14" i="32"/>
  <c r="KH14" i="32"/>
  <c r="KG14" i="32"/>
  <c r="KF14" i="32"/>
  <c r="KE14" i="32"/>
  <c r="KD14" i="32"/>
  <c r="KC14" i="32"/>
  <c r="KL13" i="32"/>
  <c r="KK13" i="32"/>
  <c r="KJ13" i="32"/>
  <c r="KI13" i="32"/>
  <c r="KH13" i="32"/>
  <c r="KG13" i="32"/>
  <c r="KF13" i="32"/>
  <c r="KE13" i="32"/>
  <c r="KD13" i="32"/>
  <c r="KC13" i="32"/>
  <c r="KL12" i="32"/>
  <c r="KK12" i="32"/>
  <c r="KJ12" i="32"/>
  <c r="KI12" i="32"/>
  <c r="KH12" i="32"/>
  <c r="KG12" i="32"/>
  <c r="KF12" i="32"/>
  <c r="KE12" i="32"/>
  <c r="KD12" i="32"/>
  <c r="KC12" i="32"/>
  <c r="KL11" i="32"/>
  <c r="KK11" i="32"/>
  <c r="KJ11" i="32"/>
  <c r="KI11" i="32"/>
  <c r="KH11" i="32"/>
  <c r="KG11" i="32"/>
  <c r="KF11" i="32"/>
  <c r="KE11" i="32"/>
  <c r="KD11" i="32"/>
  <c r="KC11" i="32"/>
  <c r="KL10" i="32"/>
  <c r="KK10" i="32"/>
  <c r="KJ10" i="32"/>
  <c r="KI10" i="32"/>
  <c r="KH10" i="32"/>
  <c r="KG10" i="32"/>
  <c r="KF10" i="32"/>
  <c r="KE10" i="32"/>
  <c r="KD10" i="32"/>
  <c r="KC10" i="32"/>
  <c r="KL9" i="32"/>
  <c r="KK9" i="32"/>
  <c r="KJ9" i="32"/>
  <c r="KI9" i="32"/>
  <c r="KH9" i="32"/>
  <c r="KG9" i="32"/>
  <c r="KF9" i="32"/>
  <c r="KE9" i="32"/>
  <c r="KD9" i="32"/>
  <c r="KC9" i="32"/>
  <c r="KL8" i="32"/>
  <c r="KK8" i="32"/>
  <c r="KJ8" i="32"/>
  <c r="KI8" i="32"/>
  <c r="KH8" i="32"/>
  <c r="KG8" i="32"/>
  <c r="KF8" i="32"/>
  <c r="KE8" i="32"/>
  <c r="KD8" i="32"/>
  <c r="KC8" i="32"/>
  <c r="KL7" i="32"/>
  <c r="KK7" i="32"/>
  <c r="KJ7" i="32"/>
  <c r="KI7" i="32"/>
  <c r="KH7" i="32"/>
  <c r="KG7" i="32"/>
  <c r="KF7" i="32"/>
  <c r="KE7" i="32"/>
  <c r="KD7" i="32"/>
  <c r="KC7" i="32"/>
  <c r="KL6" i="32"/>
  <c r="KK6" i="32"/>
  <c r="KJ6" i="32"/>
  <c r="KI6" i="32"/>
  <c r="KH6" i="32"/>
  <c r="KG6" i="32"/>
  <c r="KF6" i="32"/>
  <c r="KE6" i="32"/>
  <c r="KD6" i="32"/>
  <c r="KC6" i="32"/>
  <c r="KL5" i="32"/>
  <c r="KK5" i="32"/>
  <c r="KJ5" i="32"/>
  <c r="KI5" i="32"/>
  <c r="KH5" i="32"/>
  <c r="KG5" i="32"/>
  <c r="KF5" i="32"/>
  <c r="KE5" i="32"/>
  <c r="KD5" i="32"/>
  <c r="KC5" i="32"/>
  <c r="KL4" i="32"/>
  <c r="KK4" i="32"/>
  <c r="KJ4" i="32"/>
  <c r="KI4" i="32"/>
  <c r="KH4" i="32"/>
  <c r="KG4" i="32"/>
  <c r="KF4" i="32"/>
  <c r="KE4" i="32"/>
  <c r="KD4" i="32"/>
  <c r="KC4" i="32"/>
  <c r="KA42" i="32"/>
  <c r="JZ42" i="32"/>
  <c r="JY42" i="32"/>
  <c r="JX42" i="32"/>
  <c r="JW42" i="32"/>
  <c r="JV42" i="32"/>
  <c r="JU42" i="32"/>
  <c r="JT42" i="32"/>
  <c r="JS42" i="32"/>
  <c r="JR42" i="32"/>
  <c r="KA41" i="32"/>
  <c r="JZ41" i="32"/>
  <c r="JY41" i="32"/>
  <c r="JX41" i="32"/>
  <c r="JW41" i="32"/>
  <c r="JV41" i="32"/>
  <c r="JU41" i="32"/>
  <c r="JT41" i="32"/>
  <c r="JS41" i="32"/>
  <c r="JR41" i="32"/>
  <c r="KA40" i="32"/>
  <c r="JZ40" i="32"/>
  <c r="JY40" i="32"/>
  <c r="JX40" i="32"/>
  <c r="JW40" i="32"/>
  <c r="JV40" i="32"/>
  <c r="JU40" i="32"/>
  <c r="JT40" i="32"/>
  <c r="JS40" i="32"/>
  <c r="JR40" i="32"/>
  <c r="KA39" i="32"/>
  <c r="JZ39" i="32"/>
  <c r="JY39" i="32"/>
  <c r="JX39" i="32"/>
  <c r="JW39" i="32"/>
  <c r="JV39" i="32"/>
  <c r="JU39" i="32"/>
  <c r="JT39" i="32"/>
  <c r="JS39" i="32"/>
  <c r="JR39" i="32"/>
  <c r="KA38" i="32"/>
  <c r="JZ38" i="32"/>
  <c r="JY38" i="32"/>
  <c r="JX38" i="32"/>
  <c r="JW38" i="32"/>
  <c r="JV38" i="32"/>
  <c r="JU38" i="32"/>
  <c r="JT38" i="32"/>
  <c r="JS38" i="32"/>
  <c r="JR38" i="32"/>
  <c r="KA37" i="32"/>
  <c r="JZ37" i="32"/>
  <c r="JY37" i="32"/>
  <c r="JX37" i="32"/>
  <c r="JW37" i="32"/>
  <c r="JV37" i="32"/>
  <c r="JU37" i="32"/>
  <c r="JT37" i="32"/>
  <c r="JS37" i="32"/>
  <c r="JR37" i="32"/>
  <c r="KA36" i="32"/>
  <c r="JZ36" i="32"/>
  <c r="JY36" i="32"/>
  <c r="JX36" i="32"/>
  <c r="JW36" i="32"/>
  <c r="JV36" i="32"/>
  <c r="JU36" i="32"/>
  <c r="JT36" i="32"/>
  <c r="JS36" i="32"/>
  <c r="JR36" i="32"/>
  <c r="KA35" i="32"/>
  <c r="JZ35" i="32"/>
  <c r="JY35" i="32"/>
  <c r="JX35" i="32"/>
  <c r="JW35" i="32"/>
  <c r="JV35" i="32"/>
  <c r="JU35" i="32"/>
  <c r="JT35" i="32"/>
  <c r="JS35" i="32"/>
  <c r="JR35" i="32"/>
  <c r="KA34" i="32"/>
  <c r="JZ34" i="32"/>
  <c r="JY34" i="32"/>
  <c r="JX34" i="32"/>
  <c r="JW34" i="32"/>
  <c r="JV34" i="32"/>
  <c r="JU34" i="32"/>
  <c r="JT34" i="32"/>
  <c r="JS34" i="32"/>
  <c r="JR34" i="32"/>
  <c r="KA33" i="32"/>
  <c r="JZ33" i="32"/>
  <c r="JY33" i="32"/>
  <c r="JX33" i="32"/>
  <c r="JW33" i="32"/>
  <c r="JV33" i="32"/>
  <c r="JU33" i="32"/>
  <c r="JT33" i="32"/>
  <c r="JS33" i="32"/>
  <c r="JR33" i="32"/>
  <c r="KA32" i="32"/>
  <c r="JZ32" i="32"/>
  <c r="JY32" i="32"/>
  <c r="JX32" i="32"/>
  <c r="JW32" i="32"/>
  <c r="JV32" i="32"/>
  <c r="JU32" i="32"/>
  <c r="JT32" i="32"/>
  <c r="JS32" i="32"/>
  <c r="JR32" i="32"/>
  <c r="KA31" i="32"/>
  <c r="JZ31" i="32"/>
  <c r="JY31" i="32"/>
  <c r="JX31" i="32"/>
  <c r="JW31" i="32"/>
  <c r="JV31" i="32"/>
  <c r="JU31" i="32"/>
  <c r="JT31" i="32"/>
  <c r="JS31" i="32"/>
  <c r="JR31" i="32"/>
  <c r="KA30" i="32"/>
  <c r="JZ30" i="32"/>
  <c r="JY30" i="32"/>
  <c r="JX30" i="32"/>
  <c r="JW30" i="32"/>
  <c r="JV30" i="32"/>
  <c r="JU30" i="32"/>
  <c r="JT30" i="32"/>
  <c r="JS30" i="32"/>
  <c r="JR30" i="32"/>
  <c r="KA29" i="32"/>
  <c r="JZ29" i="32"/>
  <c r="JY29" i="32"/>
  <c r="JX29" i="32"/>
  <c r="JW29" i="32"/>
  <c r="JV29" i="32"/>
  <c r="JU29" i="32"/>
  <c r="JT29" i="32"/>
  <c r="JS29" i="32"/>
  <c r="JR29" i="32"/>
  <c r="KA28" i="32"/>
  <c r="JZ28" i="32"/>
  <c r="JY28" i="32"/>
  <c r="JX28" i="32"/>
  <c r="JW28" i="32"/>
  <c r="JV28" i="32"/>
  <c r="JU28" i="32"/>
  <c r="JT28" i="32"/>
  <c r="JS28" i="32"/>
  <c r="JR28" i="32"/>
  <c r="KA27" i="32"/>
  <c r="JZ27" i="32"/>
  <c r="JY27" i="32"/>
  <c r="JX27" i="32"/>
  <c r="JW27" i="32"/>
  <c r="JV27" i="32"/>
  <c r="JU27" i="32"/>
  <c r="JT27" i="32"/>
  <c r="JS27" i="32"/>
  <c r="JR27" i="32"/>
  <c r="KA26" i="32"/>
  <c r="JZ26" i="32"/>
  <c r="JY26" i="32"/>
  <c r="JX26" i="32"/>
  <c r="JW26" i="32"/>
  <c r="JV26" i="32"/>
  <c r="JU26" i="32"/>
  <c r="JT26" i="32"/>
  <c r="JS26" i="32"/>
  <c r="JR26" i="32"/>
  <c r="KA25" i="32"/>
  <c r="JZ25" i="32"/>
  <c r="JY25" i="32"/>
  <c r="JX25" i="32"/>
  <c r="JW25" i="32"/>
  <c r="JV25" i="32"/>
  <c r="JU25" i="32"/>
  <c r="JT25" i="32"/>
  <c r="JS25" i="32"/>
  <c r="JR25" i="32"/>
  <c r="KA24" i="32"/>
  <c r="JZ24" i="32"/>
  <c r="JY24" i="32"/>
  <c r="JX24" i="32"/>
  <c r="JW24" i="32"/>
  <c r="JV24" i="32"/>
  <c r="JU24" i="32"/>
  <c r="JT24" i="32"/>
  <c r="JS24" i="32"/>
  <c r="JR24" i="32"/>
  <c r="KA23" i="32"/>
  <c r="JZ23" i="32"/>
  <c r="JY23" i="32"/>
  <c r="JX23" i="32"/>
  <c r="JW23" i="32"/>
  <c r="JV23" i="32"/>
  <c r="JU23" i="32"/>
  <c r="JT23" i="32"/>
  <c r="JS23" i="32"/>
  <c r="JR23" i="32"/>
  <c r="KA22" i="32"/>
  <c r="JZ22" i="32"/>
  <c r="JY22" i="32"/>
  <c r="JX22" i="32"/>
  <c r="JW22" i="32"/>
  <c r="JV22" i="32"/>
  <c r="JU22" i="32"/>
  <c r="JT22" i="32"/>
  <c r="JS22" i="32"/>
  <c r="JR22" i="32"/>
  <c r="KA21" i="32"/>
  <c r="JZ21" i="32"/>
  <c r="JY21" i="32"/>
  <c r="JX21" i="32"/>
  <c r="JW21" i="32"/>
  <c r="JV21" i="32"/>
  <c r="JU21" i="32"/>
  <c r="JT21" i="32"/>
  <c r="JS21" i="32"/>
  <c r="JR21" i="32"/>
  <c r="KA20" i="32"/>
  <c r="JZ20" i="32"/>
  <c r="JY20" i="32"/>
  <c r="JX20" i="32"/>
  <c r="JW20" i="32"/>
  <c r="JV20" i="32"/>
  <c r="JU20" i="32"/>
  <c r="JT20" i="32"/>
  <c r="JS20" i="32"/>
  <c r="JR20" i="32"/>
  <c r="KA19" i="32"/>
  <c r="JZ19" i="32"/>
  <c r="JY19" i="32"/>
  <c r="JX19" i="32"/>
  <c r="JW19" i="32"/>
  <c r="JV19" i="32"/>
  <c r="JU19" i="32"/>
  <c r="JT19" i="32"/>
  <c r="JS19" i="32"/>
  <c r="JR19" i="32"/>
  <c r="KA18" i="32"/>
  <c r="JZ18" i="32"/>
  <c r="JY18" i="32"/>
  <c r="JX18" i="32"/>
  <c r="JW18" i="32"/>
  <c r="JV18" i="32"/>
  <c r="JU18" i="32"/>
  <c r="JT18" i="32"/>
  <c r="JS18" i="32"/>
  <c r="JR18" i="32"/>
  <c r="KA17" i="32"/>
  <c r="JZ17" i="32"/>
  <c r="JY17" i="32"/>
  <c r="JX17" i="32"/>
  <c r="JW17" i="32"/>
  <c r="JV17" i="32"/>
  <c r="JU17" i="32"/>
  <c r="JT17" i="32"/>
  <c r="JS17" i="32"/>
  <c r="JR17" i="32"/>
  <c r="KA16" i="32"/>
  <c r="JZ16" i="32"/>
  <c r="JY16" i="32"/>
  <c r="JX16" i="32"/>
  <c r="JW16" i="32"/>
  <c r="JV16" i="32"/>
  <c r="JU16" i="32"/>
  <c r="JT16" i="32"/>
  <c r="JS16" i="32"/>
  <c r="JR16" i="32"/>
  <c r="KA15" i="32"/>
  <c r="JZ15" i="32"/>
  <c r="JY15" i="32"/>
  <c r="JX15" i="32"/>
  <c r="JW15" i="32"/>
  <c r="JV15" i="32"/>
  <c r="JU15" i="32"/>
  <c r="JT15" i="32"/>
  <c r="JS15" i="32"/>
  <c r="JR15" i="32"/>
  <c r="KA14" i="32"/>
  <c r="JZ14" i="32"/>
  <c r="JY14" i="32"/>
  <c r="JX14" i="32"/>
  <c r="JW14" i="32"/>
  <c r="JV14" i="32"/>
  <c r="JU14" i="32"/>
  <c r="JT14" i="32"/>
  <c r="JS14" i="32"/>
  <c r="JR14" i="32"/>
  <c r="KA13" i="32"/>
  <c r="JZ13" i="32"/>
  <c r="JY13" i="32"/>
  <c r="JX13" i="32"/>
  <c r="JW13" i="32"/>
  <c r="JV13" i="32"/>
  <c r="JU13" i="32"/>
  <c r="JT13" i="32"/>
  <c r="JS13" i="32"/>
  <c r="JR13" i="32"/>
  <c r="KA12" i="32"/>
  <c r="JZ12" i="32"/>
  <c r="JY12" i="32"/>
  <c r="JX12" i="32"/>
  <c r="JW12" i="32"/>
  <c r="JV12" i="32"/>
  <c r="JU12" i="32"/>
  <c r="JT12" i="32"/>
  <c r="JS12" i="32"/>
  <c r="JR12" i="32"/>
  <c r="KA11" i="32"/>
  <c r="JZ11" i="32"/>
  <c r="JY11" i="32"/>
  <c r="JX11" i="32"/>
  <c r="JW11" i="32"/>
  <c r="JV11" i="32"/>
  <c r="JU11" i="32"/>
  <c r="JT11" i="32"/>
  <c r="JS11" i="32"/>
  <c r="JR11" i="32"/>
  <c r="KA10" i="32"/>
  <c r="JZ10" i="32"/>
  <c r="JY10" i="32"/>
  <c r="JX10" i="32"/>
  <c r="JW10" i="32"/>
  <c r="JV10" i="32"/>
  <c r="JU10" i="32"/>
  <c r="JT10" i="32"/>
  <c r="JS10" i="32"/>
  <c r="JR10" i="32"/>
  <c r="KA9" i="32"/>
  <c r="JZ9" i="32"/>
  <c r="JY9" i="32"/>
  <c r="JX9" i="32"/>
  <c r="JW9" i="32"/>
  <c r="JV9" i="32"/>
  <c r="JU9" i="32"/>
  <c r="JT9" i="32"/>
  <c r="JS9" i="32"/>
  <c r="JR9" i="32"/>
  <c r="KA8" i="32"/>
  <c r="JZ8" i="32"/>
  <c r="JY8" i="32"/>
  <c r="JX8" i="32"/>
  <c r="JW8" i="32"/>
  <c r="JV8" i="32"/>
  <c r="JU8" i="32"/>
  <c r="JT8" i="32"/>
  <c r="JS8" i="32"/>
  <c r="JR8" i="32"/>
  <c r="KA7" i="32"/>
  <c r="JZ7" i="32"/>
  <c r="JY7" i="32"/>
  <c r="JX7" i="32"/>
  <c r="JW7" i="32"/>
  <c r="JV7" i="32"/>
  <c r="JU7" i="32"/>
  <c r="JT7" i="32"/>
  <c r="JS7" i="32"/>
  <c r="JR7" i="32"/>
  <c r="KA6" i="32"/>
  <c r="JZ6" i="32"/>
  <c r="JY6" i="32"/>
  <c r="JX6" i="32"/>
  <c r="JW6" i="32"/>
  <c r="JV6" i="32"/>
  <c r="JU6" i="32"/>
  <c r="JT6" i="32"/>
  <c r="JS6" i="32"/>
  <c r="JR6" i="32"/>
  <c r="KA5" i="32"/>
  <c r="JZ5" i="32"/>
  <c r="JY5" i="32"/>
  <c r="JX5" i="32"/>
  <c r="JW5" i="32"/>
  <c r="JV5" i="32"/>
  <c r="JU5" i="32"/>
  <c r="JT5" i="32"/>
  <c r="JS5" i="32"/>
  <c r="JR5" i="32"/>
  <c r="KA4" i="32"/>
  <c r="JZ4" i="32"/>
  <c r="JY4" i="32"/>
  <c r="JX4" i="32"/>
  <c r="JW4" i="32"/>
  <c r="JV4" i="32"/>
  <c r="JU4" i="32"/>
  <c r="JT4" i="32"/>
  <c r="JS4" i="32"/>
  <c r="JR4" i="32"/>
  <c r="JP42" i="32"/>
  <c r="JO42" i="32"/>
  <c r="JN42" i="32"/>
  <c r="JM42" i="32"/>
  <c r="JL42" i="32"/>
  <c r="JK42" i="32"/>
  <c r="JJ42" i="32"/>
  <c r="JI42" i="32"/>
  <c r="JH42" i="32"/>
  <c r="JG42" i="32"/>
  <c r="JP41" i="32"/>
  <c r="JO41" i="32"/>
  <c r="JN41" i="32"/>
  <c r="JM41" i="32"/>
  <c r="JL41" i="32"/>
  <c r="JK41" i="32"/>
  <c r="JJ41" i="32"/>
  <c r="JI41" i="32"/>
  <c r="JH41" i="32"/>
  <c r="JG41" i="32"/>
  <c r="JP40" i="32"/>
  <c r="JO40" i="32"/>
  <c r="JN40" i="32"/>
  <c r="JM40" i="32"/>
  <c r="JL40" i="32"/>
  <c r="JK40" i="32"/>
  <c r="JJ40" i="32"/>
  <c r="JI40" i="32"/>
  <c r="JH40" i="32"/>
  <c r="JG40" i="32"/>
  <c r="JP39" i="32"/>
  <c r="JO39" i="32"/>
  <c r="JN39" i="32"/>
  <c r="JM39" i="32"/>
  <c r="JL39" i="32"/>
  <c r="JK39" i="32"/>
  <c r="JJ39" i="32"/>
  <c r="JI39" i="32"/>
  <c r="JH39" i="32"/>
  <c r="JG39" i="32"/>
  <c r="JP38" i="32"/>
  <c r="JO38" i="32"/>
  <c r="JN38" i="32"/>
  <c r="JM38" i="32"/>
  <c r="JL38" i="32"/>
  <c r="JK38" i="32"/>
  <c r="JJ38" i="32"/>
  <c r="JI38" i="32"/>
  <c r="JH38" i="32"/>
  <c r="JG38" i="32"/>
  <c r="JP37" i="32"/>
  <c r="JO37" i="32"/>
  <c r="JN37" i="32"/>
  <c r="JM37" i="32"/>
  <c r="JL37" i="32"/>
  <c r="JK37" i="32"/>
  <c r="JJ37" i="32"/>
  <c r="JI37" i="32"/>
  <c r="JH37" i="32"/>
  <c r="JG37" i="32"/>
  <c r="JP36" i="32"/>
  <c r="JO36" i="32"/>
  <c r="JN36" i="32"/>
  <c r="JM36" i="32"/>
  <c r="JL36" i="32"/>
  <c r="JK36" i="32"/>
  <c r="JJ36" i="32"/>
  <c r="JI36" i="32"/>
  <c r="JH36" i="32"/>
  <c r="JG36" i="32"/>
  <c r="JP35" i="32"/>
  <c r="JO35" i="32"/>
  <c r="JN35" i="32"/>
  <c r="JM35" i="32"/>
  <c r="JL35" i="32"/>
  <c r="JK35" i="32"/>
  <c r="JJ35" i="32"/>
  <c r="JI35" i="32"/>
  <c r="JH35" i="32"/>
  <c r="JG35" i="32"/>
  <c r="JP34" i="32"/>
  <c r="JO34" i="32"/>
  <c r="JN34" i="32"/>
  <c r="JM34" i="32"/>
  <c r="JL34" i="32"/>
  <c r="JK34" i="32"/>
  <c r="JJ34" i="32"/>
  <c r="JI34" i="32"/>
  <c r="JH34" i="32"/>
  <c r="JG34" i="32"/>
  <c r="JP33" i="32"/>
  <c r="JO33" i="32"/>
  <c r="JN33" i="32"/>
  <c r="JM33" i="32"/>
  <c r="JL33" i="32"/>
  <c r="JK33" i="32"/>
  <c r="JJ33" i="32"/>
  <c r="JI33" i="32"/>
  <c r="JH33" i="32"/>
  <c r="JG33" i="32"/>
  <c r="JP32" i="32"/>
  <c r="JO32" i="32"/>
  <c r="JN32" i="32"/>
  <c r="JM32" i="32"/>
  <c r="JL32" i="32"/>
  <c r="JK32" i="32"/>
  <c r="JJ32" i="32"/>
  <c r="JI32" i="32"/>
  <c r="JH32" i="32"/>
  <c r="JG32" i="32"/>
  <c r="JP31" i="32"/>
  <c r="JO31" i="32"/>
  <c r="JN31" i="32"/>
  <c r="JM31" i="32"/>
  <c r="JL31" i="32"/>
  <c r="JK31" i="32"/>
  <c r="JJ31" i="32"/>
  <c r="JI31" i="32"/>
  <c r="JH31" i="32"/>
  <c r="JG31" i="32"/>
  <c r="JP30" i="32"/>
  <c r="JO30" i="32"/>
  <c r="JN30" i="32"/>
  <c r="JM30" i="32"/>
  <c r="JL30" i="32"/>
  <c r="JK30" i="32"/>
  <c r="JJ30" i="32"/>
  <c r="JI30" i="32"/>
  <c r="JH30" i="32"/>
  <c r="JG30" i="32"/>
  <c r="JP29" i="32"/>
  <c r="JO29" i="32"/>
  <c r="JN29" i="32"/>
  <c r="JM29" i="32"/>
  <c r="JL29" i="32"/>
  <c r="JK29" i="32"/>
  <c r="JJ29" i="32"/>
  <c r="JI29" i="32"/>
  <c r="JH29" i="32"/>
  <c r="JG29" i="32"/>
  <c r="JP28" i="32"/>
  <c r="JO28" i="32"/>
  <c r="JN28" i="32"/>
  <c r="JM28" i="32"/>
  <c r="JL28" i="32"/>
  <c r="JK28" i="32"/>
  <c r="JJ28" i="32"/>
  <c r="JI28" i="32"/>
  <c r="JH28" i="32"/>
  <c r="JG28" i="32"/>
  <c r="JP27" i="32"/>
  <c r="JO27" i="32"/>
  <c r="JN27" i="32"/>
  <c r="JM27" i="32"/>
  <c r="JL27" i="32"/>
  <c r="JK27" i="32"/>
  <c r="JJ27" i="32"/>
  <c r="JI27" i="32"/>
  <c r="JH27" i="32"/>
  <c r="JG27" i="32"/>
  <c r="JP26" i="32"/>
  <c r="JO26" i="32"/>
  <c r="JN26" i="32"/>
  <c r="JM26" i="32"/>
  <c r="JL26" i="32"/>
  <c r="JK26" i="32"/>
  <c r="JJ26" i="32"/>
  <c r="JI26" i="32"/>
  <c r="JH26" i="32"/>
  <c r="JG26" i="32"/>
  <c r="JP25" i="32"/>
  <c r="JO25" i="32"/>
  <c r="JN25" i="32"/>
  <c r="JM25" i="32"/>
  <c r="JL25" i="32"/>
  <c r="JK25" i="32"/>
  <c r="JJ25" i="32"/>
  <c r="JI25" i="32"/>
  <c r="JH25" i="32"/>
  <c r="JG25" i="32"/>
  <c r="JP24" i="32"/>
  <c r="JO24" i="32"/>
  <c r="JN24" i="32"/>
  <c r="JM24" i="32"/>
  <c r="JL24" i="32"/>
  <c r="JK24" i="32"/>
  <c r="JJ24" i="32"/>
  <c r="JI24" i="32"/>
  <c r="JH24" i="32"/>
  <c r="JG24" i="32"/>
  <c r="JP23" i="32"/>
  <c r="JO23" i="32"/>
  <c r="JN23" i="32"/>
  <c r="JM23" i="32"/>
  <c r="JL23" i="32"/>
  <c r="JK23" i="32"/>
  <c r="JJ23" i="32"/>
  <c r="JI23" i="32"/>
  <c r="JH23" i="32"/>
  <c r="JG23" i="32"/>
  <c r="JP22" i="32"/>
  <c r="JO22" i="32"/>
  <c r="JN22" i="32"/>
  <c r="JM22" i="32"/>
  <c r="JL22" i="32"/>
  <c r="JK22" i="32"/>
  <c r="JJ22" i="32"/>
  <c r="JI22" i="32"/>
  <c r="JH22" i="32"/>
  <c r="JG22" i="32"/>
  <c r="JP21" i="32"/>
  <c r="JO21" i="32"/>
  <c r="JN21" i="32"/>
  <c r="JM21" i="32"/>
  <c r="JL21" i="32"/>
  <c r="JK21" i="32"/>
  <c r="JJ21" i="32"/>
  <c r="JI21" i="32"/>
  <c r="JH21" i="32"/>
  <c r="JG21" i="32"/>
  <c r="JP20" i="32"/>
  <c r="JO20" i="32"/>
  <c r="JN20" i="32"/>
  <c r="JM20" i="32"/>
  <c r="JL20" i="32"/>
  <c r="JK20" i="32"/>
  <c r="JJ20" i="32"/>
  <c r="JI20" i="32"/>
  <c r="JH20" i="32"/>
  <c r="JG20" i="32"/>
  <c r="JP19" i="32"/>
  <c r="JO19" i="32"/>
  <c r="JN19" i="32"/>
  <c r="JM19" i="32"/>
  <c r="JL19" i="32"/>
  <c r="JK19" i="32"/>
  <c r="JJ19" i="32"/>
  <c r="JI19" i="32"/>
  <c r="JH19" i="32"/>
  <c r="JG19" i="32"/>
  <c r="JP18" i="32"/>
  <c r="JO18" i="32"/>
  <c r="JN18" i="32"/>
  <c r="JM18" i="32"/>
  <c r="JL18" i="32"/>
  <c r="JK18" i="32"/>
  <c r="JJ18" i="32"/>
  <c r="JI18" i="32"/>
  <c r="JH18" i="32"/>
  <c r="JG18" i="32"/>
  <c r="JP17" i="32"/>
  <c r="JO17" i="32"/>
  <c r="JN17" i="32"/>
  <c r="JM17" i="32"/>
  <c r="JL17" i="32"/>
  <c r="JK17" i="32"/>
  <c r="JJ17" i="32"/>
  <c r="JI17" i="32"/>
  <c r="JH17" i="32"/>
  <c r="JG17" i="32"/>
  <c r="JP16" i="32"/>
  <c r="JO16" i="32"/>
  <c r="JN16" i="32"/>
  <c r="JM16" i="32"/>
  <c r="JL16" i="32"/>
  <c r="JK16" i="32"/>
  <c r="JJ16" i="32"/>
  <c r="JI16" i="32"/>
  <c r="JH16" i="32"/>
  <c r="JG16" i="32"/>
  <c r="JP15" i="32"/>
  <c r="JO15" i="32"/>
  <c r="JN15" i="32"/>
  <c r="JM15" i="32"/>
  <c r="JL15" i="32"/>
  <c r="JK15" i="32"/>
  <c r="JJ15" i="32"/>
  <c r="JI15" i="32"/>
  <c r="JH15" i="32"/>
  <c r="JG15" i="32"/>
  <c r="JP14" i="32"/>
  <c r="JO14" i="32"/>
  <c r="JN14" i="32"/>
  <c r="JM14" i="32"/>
  <c r="JL14" i="32"/>
  <c r="JK14" i="32"/>
  <c r="JJ14" i="32"/>
  <c r="JI14" i="32"/>
  <c r="JH14" i="32"/>
  <c r="JG14" i="32"/>
  <c r="JP13" i="32"/>
  <c r="JO13" i="32"/>
  <c r="JN13" i="32"/>
  <c r="JM13" i="32"/>
  <c r="JL13" i="32"/>
  <c r="JK13" i="32"/>
  <c r="JJ13" i="32"/>
  <c r="JI13" i="32"/>
  <c r="JH13" i="32"/>
  <c r="JG13" i="32"/>
  <c r="JP12" i="32"/>
  <c r="JO12" i="32"/>
  <c r="JN12" i="32"/>
  <c r="JM12" i="32"/>
  <c r="JL12" i="32"/>
  <c r="JK12" i="32"/>
  <c r="JJ12" i="32"/>
  <c r="JI12" i="32"/>
  <c r="JH12" i="32"/>
  <c r="JG12" i="32"/>
  <c r="JP11" i="32"/>
  <c r="JO11" i="32"/>
  <c r="JN11" i="32"/>
  <c r="JM11" i="32"/>
  <c r="JL11" i="32"/>
  <c r="JK11" i="32"/>
  <c r="JJ11" i="32"/>
  <c r="JI11" i="32"/>
  <c r="JH11" i="32"/>
  <c r="JG11" i="32"/>
  <c r="JP10" i="32"/>
  <c r="JO10" i="32"/>
  <c r="JN10" i="32"/>
  <c r="JM10" i="32"/>
  <c r="JL10" i="32"/>
  <c r="JK10" i="32"/>
  <c r="JJ10" i="32"/>
  <c r="JI10" i="32"/>
  <c r="JH10" i="32"/>
  <c r="JG10" i="32"/>
  <c r="JP9" i="32"/>
  <c r="JO9" i="32"/>
  <c r="JN9" i="32"/>
  <c r="JM9" i="32"/>
  <c r="JL9" i="32"/>
  <c r="JK9" i="32"/>
  <c r="JJ9" i="32"/>
  <c r="JI9" i="32"/>
  <c r="JH9" i="32"/>
  <c r="JG9" i="32"/>
  <c r="JP8" i="32"/>
  <c r="JO8" i="32"/>
  <c r="JN8" i="32"/>
  <c r="JM8" i="32"/>
  <c r="JL8" i="32"/>
  <c r="JK8" i="32"/>
  <c r="JJ8" i="32"/>
  <c r="JI8" i="32"/>
  <c r="JH8" i="32"/>
  <c r="JG8" i="32"/>
  <c r="JP7" i="32"/>
  <c r="JO7" i="32"/>
  <c r="JN7" i="32"/>
  <c r="JM7" i="32"/>
  <c r="JL7" i="32"/>
  <c r="JK7" i="32"/>
  <c r="JJ7" i="32"/>
  <c r="JI7" i="32"/>
  <c r="JH7" i="32"/>
  <c r="JG7" i="32"/>
  <c r="JP6" i="32"/>
  <c r="JO6" i="32"/>
  <c r="JN6" i="32"/>
  <c r="JM6" i="32"/>
  <c r="JL6" i="32"/>
  <c r="JK6" i="32"/>
  <c r="JJ6" i="32"/>
  <c r="JI6" i="32"/>
  <c r="JH6" i="32"/>
  <c r="JG6" i="32"/>
  <c r="JP5" i="32"/>
  <c r="JO5" i="32"/>
  <c r="JN5" i="32"/>
  <c r="JM5" i="32"/>
  <c r="JL5" i="32"/>
  <c r="JK5" i="32"/>
  <c r="JJ5" i="32"/>
  <c r="JI5" i="32"/>
  <c r="JH5" i="32"/>
  <c r="JG5" i="32"/>
  <c r="JP4" i="32"/>
  <c r="JO4" i="32"/>
  <c r="JN4" i="32"/>
  <c r="JM4" i="32"/>
  <c r="JL4" i="32"/>
  <c r="JK4" i="32"/>
  <c r="JJ4" i="32"/>
  <c r="JI4" i="32"/>
  <c r="JH4" i="32"/>
  <c r="JG4" i="32"/>
  <c r="JE42" i="32"/>
  <c r="JD42" i="32"/>
  <c r="JC42" i="32"/>
  <c r="JB42" i="32"/>
  <c r="JA42" i="32"/>
  <c r="IZ42" i="32"/>
  <c r="IY42" i="32"/>
  <c r="IX42" i="32"/>
  <c r="IW42" i="32"/>
  <c r="IV42" i="32"/>
  <c r="JE41" i="32"/>
  <c r="JD41" i="32"/>
  <c r="JC41" i="32"/>
  <c r="JB41" i="32"/>
  <c r="JA41" i="32"/>
  <c r="IZ41" i="32"/>
  <c r="IY41" i="32"/>
  <c r="IX41" i="32"/>
  <c r="IW41" i="32"/>
  <c r="IV41" i="32"/>
  <c r="JE40" i="32"/>
  <c r="JD40" i="32"/>
  <c r="JC40" i="32"/>
  <c r="JB40" i="32"/>
  <c r="JA40" i="32"/>
  <c r="IZ40" i="32"/>
  <c r="IY40" i="32"/>
  <c r="IX40" i="32"/>
  <c r="IW40" i="32"/>
  <c r="IV40" i="32"/>
  <c r="JE39" i="32"/>
  <c r="JD39" i="32"/>
  <c r="JC39" i="32"/>
  <c r="JB39" i="32"/>
  <c r="JA39" i="32"/>
  <c r="IZ39" i="32"/>
  <c r="IY39" i="32"/>
  <c r="IX39" i="32"/>
  <c r="IW39" i="32"/>
  <c r="IV39" i="32"/>
  <c r="JE38" i="32"/>
  <c r="JD38" i="32"/>
  <c r="JC38" i="32"/>
  <c r="JB38" i="32"/>
  <c r="JA38" i="32"/>
  <c r="IZ38" i="32"/>
  <c r="IY38" i="32"/>
  <c r="IX38" i="32"/>
  <c r="IW38" i="32"/>
  <c r="IV38" i="32"/>
  <c r="JE37" i="32"/>
  <c r="JD37" i="32"/>
  <c r="JC37" i="32"/>
  <c r="JB37" i="32"/>
  <c r="JA37" i="32"/>
  <c r="IZ37" i="32"/>
  <c r="IY37" i="32"/>
  <c r="IX37" i="32"/>
  <c r="IW37" i="32"/>
  <c r="IV37" i="32"/>
  <c r="JE36" i="32"/>
  <c r="JD36" i="32"/>
  <c r="JC36" i="32"/>
  <c r="JB36" i="32"/>
  <c r="JA36" i="32"/>
  <c r="IZ36" i="32"/>
  <c r="IY36" i="32"/>
  <c r="IX36" i="32"/>
  <c r="IW36" i="32"/>
  <c r="IV36" i="32"/>
  <c r="JE35" i="32"/>
  <c r="JD35" i="32"/>
  <c r="JC35" i="32"/>
  <c r="JB35" i="32"/>
  <c r="JA35" i="32"/>
  <c r="IZ35" i="32"/>
  <c r="IY35" i="32"/>
  <c r="IX35" i="32"/>
  <c r="IW35" i="32"/>
  <c r="IV35" i="32"/>
  <c r="JE34" i="32"/>
  <c r="JD34" i="32"/>
  <c r="JC34" i="32"/>
  <c r="JB34" i="32"/>
  <c r="JA34" i="32"/>
  <c r="IZ34" i="32"/>
  <c r="IY34" i="32"/>
  <c r="IX34" i="32"/>
  <c r="IW34" i="32"/>
  <c r="IV34" i="32"/>
  <c r="JE33" i="32"/>
  <c r="JD33" i="32"/>
  <c r="JC33" i="32"/>
  <c r="JB33" i="32"/>
  <c r="JA33" i="32"/>
  <c r="IZ33" i="32"/>
  <c r="IY33" i="32"/>
  <c r="IX33" i="32"/>
  <c r="IW33" i="32"/>
  <c r="IV33" i="32"/>
  <c r="JE32" i="32"/>
  <c r="JD32" i="32"/>
  <c r="JC32" i="32"/>
  <c r="JB32" i="32"/>
  <c r="JA32" i="32"/>
  <c r="IZ32" i="32"/>
  <c r="IY32" i="32"/>
  <c r="IX32" i="32"/>
  <c r="IW32" i="32"/>
  <c r="IV32" i="32"/>
  <c r="JE31" i="32"/>
  <c r="JD31" i="32"/>
  <c r="JC31" i="32"/>
  <c r="JB31" i="32"/>
  <c r="JA31" i="32"/>
  <c r="IZ31" i="32"/>
  <c r="IY31" i="32"/>
  <c r="IX31" i="32"/>
  <c r="IW31" i="32"/>
  <c r="IV31" i="32"/>
  <c r="JE30" i="32"/>
  <c r="JD30" i="32"/>
  <c r="JC30" i="32"/>
  <c r="JB30" i="32"/>
  <c r="JA30" i="32"/>
  <c r="IZ30" i="32"/>
  <c r="IY30" i="32"/>
  <c r="IX30" i="32"/>
  <c r="IW30" i="32"/>
  <c r="IV30" i="32"/>
  <c r="JE29" i="32"/>
  <c r="JD29" i="32"/>
  <c r="JC29" i="32"/>
  <c r="JB29" i="32"/>
  <c r="JA29" i="32"/>
  <c r="IZ29" i="32"/>
  <c r="IY29" i="32"/>
  <c r="IX29" i="32"/>
  <c r="IW29" i="32"/>
  <c r="IV29" i="32"/>
  <c r="JE28" i="32"/>
  <c r="JD28" i="32"/>
  <c r="JC28" i="32"/>
  <c r="JB28" i="32"/>
  <c r="JA28" i="32"/>
  <c r="IZ28" i="32"/>
  <c r="IY28" i="32"/>
  <c r="IX28" i="32"/>
  <c r="IW28" i="32"/>
  <c r="IV28" i="32"/>
  <c r="JE27" i="32"/>
  <c r="JD27" i="32"/>
  <c r="JC27" i="32"/>
  <c r="JB27" i="32"/>
  <c r="JA27" i="32"/>
  <c r="IZ27" i="32"/>
  <c r="IY27" i="32"/>
  <c r="IX27" i="32"/>
  <c r="IW27" i="32"/>
  <c r="IV27" i="32"/>
  <c r="JE26" i="32"/>
  <c r="JD26" i="32"/>
  <c r="JC26" i="32"/>
  <c r="JB26" i="32"/>
  <c r="JA26" i="32"/>
  <c r="IZ26" i="32"/>
  <c r="IY26" i="32"/>
  <c r="IX26" i="32"/>
  <c r="IW26" i="32"/>
  <c r="IV26" i="32"/>
  <c r="JE25" i="32"/>
  <c r="JD25" i="32"/>
  <c r="JC25" i="32"/>
  <c r="JB25" i="32"/>
  <c r="JA25" i="32"/>
  <c r="IZ25" i="32"/>
  <c r="IY25" i="32"/>
  <c r="IX25" i="32"/>
  <c r="IW25" i="32"/>
  <c r="IV25" i="32"/>
  <c r="JE24" i="32"/>
  <c r="JD24" i="32"/>
  <c r="JC24" i="32"/>
  <c r="JB24" i="32"/>
  <c r="JA24" i="32"/>
  <c r="IZ24" i="32"/>
  <c r="IY24" i="32"/>
  <c r="IX24" i="32"/>
  <c r="IW24" i="32"/>
  <c r="IV24" i="32"/>
  <c r="JE23" i="32"/>
  <c r="JD23" i="32"/>
  <c r="JC23" i="32"/>
  <c r="JB23" i="32"/>
  <c r="JA23" i="32"/>
  <c r="IZ23" i="32"/>
  <c r="IY23" i="32"/>
  <c r="IX23" i="32"/>
  <c r="IW23" i="32"/>
  <c r="IV23" i="32"/>
  <c r="JE22" i="32"/>
  <c r="JD22" i="32"/>
  <c r="JC22" i="32"/>
  <c r="JB22" i="32"/>
  <c r="JA22" i="32"/>
  <c r="IZ22" i="32"/>
  <c r="IY22" i="32"/>
  <c r="IX22" i="32"/>
  <c r="IW22" i="32"/>
  <c r="IV22" i="32"/>
  <c r="JE21" i="32"/>
  <c r="JD21" i="32"/>
  <c r="JC21" i="32"/>
  <c r="JB21" i="32"/>
  <c r="JA21" i="32"/>
  <c r="IZ21" i="32"/>
  <c r="IY21" i="32"/>
  <c r="IX21" i="32"/>
  <c r="IW21" i="32"/>
  <c r="IV21" i="32"/>
  <c r="JE20" i="32"/>
  <c r="JD20" i="32"/>
  <c r="JC20" i="32"/>
  <c r="JB20" i="32"/>
  <c r="JA20" i="32"/>
  <c r="IZ20" i="32"/>
  <c r="IY20" i="32"/>
  <c r="IX20" i="32"/>
  <c r="IW20" i="32"/>
  <c r="IV20" i="32"/>
  <c r="JE19" i="32"/>
  <c r="JD19" i="32"/>
  <c r="JC19" i="32"/>
  <c r="JB19" i="32"/>
  <c r="JA19" i="32"/>
  <c r="IZ19" i="32"/>
  <c r="IY19" i="32"/>
  <c r="IX19" i="32"/>
  <c r="IW19" i="32"/>
  <c r="IV19" i="32"/>
  <c r="JE18" i="32"/>
  <c r="JD18" i="32"/>
  <c r="JC18" i="32"/>
  <c r="JB18" i="32"/>
  <c r="JA18" i="32"/>
  <c r="IZ18" i="32"/>
  <c r="IY18" i="32"/>
  <c r="IX18" i="32"/>
  <c r="IW18" i="32"/>
  <c r="IV18" i="32"/>
  <c r="JE17" i="32"/>
  <c r="JD17" i="32"/>
  <c r="JC17" i="32"/>
  <c r="JB17" i="32"/>
  <c r="JA17" i="32"/>
  <c r="IZ17" i="32"/>
  <c r="IY17" i="32"/>
  <c r="IX17" i="32"/>
  <c r="IW17" i="32"/>
  <c r="IV17" i="32"/>
  <c r="JE16" i="32"/>
  <c r="JD16" i="32"/>
  <c r="JC16" i="32"/>
  <c r="JB16" i="32"/>
  <c r="JA16" i="32"/>
  <c r="IZ16" i="32"/>
  <c r="IY16" i="32"/>
  <c r="IX16" i="32"/>
  <c r="IW16" i="32"/>
  <c r="IV16" i="32"/>
  <c r="JE15" i="32"/>
  <c r="JD15" i="32"/>
  <c r="JC15" i="32"/>
  <c r="JB15" i="32"/>
  <c r="JA15" i="32"/>
  <c r="IZ15" i="32"/>
  <c r="IY15" i="32"/>
  <c r="IX15" i="32"/>
  <c r="IW15" i="32"/>
  <c r="IV15" i="32"/>
  <c r="JE14" i="32"/>
  <c r="JD14" i="32"/>
  <c r="JC14" i="32"/>
  <c r="JB14" i="32"/>
  <c r="JA14" i="32"/>
  <c r="IZ14" i="32"/>
  <c r="IY14" i="32"/>
  <c r="IX14" i="32"/>
  <c r="IW14" i="32"/>
  <c r="IV14" i="32"/>
  <c r="JE13" i="32"/>
  <c r="JD13" i="32"/>
  <c r="JC13" i="32"/>
  <c r="JB13" i="32"/>
  <c r="JA13" i="32"/>
  <c r="IZ13" i="32"/>
  <c r="IY13" i="32"/>
  <c r="IX13" i="32"/>
  <c r="IW13" i="32"/>
  <c r="IV13" i="32"/>
  <c r="JE12" i="32"/>
  <c r="JD12" i="32"/>
  <c r="JC12" i="32"/>
  <c r="JB12" i="32"/>
  <c r="JA12" i="32"/>
  <c r="IZ12" i="32"/>
  <c r="IY12" i="32"/>
  <c r="IX12" i="32"/>
  <c r="IW12" i="32"/>
  <c r="IV12" i="32"/>
  <c r="JE11" i="32"/>
  <c r="JD11" i="32"/>
  <c r="JC11" i="32"/>
  <c r="JB11" i="32"/>
  <c r="JA11" i="32"/>
  <c r="IZ11" i="32"/>
  <c r="IY11" i="32"/>
  <c r="IX11" i="32"/>
  <c r="IW11" i="32"/>
  <c r="IV11" i="32"/>
  <c r="JE10" i="32"/>
  <c r="JD10" i="32"/>
  <c r="JC10" i="32"/>
  <c r="JB10" i="32"/>
  <c r="JA10" i="32"/>
  <c r="IZ10" i="32"/>
  <c r="IY10" i="32"/>
  <c r="IX10" i="32"/>
  <c r="IW10" i="32"/>
  <c r="IV10" i="32"/>
  <c r="JE9" i="32"/>
  <c r="JD9" i="32"/>
  <c r="JC9" i="32"/>
  <c r="JB9" i="32"/>
  <c r="JA9" i="32"/>
  <c r="IZ9" i="32"/>
  <c r="IY9" i="32"/>
  <c r="IX9" i="32"/>
  <c r="IW9" i="32"/>
  <c r="IV9" i="32"/>
  <c r="JE8" i="32"/>
  <c r="JD8" i="32"/>
  <c r="JC8" i="32"/>
  <c r="JB8" i="32"/>
  <c r="JA8" i="32"/>
  <c r="IZ8" i="32"/>
  <c r="IY8" i="32"/>
  <c r="IX8" i="32"/>
  <c r="IW8" i="32"/>
  <c r="IV8" i="32"/>
  <c r="JE7" i="32"/>
  <c r="JD7" i="32"/>
  <c r="JC7" i="32"/>
  <c r="JB7" i="32"/>
  <c r="JA7" i="32"/>
  <c r="IZ7" i="32"/>
  <c r="IY7" i="32"/>
  <c r="IX7" i="32"/>
  <c r="IW7" i="32"/>
  <c r="IV7" i="32"/>
  <c r="JE6" i="32"/>
  <c r="JD6" i="32"/>
  <c r="JC6" i="32"/>
  <c r="JB6" i="32"/>
  <c r="JA6" i="32"/>
  <c r="IZ6" i="32"/>
  <c r="IY6" i="32"/>
  <c r="IX6" i="32"/>
  <c r="IW6" i="32"/>
  <c r="IV6" i="32"/>
  <c r="JE5" i="32"/>
  <c r="JD5" i="32"/>
  <c r="JC5" i="32"/>
  <c r="JB5" i="32"/>
  <c r="JA5" i="32"/>
  <c r="IZ5" i="32"/>
  <c r="IY5" i="32"/>
  <c r="IX5" i="32"/>
  <c r="IW5" i="32"/>
  <c r="IV5" i="32"/>
  <c r="JE4" i="32"/>
  <c r="JD4" i="32"/>
  <c r="JC4" i="32"/>
  <c r="JB4" i="32"/>
  <c r="JA4" i="32"/>
  <c r="IZ4" i="32"/>
  <c r="IY4" i="32"/>
  <c r="IX4" i="32"/>
  <c r="IW4" i="32"/>
  <c r="IV4" i="32"/>
  <c r="IT42" i="32"/>
  <c r="IS42" i="32"/>
  <c r="IR42" i="32"/>
  <c r="IQ42" i="32"/>
  <c r="IP42" i="32"/>
  <c r="IO42" i="32"/>
  <c r="IN42" i="32"/>
  <c r="IM42" i="32"/>
  <c r="IL42" i="32"/>
  <c r="IK42" i="32"/>
  <c r="IT41" i="32"/>
  <c r="IS41" i="32"/>
  <c r="IR41" i="32"/>
  <c r="IQ41" i="32"/>
  <c r="IP41" i="32"/>
  <c r="IO41" i="32"/>
  <c r="IN41" i="32"/>
  <c r="IM41" i="32"/>
  <c r="IL41" i="32"/>
  <c r="IK41" i="32"/>
  <c r="IT40" i="32"/>
  <c r="IS40" i="32"/>
  <c r="IR40" i="32"/>
  <c r="IQ40" i="32"/>
  <c r="IP40" i="32"/>
  <c r="IO40" i="32"/>
  <c r="IN40" i="32"/>
  <c r="IM40" i="32"/>
  <c r="IL40" i="32"/>
  <c r="IK40" i="32"/>
  <c r="IT39" i="32"/>
  <c r="IS39" i="32"/>
  <c r="IR39" i="32"/>
  <c r="IQ39" i="32"/>
  <c r="IP39" i="32"/>
  <c r="IO39" i="32"/>
  <c r="IN39" i="32"/>
  <c r="IM39" i="32"/>
  <c r="IL39" i="32"/>
  <c r="IK39" i="32"/>
  <c r="IT38" i="32"/>
  <c r="IS38" i="32"/>
  <c r="IR38" i="32"/>
  <c r="IQ38" i="32"/>
  <c r="IP38" i="32"/>
  <c r="IO38" i="32"/>
  <c r="IN38" i="32"/>
  <c r="IM38" i="32"/>
  <c r="IL38" i="32"/>
  <c r="IK38" i="32"/>
  <c r="IT37" i="32"/>
  <c r="IS37" i="32"/>
  <c r="IR37" i="32"/>
  <c r="IQ37" i="32"/>
  <c r="IP37" i="32"/>
  <c r="IO37" i="32"/>
  <c r="IN37" i="32"/>
  <c r="IM37" i="32"/>
  <c r="IL37" i="32"/>
  <c r="IK37" i="32"/>
  <c r="IT36" i="32"/>
  <c r="IS36" i="32"/>
  <c r="IR36" i="32"/>
  <c r="IQ36" i="32"/>
  <c r="IP36" i="32"/>
  <c r="IO36" i="32"/>
  <c r="IN36" i="32"/>
  <c r="IM36" i="32"/>
  <c r="IL36" i="32"/>
  <c r="IK36" i="32"/>
  <c r="IT35" i="32"/>
  <c r="IS35" i="32"/>
  <c r="IR35" i="32"/>
  <c r="IQ35" i="32"/>
  <c r="IP35" i="32"/>
  <c r="IO35" i="32"/>
  <c r="IN35" i="32"/>
  <c r="IM35" i="32"/>
  <c r="IL35" i="32"/>
  <c r="IK35" i="32"/>
  <c r="IT34" i="32"/>
  <c r="IS34" i="32"/>
  <c r="IR34" i="32"/>
  <c r="IQ34" i="32"/>
  <c r="IP34" i="32"/>
  <c r="IO34" i="32"/>
  <c r="IN34" i="32"/>
  <c r="IM34" i="32"/>
  <c r="IL34" i="32"/>
  <c r="IK34" i="32"/>
  <c r="IT33" i="32"/>
  <c r="IS33" i="32"/>
  <c r="IR33" i="32"/>
  <c r="IQ33" i="32"/>
  <c r="IP33" i="32"/>
  <c r="IO33" i="32"/>
  <c r="IN33" i="32"/>
  <c r="IM33" i="32"/>
  <c r="IL33" i="32"/>
  <c r="IK33" i="32"/>
  <c r="IT32" i="32"/>
  <c r="IS32" i="32"/>
  <c r="IR32" i="32"/>
  <c r="IQ32" i="32"/>
  <c r="IP32" i="32"/>
  <c r="IO32" i="32"/>
  <c r="IN32" i="32"/>
  <c r="IM32" i="32"/>
  <c r="IL32" i="32"/>
  <c r="IK32" i="32"/>
  <c r="IT31" i="32"/>
  <c r="IS31" i="32"/>
  <c r="IR31" i="32"/>
  <c r="IQ31" i="32"/>
  <c r="IP31" i="32"/>
  <c r="IO31" i="32"/>
  <c r="IN31" i="32"/>
  <c r="IM31" i="32"/>
  <c r="IL31" i="32"/>
  <c r="IK31" i="32"/>
  <c r="IT30" i="32"/>
  <c r="IS30" i="32"/>
  <c r="IR30" i="32"/>
  <c r="IQ30" i="32"/>
  <c r="IP30" i="32"/>
  <c r="IO30" i="32"/>
  <c r="IN30" i="32"/>
  <c r="IM30" i="32"/>
  <c r="IL30" i="32"/>
  <c r="IK30" i="32"/>
  <c r="IT29" i="32"/>
  <c r="IS29" i="32"/>
  <c r="IR29" i="32"/>
  <c r="IQ29" i="32"/>
  <c r="IP29" i="32"/>
  <c r="IO29" i="32"/>
  <c r="IN29" i="32"/>
  <c r="IM29" i="32"/>
  <c r="IL29" i="32"/>
  <c r="IK29" i="32"/>
  <c r="IT28" i="32"/>
  <c r="IS28" i="32"/>
  <c r="IR28" i="32"/>
  <c r="IQ28" i="32"/>
  <c r="IP28" i="32"/>
  <c r="IO28" i="32"/>
  <c r="IN28" i="32"/>
  <c r="IM28" i="32"/>
  <c r="IL28" i="32"/>
  <c r="IK28" i="32"/>
  <c r="IT27" i="32"/>
  <c r="IS27" i="32"/>
  <c r="IR27" i="32"/>
  <c r="IQ27" i="32"/>
  <c r="IP27" i="32"/>
  <c r="IO27" i="32"/>
  <c r="IN27" i="32"/>
  <c r="IM27" i="32"/>
  <c r="IL27" i="32"/>
  <c r="IK27" i="32"/>
  <c r="IT26" i="32"/>
  <c r="IS26" i="32"/>
  <c r="IR26" i="32"/>
  <c r="IQ26" i="32"/>
  <c r="IP26" i="32"/>
  <c r="IO26" i="32"/>
  <c r="IN26" i="32"/>
  <c r="IM26" i="32"/>
  <c r="IL26" i="32"/>
  <c r="IK26" i="32"/>
  <c r="IT25" i="32"/>
  <c r="IS25" i="32"/>
  <c r="IR25" i="32"/>
  <c r="IQ25" i="32"/>
  <c r="IP25" i="32"/>
  <c r="IO25" i="32"/>
  <c r="IN25" i="32"/>
  <c r="IM25" i="32"/>
  <c r="IL25" i="32"/>
  <c r="IK25" i="32"/>
  <c r="IT24" i="32"/>
  <c r="IS24" i="32"/>
  <c r="IR24" i="32"/>
  <c r="IQ24" i="32"/>
  <c r="IP24" i="32"/>
  <c r="IO24" i="32"/>
  <c r="IN24" i="32"/>
  <c r="IM24" i="32"/>
  <c r="IL24" i="32"/>
  <c r="IK24" i="32"/>
  <c r="IT23" i="32"/>
  <c r="IS23" i="32"/>
  <c r="IR23" i="32"/>
  <c r="IQ23" i="32"/>
  <c r="IP23" i="32"/>
  <c r="IO23" i="32"/>
  <c r="IN23" i="32"/>
  <c r="IM23" i="32"/>
  <c r="IL23" i="32"/>
  <c r="IK23" i="32"/>
  <c r="IT22" i="32"/>
  <c r="IS22" i="32"/>
  <c r="IR22" i="32"/>
  <c r="IQ22" i="32"/>
  <c r="IP22" i="32"/>
  <c r="IO22" i="32"/>
  <c r="IN22" i="32"/>
  <c r="IM22" i="32"/>
  <c r="IL22" i="32"/>
  <c r="IK22" i="32"/>
  <c r="IT21" i="32"/>
  <c r="IS21" i="32"/>
  <c r="IR21" i="32"/>
  <c r="IQ21" i="32"/>
  <c r="IP21" i="32"/>
  <c r="IO21" i="32"/>
  <c r="IN21" i="32"/>
  <c r="IM21" i="32"/>
  <c r="IL21" i="32"/>
  <c r="IK21" i="32"/>
  <c r="IT20" i="32"/>
  <c r="IS20" i="32"/>
  <c r="IR20" i="32"/>
  <c r="IQ20" i="32"/>
  <c r="IP20" i="32"/>
  <c r="IO20" i="32"/>
  <c r="IN20" i="32"/>
  <c r="IM20" i="32"/>
  <c r="IL20" i="32"/>
  <c r="IK20" i="32"/>
  <c r="IT19" i="32"/>
  <c r="IS19" i="32"/>
  <c r="IR19" i="32"/>
  <c r="IQ19" i="32"/>
  <c r="IP19" i="32"/>
  <c r="IO19" i="32"/>
  <c r="IN19" i="32"/>
  <c r="IM19" i="32"/>
  <c r="IL19" i="32"/>
  <c r="IK19" i="32"/>
  <c r="IT18" i="32"/>
  <c r="IS18" i="32"/>
  <c r="IR18" i="32"/>
  <c r="IQ18" i="32"/>
  <c r="IP18" i="32"/>
  <c r="IO18" i="32"/>
  <c r="IN18" i="32"/>
  <c r="IM18" i="32"/>
  <c r="IL18" i="32"/>
  <c r="IK18" i="32"/>
  <c r="IT17" i="32"/>
  <c r="IS17" i="32"/>
  <c r="IR17" i="32"/>
  <c r="IQ17" i="32"/>
  <c r="IP17" i="32"/>
  <c r="IO17" i="32"/>
  <c r="IN17" i="32"/>
  <c r="IM17" i="32"/>
  <c r="IL17" i="32"/>
  <c r="IK17" i="32"/>
  <c r="IT16" i="32"/>
  <c r="IS16" i="32"/>
  <c r="IR16" i="32"/>
  <c r="IQ16" i="32"/>
  <c r="IP16" i="32"/>
  <c r="IO16" i="32"/>
  <c r="IN16" i="32"/>
  <c r="IM16" i="32"/>
  <c r="IL16" i="32"/>
  <c r="IK16" i="32"/>
  <c r="IT15" i="32"/>
  <c r="IS15" i="32"/>
  <c r="IR15" i="32"/>
  <c r="IQ15" i="32"/>
  <c r="IP15" i="32"/>
  <c r="IO15" i="32"/>
  <c r="IN15" i="32"/>
  <c r="IM15" i="32"/>
  <c r="IL15" i="32"/>
  <c r="IK15" i="32"/>
  <c r="IT14" i="32"/>
  <c r="IS14" i="32"/>
  <c r="IR14" i="32"/>
  <c r="IQ14" i="32"/>
  <c r="IP14" i="32"/>
  <c r="IO14" i="32"/>
  <c r="IN14" i="32"/>
  <c r="IM14" i="32"/>
  <c r="IL14" i="32"/>
  <c r="IK14" i="32"/>
  <c r="IT13" i="32"/>
  <c r="IS13" i="32"/>
  <c r="IR13" i="32"/>
  <c r="IQ13" i="32"/>
  <c r="IP13" i="32"/>
  <c r="IO13" i="32"/>
  <c r="IN13" i="32"/>
  <c r="IM13" i="32"/>
  <c r="IL13" i="32"/>
  <c r="IK13" i="32"/>
  <c r="IT12" i="32"/>
  <c r="IS12" i="32"/>
  <c r="IR12" i="32"/>
  <c r="IQ12" i="32"/>
  <c r="IP12" i="32"/>
  <c r="IO12" i="32"/>
  <c r="IN12" i="32"/>
  <c r="IM12" i="32"/>
  <c r="IL12" i="32"/>
  <c r="IK12" i="32"/>
  <c r="IT11" i="32"/>
  <c r="IS11" i="32"/>
  <c r="IR11" i="32"/>
  <c r="IQ11" i="32"/>
  <c r="IP11" i="32"/>
  <c r="IO11" i="32"/>
  <c r="IN11" i="32"/>
  <c r="IM11" i="32"/>
  <c r="IL11" i="32"/>
  <c r="IK11" i="32"/>
  <c r="IT10" i="32"/>
  <c r="IS10" i="32"/>
  <c r="IR10" i="32"/>
  <c r="IQ10" i="32"/>
  <c r="IP10" i="32"/>
  <c r="IO10" i="32"/>
  <c r="IN10" i="32"/>
  <c r="IM10" i="32"/>
  <c r="IL10" i="32"/>
  <c r="IK10" i="32"/>
  <c r="IT9" i="32"/>
  <c r="IS9" i="32"/>
  <c r="IR9" i="32"/>
  <c r="IQ9" i="32"/>
  <c r="IP9" i="32"/>
  <c r="IO9" i="32"/>
  <c r="IN9" i="32"/>
  <c r="IM9" i="32"/>
  <c r="IL9" i="32"/>
  <c r="IK9" i="32"/>
  <c r="IT8" i="32"/>
  <c r="IS8" i="32"/>
  <c r="IR8" i="32"/>
  <c r="IQ8" i="32"/>
  <c r="IP8" i="32"/>
  <c r="IO8" i="32"/>
  <c r="IN8" i="32"/>
  <c r="IM8" i="32"/>
  <c r="IL8" i="32"/>
  <c r="IK8" i="32"/>
  <c r="IT7" i="32"/>
  <c r="IS7" i="32"/>
  <c r="IR7" i="32"/>
  <c r="IQ7" i="32"/>
  <c r="IP7" i="32"/>
  <c r="IO7" i="32"/>
  <c r="IN7" i="32"/>
  <c r="IM7" i="32"/>
  <c r="IL7" i="32"/>
  <c r="IK7" i="32"/>
  <c r="IT6" i="32"/>
  <c r="IS6" i="32"/>
  <c r="IR6" i="32"/>
  <c r="IQ6" i="32"/>
  <c r="IP6" i="32"/>
  <c r="IO6" i="32"/>
  <c r="IN6" i="32"/>
  <c r="IM6" i="32"/>
  <c r="IL6" i="32"/>
  <c r="IK6" i="32"/>
  <c r="IT5" i="32"/>
  <c r="IS5" i="32"/>
  <c r="IR5" i="32"/>
  <c r="IQ5" i="32"/>
  <c r="IP5" i="32"/>
  <c r="IO5" i="32"/>
  <c r="IN5" i="32"/>
  <c r="IM5" i="32"/>
  <c r="IL5" i="32"/>
  <c r="IK5" i="32"/>
  <c r="IT4" i="32"/>
  <c r="IS4" i="32"/>
  <c r="IR4" i="32"/>
  <c r="IQ4" i="32"/>
  <c r="IP4" i="32"/>
  <c r="IO4" i="32"/>
  <c r="IN4" i="32"/>
  <c r="IM4" i="32"/>
  <c r="IL4" i="32"/>
  <c r="IK4" i="32"/>
  <c r="II42" i="32"/>
  <c r="IH42" i="32"/>
  <c r="IG42" i="32"/>
  <c r="IF42" i="32"/>
  <c r="IE42" i="32"/>
  <c r="ID42" i="32"/>
  <c r="IC42" i="32"/>
  <c r="IB42" i="32"/>
  <c r="IA42" i="32"/>
  <c r="HZ42" i="32"/>
  <c r="II41" i="32"/>
  <c r="IH41" i="32"/>
  <c r="IG41" i="32"/>
  <c r="IF41" i="32"/>
  <c r="IE41" i="32"/>
  <c r="ID41" i="32"/>
  <c r="IC41" i="32"/>
  <c r="IB41" i="32"/>
  <c r="IA41" i="32"/>
  <c r="HZ41" i="32"/>
  <c r="II40" i="32"/>
  <c r="IH40" i="32"/>
  <c r="IG40" i="32"/>
  <c r="IF40" i="32"/>
  <c r="IE40" i="32"/>
  <c r="ID40" i="32"/>
  <c r="IC40" i="32"/>
  <c r="IB40" i="32"/>
  <c r="IA40" i="32"/>
  <c r="HZ40" i="32"/>
  <c r="II39" i="32"/>
  <c r="IH39" i="32"/>
  <c r="IG39" i="32"/>
  <c r="IF39" i="32"/>
  <c r="IE39" i="32"/>
  <c r="ID39" i="32"/>
  <c r="IC39" i="32"/>
  <c r="IB39" i="32"/>
  <c r="IA39" i="32"/>
  <c r="HZ39" i="32"/>
  <c r="II38" i="32"/>
  <c r="IH38" i="32"/>
  <c r="IG38" i="32"/>
  <c r="IF38" i="32"/>
  <c r="IE38" i="32"/>
  <c r="ID38" i="32"/>
  <c r="IC38" i="32"/>
  <c r="IB38" i="32"/>
  <c r="IA38" i="32"/>
  <c r="HZ38" i="32"/>
  <c r="II37" i="32"/>
  <c r="IH37" i="32"/>
  <c r="IG37" i="32"/>
  <c r="IF37" i="32"/>
  <c r="IE37" i="32"/>
  <c r="ID37" i="32"/>
  <c r="IC37" i="32"/>
  <c r="IB37" i="32"/>
  <c r="IA37" i="32"/>
  <c r="HZ37" i="32"/>
  <c r="II36" i="32"/>
  <c r="IH36" i="32"/>
  <c r="IG36" i="32"/>
  <c r="IF36" i="32"/>
  <c r="IE36" i="32"/>
  <c r="ID36" i="32"/>
  <c r="IC36" i="32"/>
  <c r="IB36" i="32"/>
  <c r="IA36" i="32"/>
  <c r="HZ36" i="32"/>
  <c r="II35" i="32"/>
  <c r="IH35" i="32"/>
  <c r="IG35" i="32"/>
  <c r="IF35" i="32"/>
  <c r="IE35" i="32"/>
  <c r="ID35" i="32"/>
  <c r="IC35" i="32"/>
  <c r="IB35" i="32"/>
  <c r="IA35" i="32"/>
  <c r="HZ35" i="32"/>
  <c r="II34" i="32"/>
  <c r="IH34" i="32"/>
  <c r="IG34" i="32"/>
  <c r="IF34" i="32"/>
  <c r="IE34" i="32"/>
  <c r="ID34" i="32"/>
  <c r="IC34" i="32"/>
  <c r="IB34" i="32"/>
  <c r="IA34" i="32"/>
  <c r="HZ34" i="32"/>
  <c r="II33" i="32"/>
  <c r="IH33" i="32"/>
  <c r="IG33" i="32"/>
  <c r="IF33" i="32"/>
  <c r="IE33" i="32"/>
  <c r="ID33" i="32"/>
  <c r="IC33" i="32"/>
  <c r="IB33" i="32"/>
  <c r="IA33" i="32"/>
  <c r="HZ33" i="32"/>
  <c r="II32" i="32"/>
  <c r="IH32" i="32"/>
  <c r="IG32" i="32"/>
  <c r="IF32" i="32"/>
  <c r="IE32" i="32"/>
  <c r="ID32" i="32"/>
  <c r="IC32" i="32"/>
  <c r="IB32" i="32"/>
  <c r="IA32" i="32"/>
  <c r="HZ32" i="32"/>
  <c r="II31" i="32"/>
  <c r="IH31" i="32"/>
  <c r="IG31" i="32"/>
  <c r="IF31" i="32"/>
  <c r="IE31" i="32"/>
  <c r="ID31" i="32"/>
  <c r="IC31" i="32"/>
  <c r="IB31" i="32"/>
  <c r="IA31" i="32"/>
  <c r="HZ31" i="32"/>
  <c r="II30" i="32"/>
  <c r="IH30" i="32"/>
  <c r="IG30" i="32"/>
  <c r="IF30" i="32"/>
  <c r="IE30" i="32"/>
  <c r="ID30" i="32"/>
  <c r="IC30" i="32"/>
  <c r="IB30" i="32"/>
  <c r="IA30" i="32"/>
  <c r="HZ30" i="32"/>
  <c r="II29" i="32"/>
  <c r="IH29" i="32"/>
  <c r="IG29" i="32"/>
  <c r="IF29" i="32"/>
  <c r="IE29" i="32"/>
  <c r="ID29" i="32"/>
  <c r="IC29" i="32"/>
  <c r="IB29" i="32"/>
  <c r="IA29" i="32"/>
  <c r="HZ29" i="32"/>
  <c r="II28" i="32"/>
  <c r="IH28" i="32"/>
  <c r="IG28" i="32"/>
  <c r="IF28" i="32"/>
  <c r="IE28" i="32"/>
  <c r="ID28" i="32"/>
  <c r="IC28" i="32"/>
  <c r="IB28" i="32"/>
  <c r="IA28" i="32"/>
  <c r="HZ28" i="32"/>
  <c r="II27" i="32"/>
  <c r="IH27" i="32"/>
  <c r="IG27" i="32"/>
  <c r="IF27" i="32"/>
  <c r="IE27" i="32"/>
  <c r="ID27" i="32"/>
  <c r="IC27" i="32"/>
  <c r="IB27" i="32"/>
  <c r="IA27" i="32"/>
  <c r="HZ27" i="32"/>
  <c r="II26" i="32"/>
  <c r="IH26" i="32"/>
  <c r="IG26" i="32"/>
  <c r="IF26" i="32"/>
  <c r="IE26" i="32"/>
  <c r="ID26" i="32"/>
  <c r="IC26" i="32"/>
  <c r="IB26" i="32"/>
  <c r="IA26" i="32"/>
  <c r="HZ26" i="32"/>
  <c r="II25" i="32"/>
  <c r="IH25" i="32"/>
  <c r="IG25" i="32"/>
  <c r="IF25" i="32"/>
  <c r="IE25" i="32"/>
  <c r="ID25" i="32"/>
  <c r="IC25" i="32"/>
  <c r="IB25" i="32"/>
  <c r="IA25" i="32"/>
  <c r="HZ25" i="32"/>
  <c r="II24" i="32"/>
  <c r="IH24" i="32"/>
  <c r="IG24" i="32"/>
  <c r="IF24" i="32"/>
  <c r="IE24" i="32"/>
  <c r="ID24" i="32"/>
  <c r="IC24" i="32"/>
  <c r="IB24" i="32"/>
  <c r="IA24" i="32"/>
  <c r="HZ24" i="32"/>
  <c r="II23" i="32"/>
  <c r="IH23" i="32"/>
  <c r="IG23" i="32"/>
  <c r="IF23" i="32"/>
  <c r="IE23" i="32"/>
  <c r="ID23" i="32"/>
  <c r="IC23" i="32"/>
  <c r="IB23" i="32"/>
  <c r="IA23" i="32"/>
  <c r="HZ23" i="32"/>
  <c r="II22" i="32"/>
  <c r="IH22" i="32"/>
  <c r="IG22" i="32"/>
  <c r="IF22" i="32"/>
  <c r="IE22" i="32"/>
  <c r="ID22" i="32"/>
  <c r="IC22" i="32"/>
  <c r="IB22" i="32"/>
  <c r="IA22" i="32"/>
  <c r="HZ22" i="32"/>
  <c r="II21" i="32"/>
  <c r="IH21" i="32"/>
  <c r="IG21" i="32"/>
  <c r="IF21" i="32"/>
  <c r="IE21" i="32"/>
  <c r="ID21" i="32"/>
  <c r="IC21" i="32"/>
  <c r="IB21" i="32"/>
  <c r="IA21" i="32"/>
  <c r="HZ21" i="32"/>
  <c r="II20" i="32"/>
  <c r="IH20" i="32"/>
  <c r="IG20" i="32"/>
  <c r="IF20" i="32"/>
  <c r="IE20" i="32"/>
  <c r="ID20" i="32"/>
  <c r="IC20" i="32"/>
  <c r="IB20" i="32"/>
  <c r="IA20" i="32"/>
  <c r="HZ20" i="32"/>
  <c r="II19" i="32"/>
  <c r="IH19" i="32"/>
  <c r="IG19" i="32"/>
  <c r="IF19" i="32"/>
  <c r="IE19" i="32"/>
  <c r="ID19" i="32"/>
  <c r="IC19" i="32"/>
  <c r="IB19" i="32"/>
  <c r="IA19" i="32"/>
  <c r="HZ19" i="32"/>
  <c r="II18" i="32"/>
  <c r="IH18" i="32"/>
  <c r="IG18" i="32"/>
  <c r="IF18" i="32"/>
  <c r="IE18" i="32"/>
  <c r="ID18" i="32"/>
  <c r="IC18" i="32"/>
  <c r="IB18" i="32"/>
  <c r="IA18" i="32"/>
  <c r="HZ18" i="32"/>
  <c r="II17" i="32"/>
  <c r="IH17" i="32"/>
  <c r="IG17" i="32"/>
  <c r="IF17" i="32"/>
  <c r="IE17" i="32"/>
  <c r="ID17" i="32"/>
  <c r="IC17" i="32"/>
  <c r="IB17" i="32"/>
  <c r="IA17" i="32"/>
  <c r="HZ17" i="32"/>
  <c r="II16" i="32"/>
  <c r="IH16" i="32"/>
  <c r="IG16" i="32"/>
  <c r="IF16" i="32"/>
  <c r="IE16" i="32"/>
  <c r="ID16" i="32"/>
  <c r="IC16" i="32"/>
  <c r="IB16" i="32"/>
  <c r="IA16" i="32"/>
  <c r="HZ16" i="32"/>
  <c r="II15" i="32"/>
  <c r="IH15" i="32"/>
  <c r="IG15" i="32"/>
  <c r="IF15" i="32"/>
  <c r="IE15" i="32"/>
  <c r="ID15" i="32"/>
  <c r="IC15" i="32"/>
  <c r="IB15" i="32"/>
  <c r="IA15" i="32"/>
  <c r="HZ15" i="32"/>
  <c r="II14" i="32"/>
  <c r="IH14" i="32"/>
  <c r="IG14" i="32"/>
  <c r="IF14" i="32"/>
  <c r="IE14" i="32"/>
  <c r="ID14" i="32"/>
  <c r="IC14" i="32"/>
  <c r="IB14" i="32"/>
  <c r="IA14" i="32"/>
  <c r="HZ14" i="32"/>
  <c r="II13" i="32"/>
  <c r="IH13" i="32"/>
  <c r="IG13" i="32"/>
  <c r="IF13" i="32"/>
  <c r="IE13" i="32"/>
  <c r="ID13" i="32"/>
  <c r="IC13" i="32"/>
  <c r="IB13" i="32"/>
  <c r="IA13" i="32"/>
  <c r="HZ13" i="32"/>
  <c r="II12" i="32"/>
  <c r="IH12" i="32"/>
  <c r="IG12" i="32"/>
  <c r="IF12" i="32"/>
  <c r="IE12" i="32"/>
  <c r="ID12" i="32"/>
  <c r="IC12" i="32"/>
  <c r="IB12" i="32"/>
  <c r="IA12" i="32"/>
  <c r="HZ12" i="32"/>
  <c r="II11" i="32"/>
  <c r="IH11" i="32"/>
  <c r="IG11" i="32"/>
  <c r="IF11" i="32"/>
  <c r="IE11" i="32"/>
  <c r="ID11" i="32"/>
  <c r="IC11" i="32"/>
  <c r="IB11" i="32"/>
  <c r="IA11" i="32"/>
  <c r="HZ11" i="32"/>
  <c r="II10" i="32"/>
  <c r="IH10" i="32"/>
  <c r="IG10" i="32"/>
  <c r="IF10" i="32"/>
  <c r="IE10" i="32"/>
  <c r="ID10" i="32"/>
  <c r="IC10" i="32"/>
  <c r="IB10" i="32"/>
  <c r="IA10" i="32"/>
  <c r="HZ10" i="32"/>
  <c r="II9" i="32"/>
  <c r="IH9" i="32"/>
  <c r="IG9" i="32"/>
  <c r="IF9" i="32"/>
  <c r="IE9" i="32"/>
  <c r="ID9" i="32"/>
  <c r="IC9" i="32"/>
  <c r="IB9" i="32"/>
  <c r="IA9" i="32"/>
  <c r="HZ9" i="32"/>
  <c r="II8" i="32"/>
  <c r="IH8" i="32"/>
  <c r="IG8" i="32"/>
  <c r="IF8" i="32"/>
  <c r="IE8" i="32"/>
  <c r="ID8" i="32"/>
  <c r="IC8" i="32"/>
  <c r="IB8" i="32"/>
  <c r="IA8" i="32"/>
  <c r="HZ8" i="32"/>
  <c r="II7" i="32"/>
  <c r="IH7" i="32"/>
  <c r="IG7" i="32"/>
  <c r="IF7" i="32"/>
  <c r="IE7" i="32"/>
  <c r="ID7" i="32"/>
  <c r="IC7" i="32"/>
  <c r="IB7" i="32"/>
  <c r="IA7" i="32"/>
  <c r="HZ7" i="32"/>
  <c r="II6" i="32"/>
  <c r="IH6" i="32"/>
  <c r="IG6" i="32"/>
  <c r="IF6" i="32"/>
  <c r="IE6" i="32"/>
  <c r="ID6" i="32"/>
  <c r="IC6" i="32"/>
  <c r="IB6" i="32"/>
  <c r="IA6" i="32"/>
  <c r="HZ6" i="32"/>
  <c r="II5" i="32"/>
  <c r="IH5" i="32"/>
  <c r="IG5" i="32"/>
  <c r="IF5" i="32"/>
  <c r="IE5" i="32"/>
  <c r="ID5" i="32"/>
  <c r="IC5" i="32"/>
  <c r="IB5" i="32"/>
  <c r="IA5" i="32"/>
  <c r="HZ5" i="32"/>
  <c r="II4" i="32"/>
  <c r="IH4" i="32"/>
  <c r="IG4" i="32"/>
  <c r="IF4" i="32"/>
  <c r="IE4" i="32"/>
  <c r="ID4" i="32"/>
  <c r="IC4" i="32"/>
  <c r="IB4" i="32"/>
  <c r="IA4" i="32"/>
  <c r="HZ4" i="32"/>
  <c r="HX42" i="32"/>
  <c r="HW42" i="32"/>
  <c r="HV42" i="32"/>
  <c r="HU42" i="32"/>
  <c r="HT42" i="32"/>
  <c r="HS42" i="32"/>
  <c r="HR42" i="32"/>
  <c r="HQ42" i="32"/>
  <c r="HP42" i="32"/>
  <c r="HO42" i="32"/>
  <c r="HX41" i="32"/>
  <c r="HW41" i="32"/>
  <c r="HV41" i="32"/>
  <c r="HU41" i="32"/>
  <c r="HT41" i="32"/>
  <c r="HS41" i="32"/>
  <c r="HR41" i="32"/>
  <c r="HQ41" i="32"/>
  <c r="HP41" i="32"/>
  <c r="HO41" i="32"/>
  <c r="HX40" i="32"/>
  <c r="HW40" i="32"/>
  <c r="HV40" i="32"/>
  <c r="HU40" i="32"/>
  <c r="HT40" i="32"/>
  <c r="HS40" i="32"/>
  <c r="HR40" i="32"/>
  <c r="HQ40" i="32"/>
  <c r="HP40" i="32"/>
  <c r="HO40" i="32"/>
  <c r="HX39" i="32"/>
  <c r="HW39" i="32"/>
  <c r="HV39" i="32"/>
  <c r="HU39" i="32"/>
  <c r="HT39" i="32"/>
  <c r="HS39" i="32"/>
  <c r="HR39" i="32"/>
  <c r="HQ39" i="32"/>
  <c r="HP39" i="32"/>
  <c r="HO39" i="32"/>
  <c r="HX38" i="32"/>
  <c r="HW38" i="32"/>
  <c r="HV38" i="32"/>
  <c r="HU38" i="32"/>
  <c r="HT38" i="32"/>
  <c r="HS38" i="32"/>
  <c r="HR38" i="32"/>
  <c r="HQ38" i="32"/>
  <c r="HP38" i="32"/>
  <c r="HO38" i="32"/>
  <c r="HX37" i="32"/>
  <c r="HW37" i="32"/>
  <c r="HV37" i="32"/>
  <c r="HU37" i="32"/>
  <c r="HT37" i="32"/>
  <c r="HS37" i="32"/>
  <c r="HR37" i="32"/>
  <c r="HQ37" i="32"/>
  <c r="HP37" i="32"/>
  <c r="HO37" i="32"/>
  <c r="HX36" i="32"/>
  <c r="HW36" i="32"/>
  <c r="HV36" i="32"/>
  <c r="HU36" i="32"/>
  <c r="HT36" i="32"/>
  <c r="HS36" i="32"/>
  <c r="HR36" i="32"/>
  <c r="HQ36" i="32"/>
  <c r="HP36" i="32"/>
  <c r="HO36" i="32"/>
  <c r="HX35" i="32"/>
  <c r="HW35" i="32"/>
  <c r="HV35" i="32"/>
  <c r="HU35" i="32"/>
  <c r="HT35" i="32"/>
  <c r="HS35" i="32"/>
  <c r="HR35" i="32"/>
  <c r="HQ35" i="32"/>
  <c r="HP35" i="32"/>
  <c r="HO35" i="32"/>
  <c r="HX34" i="32"/>
  <c r="HW34" i="32"/>
  <c r="HV34" i="32"/>
  <c r="HU34" i="32"/>
  <c r="HT34" i="32"/>
  <c r="HS34" i="32"/>
  <c r="HR34" i="32"/>
  <c r="HQ34" i="32"/>
  <c r="HP34" i="32"/>
  <c r="HO34" i="32"/>
  <c r="HX33" i="32"/>
  <c r="HW33" i="32"/>
  <c r="HV33" i="32"/>
  <c r="HU33" i="32"/>
  <c r="HT33" i="32"/>
  <c r="HS33" i="32"/>
  <c r="HR33" i="32"/>
  <c r="HQ33" i="32"/>
  <c r="HP33" i="32"/>
  <c r="HO33" i="32"/>
  <c r="HX32" i="32"/>
  <c r="HW32" i="32"/>
  <c r="HV32" i="32"/>
  <c r="HU32" i="32"/>
  <c r="HT32" i="32"/>
  <c r="HS32" i="32"/>
  <c r="HR32" i="32"/>
  <c r="HQ32" i="32"/>
  <c r="HP32" i="32"/>
  <c r="HO32" i="32"/>
  <c r="HX31" i="32"/>
  <c r="HW31" i="32"/>
  <c r="HV31" i="32"/>
  <c r="HU31" i="32"/>
  <c r="HT31" i="32"/>
  <c r="HS31" i="32"/>
  <c r="HR31" i="32"/>
  <c r="HQ31" i="32"/>
  <c r="HP31" i="32"/>
  <c r="HO31" i="32"/>
  <c r="HX30" i="32"/>
  <c r="HW30" i="32"/>
  <c r="HV30" i="32"/>
  <c r="HU30" i="32"/>
  <c r="HT30" i="32"/>
  <c r="HS30" i="32"/>
  <c r="HR30" i="32"/>
  <c r="HQ30" i="32"/>
  <c r="HP30" i="32"/>
  <c r="HO30" i="32"/>
  <c r="HX29" i="32"/>
  <c r="HW29" i="32"/>
  <c r="HV29" i="32"/>
  <c r="HU29" i="32"/>
  <c r="HT29" i="32"/>
  <c r="HS29" i="32"/>
  <c r="HR29" i="32"/>
  <c r="HQ29" i="32"/>
  <c r="HP29" i="32"/>
  <c r="HO29" i="32"/>
  <c r="HX28" i="32"/>
  <c r="HW28" i="32"/>
  <c r="HV28" i="32"/>
  <c r="HU28" i="32"/>
  <c r="HT28" i="32"/>
  <c r="HS28" i="32"/>
  <c r="HR28" i="32"/>
  <c r="HQ28" i="32"/>
  <c r="HP28" i="32"/>
  <c r="HO28" i="32"/>
  <c r="HX27" i="32"/>
  <c r="HW27" i="32"/>
  <c r="HV27" i="32"/>
  <c r="HU27" i="32"/>
  <c r="HT27" i="32"/>
  <c r="HS27" i="32"/>
  <c r="HR27" i="32"/>
  <c r="HQ27" i="32"/>
  <c r="HP27" i="32"/>
  <c r="HO27" i="32"/>
  <c r="HX26" i="32"/>
  <c r="HW26" i="32"/>
  <c r="HV26" i="32"/>
  <c r="HU26" i="32"/>
  <c r="HT26" i="32"/>
  <c r="HS26" i="32"/>
  <c r="HR26" i="32"/>
  <c r="HQ26" i="32"/>
  <c r="HP26" i="32"/>
  <c r="HO26" i="32"/>
  <c r="HX25" i="32"/>
  <c r="HW25" i="32"/>
  <c r="HV25" i="32"/>
  <c r="HU25" i="32"/>
  <c r="HT25" i="32"/>
  <c r="HS25" i="32"/>
  <c r="HR25" i="32"/>
  <c r="HQ25" i="32"/>
  <c r="HP25" i="32"/>
  <c r="HO25" i="32"/>
  <c r="HX24" i="32"/>
  <c r="HW24" i="32"/>
  <c r="HV24" i="32"/>
  <c r="HU24" i="32"/>
  <c r="HT24" i="32"/>
  <c r="HS24" i="32"/>
  <c r="HR24" i="32"/>
  <c r="HQ24" i="32"/>
  <c r="HP24" i="32"/>
  <c r="HO24" i="32"/>
  <c r="HX23" i="32"/>
  <c r="HW23" i="32"/>
  <c r="HV23" i="32"/>
  <c r="HU23" i="32"/>
  <c r="HT23" i="32"/>
  <c r="HS23" i="32"/>
  <c r="HR23" i="32"/>
  <c r="HQ23" i="32"/>
  <c r="HP23" i="32"/>
  <c r="HO23" i="32"/>
  <c r="HX22" i="32"/>
  <c r="HW22" i="32"/>
  <c r="HV22" i="32"/>
  <c r="HU22" i="32"/>
  <c r="HT22" i="32"/>
  <c r="HS22" i="32"/>
  <c r="HR22" i="32"/>
  <c r="HQ22" i="32"/>
  <c r="HP22" i="32"/>
  <c r="HO22" i="32"/>
  <c r="HX21" i="32"/>
  <c r="HW21" i="32"/>
  <c r="HV21" i="32"/>
  <c r="HU21" i="32"/>
  <c r="HT21" i="32"/>
  <c r="HS21" i="32"/>
  <c r="HR21" i="32"/>
  <c r="HQ21" i="32"/>
  <c r="HP21" i="32"/>
  <c r="HO21" i="32"/>
  <c r="HX20" i="32"/>
  <c r="HW20" i="32"/>
  <c r="HV20" i="32"/>
  <c r="HU20" i="32"/>
  <c r="HT20" i="32"/>
  <c r="HS20" i="32"/>
  <c r="HR20" i="32"/>
  <c r="HQ20" i="32"/>
  <c r="HP20" i="32"/>
  <c r="HO20" i="32"/>
  <c r="HX19" i="32"/>
  <c r="HW19" i="32"/>
  <c r="HV19" i="32"/>
  <c r="HU19" i="32"/>
  <c r="HT19" i="32"/>
  <c r="HS19" i="32"/>
  <c r="HR19" i="32"/>
  <c r="HQ19" i="32"/>
  <c r="HP19" i="32"/>
  <c r="HO19" i="32"/>
  <c r="HX18" i="32"/>
  <c r="HW18" i="32"/>
  <c r="HV18" i="32"/>
  <c r="HU18" i="32"/>
  <c r="HT18" i="32"/>
  <c r="HS18" i="32"/>
  <c r="HR18" i="32"/>
  <c r="HQ18" i="32"/>
  <c r="HP18" i="32"/>
  <c r="HO18" i="32"/>
  <c r="HX17" i="32"/>
  <c r="HW17" i="32"/>
  <c r="HV17" i="32"/>
  <c r="HU17" i="32"/>
  <c r="HT17" i="32"/>
  <c r="HS17" i="32"/>
  <c r="HR17" i="32"/>
  <c r="HQ17" i="32"/>
  <c r="HP17" i="32"/>
  <c r="HO17" i="32"/>
  <c r="HX16" i="32"/>
  <c r="HW16" i="32"/>
  <c r="HV16" i="32"/>
  <c r="HU16" i="32"/>
  <c r="HT16" i="32"/>
  <c r="HS16" i="32"/>
  <c r="HR16" i="32"/>
  <c r="HQ16" i="32"/>
  <c r="HP16" i="32"/>
  <c r="HO16" i="32"/>
  <c r="HX15" i="32"/>
  <c r="HW15" i="32"/>
  <c r="HV15" i="32"/>
  <c r="HU15" i="32"/>
  <c r="HT15" i="32"/>
  <c r="HS15" i="32"/>
  <c r="HR15" i="32"/>
  <c r="HQ15" i="32"/>
  <c r="HP15" i="32"/>
  <c r="HO15" i="32"/>
  <c r="HX14" i="32"/>
  <c r="HW14" i="32"/>
  <c r="HV14" i="32"/>
  <c r="HU14" i="32"/>
  <c r="HT14" i="32"/>
  <c r="HS14" i="32"/>
  <c r="HR14" i="32"/>
  <c r="HQ14" i="32"/>
  <c r="HP14" i="32"/>
  <c r="HO14" i="32"/>
  <c r="HX13" i="32"/>
  <c r="HW13" i="32"/>
  <c r="HV13" i="32"/>
  <c r="HU13" i="32"/>
  <c r="HT13" i="32"/>
  <c r="HS13" i="32"/>
  <c r="HR13" i="32"/>
  <c r="HQ13" i="32"/>
  <c r="HP13" i="32"/>
  <c r="HO13" i="32"/>
  <c r="HX12" i="32"/>
  <c r="HW12" i="32"/>
  <c r="HV12" i="32"/>
  <c r="HU12" i="32"/>
  <c r="HT12" i="32"/>
  <c r="HS12" i="32"/>
  <c r="HR12" i="32"/>
  <c r="HQ12" i="32"/>
  <c r="HP12" i="32"/>
  <c r="HO12" i="32"/>
  <c r="HX11" i="32"/>
  <c r="HW11" i="32"/>
  <c r="HV11" i="32"/>
  <c r="HU11" i="32"/>
  <c r="HT11" i="32"/>
  <c r="HS11" i="32"/>
  <c r="HR11" i="32"/>
  <c r="HQ11" i="32"/>
  <c r="HP11" i="32"/>
  <c r="HO11" i="32"/>
  <c r="HX10" i="32"/>
  <c r="HW10" i="32"/>
  <c r="HV10" i="32"/>
  <c r="HU10" i="32"/>
  <c r="HT10" i="32"/>
  <c r="HS10" i="32"/>
  <c r="HR10" i="32"/>
  <c r="HQ10" i="32"/>
  <c r="HP10" i="32"/>
  <c r="HO10" i="32"/>
  <c r="HX9" i="32"/>
  <c r="HW9" i="32"/>
  <c r="HV9" i="32"/>
  <c r="HU9" i="32"/>
  <c r="HT9" i="32"/>
  <c r="HS9" i="32"/>
  <c r="HR9" i="32"/>
  <c r="HQ9" i="32"/>
  <c r="HP9" i="32"/>
  <c r="HO9" i="32"/>
  <c r="HX8" i="32"/>
  <c r="HW8" i="32"/>
  <c r="HV8" i="32"/>
  <c r="HU8" i="32"/>
  <c r="HT8" i="32"/>
  <c r="HS8" i="32"/>
  <c r="HR8" i="32"/>
  <c r="HQ8" i="32"/>
  <c r="HP8" i="32"/>
  <c r="HO8" i="32"/>
  <c r="HX7" i="32"/>
  <c r="HW7" i="32"/>
  <c r="HV7" i="32"/>
  <c r="HU7" i="32"/>
  <c r="HT7" i="32"/>
  <c r="HS7" i="32"/>
  <c r="HR7" i="32"/>
  <c r="HQ7" i="32"/>
  <c r="HP7" i="32"/>
  <c r="HO7" i="32"/>
  <c r="HX6" i="32"/>
  <c r="HW6" i="32"/>
  <c r="HV6" i="32"/>
  <c r="HU6" i="32"/>
  <c r="HT6" i="32"/>
  <c r="HS6" i="32"/>
  <c r="HR6" i="32"/>
  <c r="HQ6" i="32"/>
  <c r="HP6" i="32"/>
  <c r="HO6" i="32"/>
  <c r="HX5" i="32"/>
  <c r="HW5" i="32"/>
  <c r="HV5" i="32"/>
  <c r="HU5" i="32"/>
  <c r="HT5" i="32"/>
  <c r="HS5" i="32"/>
  <c r="HR5" i="32"/>
  <c r="HQ5" i="32"/>
  <c r="HP5" i="32"/>
  <c r="HO5" i="32"/>
  <c r="HX4" i="32"/>
  <c r="HW4" i="32"/>
  <c r="HV4" i="32"/>
  <c r="HU4" i="32"/>
  <c r="HT4" i="32"/>
  <c r="HS4" i="32"/>
  <c r="HR4" i="32"/>
  <c r="HQ4" i="32"/>
  <c r="HP4" i="32"/>
  <c r="HO4" i="32"/>
  <c r="HM42" i="32"/>
  <c r="HL42" i="32"/>
  <c r="HK42" i="32"/>
  <c r="HJ42" i="32"/>
  <c r="HI42" i="32"/>
  <c r="HH42" i="32"/>
  <c r="HG42" i="32"/>
  <c r="HF42" i="32"/>
  <c r="HE42" i="32"/>
  <c r="HD42" i="32"/>
  <c r="HM41" i="32"/>
  <c r="HL41" i="32"/>
  <c r="HK41" i="32"/>
  <c r="HJ41" i="32"/>
  <c r="HI41" i="32"/>
  <c r="HH41" i="32"/>
  <c r="HG41" i="32"/>
  <c r="HF41" i="32"/>
  <c r="HE41" i="32"/>
  <c r="HD41" i="32"/>
  <c r="HM40" i="32"/>
  <c r="HL40" i="32"/>
  <c r="HK40" i="32"/>
  <c r="HJ40" i="32"/>
  <c r="HI40" i="32"/>
  <c r="HH40" i="32"/>
  <c r="HG40" i="32"/>
  <c r="HF40" i="32"/>
  <c r="HE40" i="32"/>
  <c r="HD40" i="32"/>
  <c r="HM39" i="32"/>
  <c r="HL39" i="32"/>
  <c r="HK39" i="32"/>
  <c r="HJ39" i="32"/>
  <c r="HI39" i="32"/>
  <c r="HH39" i="32"/>
  <c r="HG39" i="32"/>
  <c r="HF39" i="32"/>
  <c r="HE39" i="32"/>
  <c r="HD39" i="32"/>
  <c r="HM38" i="32"/>
  <c r="HL38" i="32"/>
  <c r="HK38" i="32"/>
  <c r="HJ38" i="32"/>
  <c r="HI38" i="32"/>
  <c r="HH38" i="32"/>
  <c r="HG38" i="32"/>
  <c r="HF38" i="32"/>
  <c r="HE38" i="32"/>
  <c r="HD38" i="32"/>
  <c r="HM37" i="32"/>
  <c r="HL37" i="32"/>
  <c r="HK37" i="32"/>
  <c r="HJ37" i="32"/>
  <c r="HI37" i="32"/>
  <c r="HH37" i="32"/>
  <c r="HG37" i="32"/>
  <c r="HF37" i="32"/>
  <c r="HE37" i="32"/>
  <c r="HD37" i="32"/>
  <c r="HM36" i="32"/>
  <c r="HL36" i="32"/>
  <c r="HK36" i="32"/>
  <c r="HJ36" i="32"/>
  <c r="HI36" i="32"/>
  <c r="HH36" i="32"/>
  <c r="HG36" i="32"/>
  <c r="HF36" i="32"/>
  <c r="HE36" i="32"/>
  <c r="HD36" i="32"/>
  <c r="HM35" i="32"/>
  <c r="HL35" i="32"/>
  <c r="HK35" i="32"/>
  <c r="HJ35" i="32"/>
  <c r="HI35" i="32"/>
  <c r="HH35" i="32"/>
  <c r="HG35" i="32"/>
  <c r="HF35" i="32"/>
  <c r="HE35" i="32"/>
  <c r="HD35" i="32"/>
  <c r="HM34" i="32"/>
  <c r="HL34" i="32"/>
  <c r="HK34" i="32"/>
  <c r="HJ34" i="32"/>
  <c r="HI34" i="32"/>
  <c r="HH34" i="32"/>
  <c r="HG34" i="32"/>
  <c r="HF34" i="32"/>
  <c r="HE34" i="32"/>
  <c r="HD34" i="32"/>
  <c r="HM33" i="32"/>
  <c r="HL33" i="32"/>
  <c r="HK33" i="32"/>
  <c r="HJ33" i="32"/>
  <c r="HI33" i="32"/>
  <c r="HH33" i="32"/>
  <c r="HG33" i="32"/>
  <c r="HF33" i="32"/>
  <c r="HE33" i="32"/>
  <c r="HD33" i="32"/>
  <c r="HM32" i="32"/>
  <c r="HL32" i="32"/>
  <c r="HK32" i="32"/>
  <c r="HJ32" i="32"/>
  <c r="HI32" i="32"/>
  <c r="HH32" i="32"/>
  <c r="HG32" i="32"/>
  <c r="HF32" i="32"/>
  <c r="HE32" i="32"/>
  <c r="HD32" i="32"/>
  <c r="HM31" i="32"/>
  <c r="HL31" i="32"/>
  <c r="HK31" i="32"/>
  <c r="HJ31" i="32"/>
  <c r="HI31" i="32"/>
  <c r="HH31" i="32"/>
  <c r="HG31" i="32"/>
  <c r="HF31" i="32"/>
  <c r="HE31" i="32"/>
  <c r="HD31" i="32"/>
  <c r="HM30" i="32"/>
  <c r="HL30" i="32"/>
  <c r="HK30" i="32"/>
  <c r="HJ30" i="32"/>
  <c r="HI30" i="32"/>
  <c r="HH30" i="32"/>
  <c r="HG30" i="32"/>
  <c r="HF30" i="32"/>
  <c r="HE30" i="32"/>
  <c r="HD30" i="32"/>
  <c r="HM29" i="32"/>
  <c r="HL29" i="32"/>
  <c r="HK29" i="32"/>
  <c r="HJ29" i="32"/>
  <c r="HI29" i="32"/>
  <c r="HH29" i="32"/>
  <c r="HG29" i="32"/>
  <c r="HF29" i="32"/>
  <c r="HE29" i="32"/>
  <c r="HD29" i="32"/>
  <c r="HM28" i="32"/>
  <c r="HL28" i="32"/>
  <c r="HK28" i="32"/>
  <c r="HJ28" i="32"/>
  <c r="HI28" i="32"/>
  <c r="HH28" i="32"/>
  <c r="HG28" i="32"/>
  <c r="HF28" i="32"/>
  <c r="HE28" i="32"/>
  <c r="HD28" i="32"/>
  <c r="HM27" i="32"/>
  <c r="HL27" i="32"/>
  <c r="HK27" i="32"/>
  <c r="HJ27" i="32"/>
  <c r="HI27" i="32"/>
  <c r="HH27" i="32"/>
  <c r="HG27" i="32"/>
  <c r="HF27" i="32"/>
  <c r="HE27" i="32"/>
  <c r="HD27" i="32"/>
  <c r="HM26" i="32"/>
  <c r="HL26" i="32"/>
  <c r="HK26" i="32"/>
  <c r="HJ26" i="32"/>
  <c r="HI26" i="32"/>
  <c r="HH26" i="32"/>
  <c r="HG26" i="32"/>
  <c r="HF26" i="32"/>
  <c r="HE26" i="32"/>
  <c r="HD26" i="32"/>
  <c r="HM25" i="32"/>
  <c r="HL25" i="32"/>
  <c r="HK25" i="32"/>
  <c r="HJ25" i="32"/>
  <c r="HI25" i="32"/>
  <c r="HH25" i="32"/>
  <c r="HG25" i="32"/>
  <c r="HF25" i="32"/>
  <c r="HE25" i="32"/>
  <c r="HD25" i="32"/>
  <c r="HM24" i="32"/>
  <c r="HL24" i="32"/>
  <c r="HK24" i="32"/>
  <c r="HJ24" i="32"/>
  <c r="HI24" i="32"/>
  <c r="HH24" i="32"/>
  <c r="HG24" i="32"/>
  <c r="HF24" i="32"/>
  <c r="HE24" i="32"/>
  <c r="HD24" i="32"/>
  <c r="HM23" i="32"/>
  <c r="HL23" i="32"/>
  <c r="HK23" i="32"/>
  <c r="HJ23" i="32"/>
  <c r="HI23" i="32"/>
  <c r="HH23" i="32"/>
  <c r="HG23" i="32"/>
  <c r="HF23" i="32"/>
  <c r="HE23" i="32"/>
  <c r="HD23" i="32"/>
  <c r="HM22" i="32"/>
  <c r="HL22" i="32"/>
  <c r="HK22" i="32"/>
  <c r="HJ22" i="32"/>
  <c r="HI22" i="32"/>
  <c r="HH22" i="32"/>
  <c r="HG22" i="32"/>
  <c r="HF22" i="32"/>
  <c r="HE22" i="32"/>
  <c r="HD22" i="32"/>
  <c r="HM21" i="32"/>
  <c r="HL21" i="32"/>
  <c r="HK21" i="32"/>
  <c r="HJ21" i="32"/>
  <c r="HI21" i="32"/>
  <c r="HH21" i="32"/>
  <c r="HG21" i="32"/>
  <c r="HF21" i="32"/>
  <c r="HE21" i="32"/>
  <c r="HD21" i="32"/>
  <c r="HM20" i="32"/>
  <c r="HL20" i="32"/>
  <c r="HK20" i="32"/>
  <c r="HJ20" i="32"/>
  <c r="HI20" i="32"/>
  <c r="HH20" i="32"/>
  <c r="HG20" i="32"/>
  <c r="HF20" i="32"/>
  <c r="HE20" i="32"/>
  <c r="HD20" i="32"/>
  <c r="HM19" i="32"/>
  <c r="HL19" i="32"/>
  <c r="HK19" i="32"/>
  <c r="HJ19" i="32"/>
  <c r="HI19" i="32"/>
  <c r="HH19" i="32"/>
  <c r="HG19" i="32"/>
  <c r="HF19" i="32"/>
  <c r="HE19" i="32"/>
  <c r="HD19" i="32"/>
  <c r="HM18" i="32"/>
  <c r="HL18" i="32"/>
  <c r="HK18" i="32"/>
  <c r="HJ18" i="32"/>
  <c r="HI18" i="32"/>
  <c r="HH18" i="32"/>
  <c r="HG18" i="32"/>
  <c r="HF18" i="32"/>
  <c r="HE18" i="32"/>
  <c r="HD18" i="32"/>
  <c r="HM17" i="32"/>
  <c r="HL17" i="32"/>
  <c r="HK17" i="32"/>
  <c r="HJ17" i="32"/>
  <c r="HI17" i="32"/>
  <c r="HH17" i="32"/>
  <c r="HG17" i="32"/>
  <c r="HF17" i="32"/>
  <c r="HE17" i="32"/>
  <c r="HD17" i="32"/>
  <c r="HM16" i="32"/>
  <c r="HL16" i="32"/>
  <c r="HK16" i="32"/>
  <c r="HJ16" i="32"/>
  <c r="HI16" i="32"/>
  <c r="HH16" i="32"/>
  <c r="HG16" i="32"/>
  <c r="HF16" i="32"/>
  <c r="HE16" i="32"/>
  <c r="HD16" i="32"/>
  <c r="HM15" i="32"/>
  <c r="HL15" i="32"/>
  <c r="HK15" i="32"/>
  <c r="HJ15" i="32"/>
  <c r="HI15" i="32"/>
  <c r="HH15" i="32"/>
  <c r="HG15" i="32"/>
  <c r="HF15" i="32"/>
  <c r="HE15" i="32"/>
  <c r="HD15" i="32"/>
  <c r="HM14" i="32"/>
  <c r="HL14" i="32"/>
  <c r="HK14" i="32"/>
  <c r="HJ14" i="32"/>
  <c r="HI14" i="32"/>
  <c r="HH14" i="32"/>
  <c r="HG14" i="32"/>
  <c r="HF14" i="32"/>
  <c r="HE14" i="32"/>
  <c r="HD14" i="32"/>
  <c r="HM13" i="32"/>
  <c r="HL13" i="32"/>
  <c r="HK13" i="32"/>
  <c r="HJ13" i="32"/>
  <c r="HI13" i="32"/>
  <c r="HH13" i="32"/>
  <c r="HG13" i="32"/>
  <c r="HF13" i="32"/>
  <c r="HE13" i="32"/>
  <c r="HD13" i="32"/>
  <c r="HM12" i="32"/>
  <c r="HL12" i="32"/>
  <c r="HK12" i="32"/>
  <c r="HJ12" i="32"/>
  <c r="HI12" i="32"/>
  <c r="HH12" i="32"/>
  <c r="HG12" i="32"/>
  <c r="HF12" i="32"/>
  <c r="HE12" i="32"/>
  <c r="HD12" i="32"/>
  <c r="HM11" i="32"/>
  <c r="HL11" i="32"/>
  <c r="HK11" i="32"/>
  <c r="HJ11" i="32"/>
  <c r="HI11" i="32"/>
  <c r="HH11" i="32"/>
  <c r="HG11" i="32"/>
  <c r="HF11" i="32"/>
  <c r="HE11" i="32"/>
  <c r="HD11" i="32"/>
  <c r="HM10" i="32"/>
  <c r="HL10" i="32"/>
  <c r="HK10" i="32"/>
  <c r="HJ10" i="32"/>
  <c r="HI10" i="32"/>
  <c r="HH10" i="32"/>
  <c r="HG10" i="32"/>
  <c r="HF10" i="32"/>
  <c r="HE10" i="32"/>
  <c r="HD10" i="32"/>
  <c r="HM9" i="32"/>
  <c r="HL9" i="32"/>
  <c r="HK9" i="32"/>
  <c r="HJ9" i="32"/>
  <c r="HI9" i="32"/>
  <c r="HH9" i="32"/>
  <c r="HG9" i="32"/>
  <c r="HF9" i="32"/>
  <c r="HE9" i="32"/>
  <c r="HD9" i="32"/>
  <c r="HM8" i="32"/>
  <c r="HL8" i="32"/>
  <c r="HK8" i="32"/>
  <c r="HJ8" i="32"/>
  <c r="HI8" i="32"/>
  <c r="HH8" i="32"/>
  <c r="HG8" i="32"/>
  <c r="HF8" i="32"/>
  <c r="HE8" i="32"/>
  <c r="HD8" i="32"/>
  <c r="HM7" i="32"/>
  <c r="HL7" i="32"/>
  <c r="HK7" i="32"/>
  <c r="HJ7" i="32"/>
  <c r="HI7" i="32"/>
  <c r="HH7" i="32"/>
  <c r="HG7" i="32"/>
  <c r="HF7" i="32"/>
  <c r="HE7" i="32"/>
  <c r="HD7" i="32"/>
  <c r="HM6" i="32"/>
  <c r="HL6" i="32"/>
  <c r="HK6" i="32"/>
  <c r="HJ6" i="32"/>
  <c r="HI6" i="32"/>
  <c r="HH6" i="32"/>
  <c r="HG6" i="32"/>
  <c r="HF6" i="32"/>
  <c r="HE6" i="32"/>
  <c r="HD6" i="32"/>
  <c r="HM5" i="32"/>
  <c r="HL5" i="32"/>
  <c r="HK5" i="32"/>
  <c r="HJ5" i="32"/>
  <c r="HI5" i="32"/>
  <c r="HH5" i="32"/>
  <c r="HG5" i="32"/>
  <c r="HF5" i="32"/>
  <c r="HE5" i="32"/>
  <c r="HD5" i="32"/>
  <c r="HM4" i="32"/>
  <c r="HL4" i="32"/>
  <c r="HK4" i="32"/>
  <c r="HJ4" i="32"/>
  <c r="HI4" i="32"/>
  <c r="HH4" i="32"/>
  <c r="HG4" i="32"/>
  <c r="HF4" i="32"/>
  <c r="HE4" i="32"/>
  <c r="HD4" i="32"/>
  <c r="HB42" i="32"/>
  <c r="HA42" i="32"/>
  <c r="GZ42" i="32"/>
  <c r="GY42" i="32"/>
  <c r="GX42" i="32"/>
  <c r="GW42" i="32"/>
  <c r="GV42" i="32"/>
  <c r="GU42" i="32"/>
  <c r="GT42" i="32"/>
  <c r="GS42" i="32"/>
  <c r="HB41" i="32"/>
  <c r="HA41" i="32"/>
  <c r="GZ41" i="32"/>
  <c r="GY41" i="32"/>
  <c r="GX41" i="32"/>
  <c r="GW41" i="32"/>
  <c r="GV41" i="32"/>
  <c r="GU41" i="32"/>
  <c r="GT41" i="32"/>
  <c r="GS41" i="32"/>
  <c r="HB40" i="32"/>
  <c r="HA40" i="32"/>
  <c r="GZ40" i="32"/>
  <c r="GY40" i="32"/>
  <c r="GX40" i="32"/>
  <c r="GW40" i="32"/>
  <c r="GV40" i="32"/>
  <c r="GU40" i="32"/>
  <c r="GT40" i="32"/>
  <c r="GS40" i="32"/>
  <c r="HB39" i="32"/>
  <c r="HA39" i="32"/>
  <c r="GZ39" i="32"/>
  <c r="GY39" i="32"/>
  <c r="GX39" i="32"/>
  <c r="GW39" i="32"/>
  <c r="GV39" i="32"/>
  <c r="GU39" i="32"/>
  <c r="GT39" i="32"/>
  <c r="GS39" i="32"/>
  <c r="HB38" i="32"/>
  <c r="HA38" i="32"/>
  <c r="GZ38" i="32"/>
  <c r="GY38" i="32"/>
  <c r="GX38" i="32"/>
  <c r="GW38" i="32"/>
  <c r="GV38" i="32"/>
  <c r="GU38" i="32"/>
  <c r="GT38" i="32"/>
  <c r="GS38" i="32"/>
  <c r="HB37" i="32"/>
  <c r="HA37" i="32"/>
  <c r="GZ37" i="32"/>
  <c r="GY37" i="32"/>
  <c r="GX37" i="32"/>
  <c r="GW37" i="32"/>
  <c r="GV37" i="32"/>
  <c r="GU37" i="32"/>
  <c r="GT37" i="32"/>
  <c r="GS37" i="32"/>
  <c r="HB36" i="32"/>
  <c r="HA36" i="32"/>
  <c r="GZ36" i="32"/>
  <c r="GY36" i="32"/>
  <c r="GX36" i="32"/>
  <c r="GW36" i="32"/>
  <c r="GV36" i="32"/>
  <c r="GU36" i="32"/>
  <c r="GT36" i="32"/>
  <c r="GS36" i="32"/>
  <c r="HB35" i="32"/>
  <c r="HA35" i="32"/>
  <c r="GZ35" i="32"/>
  <c r="GY35" i="32"/>
  <c r="GX35" i="32"/>
  <c r="GW35" i="32"/>
  <c r="GV35" i="32"/>
  <c r="GU35" i="32"/>
  <c r="GT35" i="32"/>
  <c r="GS35" i="32"/>
  <c r="HB34" i="32"/>
  <c r="HA34" i="32"/>
  <c r="GZ34" i="32"/>
  <c r="GY34" i="32"/>
  <c r="GX34" i="32"/>
  <c r="GW34" i="32"/>
  <c r="GV34" i="32"/>
  <c r="GU34" i="32"/>
  <c r="GT34" i="32"/>
  <c r="GS34" i="32"/>
  <c r="HB33" i="32"/>
  <c r="HA33" i="32"/>
  <c r="GZ33" i="32"/>
  <c r="GY33" i="32"/>
  <c r="GX33" i="32"/>
  <c r="GW33" i="32"/>
  <c r="GV33" i="32"/>
  <c r="GU33" i="32"/>
  <c r="GT33" i="32"/>
  <c r="GS33" i="32"/>
  <c r="HB32" i="32"/>
  <c r="HA32" i="32"/>
  <c r="GZ32" i="32"/>
  <c r="GY32" i="32"/>
  <c r="GX32" i="32"/>
  <c r="GW32" i="32"/>
  <c r="GV32" i="32"/>
  <c r="GU32" i="32"/>
  <c r="GT32" i="32"/>
  <c r="GS32" i="32"/>
  <c r="HB31" i="32"/>
  <c r="HA31" i="32"/>
  <c r="GZ31" i="32"/>
  <c r="GY31" i="32"/>
  <c r="GX31" i="32"/>
  <c r="GW31" i="32"/>
  <c r="GV31" i="32"/>
  <c r="GU31" i="32"/>
  <c r="GT31" i="32"/>
  <c r="GS31" i="32"/>
  <c r="HB30" i="32"/>
  <c r="HA30" i="32"/>
  <c r="GZ30" i="32"/>
  <c r="GY30" i="32"/>
  <c r="GX30" i="32"/>
  <c r="GW30" i="32"/>
  <c r="GV30" i="32"/>
  <c r="GU30" i="32"/>
  <c r="GT30" i="32"/>
  <c r="GS30" i="32"/>
  <c r="HB29" i="32"/>
  <c r="HA29" i="32"/>
  <c r="GZ29" i="32"/>
  <c r="GY29" i="32"/>
  <c r="GX29" i="32"/>
  <c r="GW29" i="32"/>
  <c r="GV29" i="32"/>
  <c r="GU29" i="32"/>
  <c r="GT29" i="32"/>
  <c r="GS29" i="32"/>
  <c r="HB28" i="32"/>
  <c r="HA28" i="32"/>
  <c r="GZ28" i="32"/>
  <c r="GY28" i="32"/>
  <c r="GX28" i="32"/>
  <c r="GW28" i="32"/>
  <c r="GV28" i="32"/>
  <c r="GU28" i="32"/>
  <c r="GT28" i="32"/>
  <c r="GS28" i="32"/>
  <c r="HB27" i="32"/>
  <c r="HA27" i="32"/>
  <c r="GZ27" i="32"/>
  <c r="GY27" i="32"/>
  <c r="GX27" i="32"/>
  <c r="GW27" i="32"/>
  <c r="GV27" i="32"/>
  <c r="GU27" i="32"/>
  <c r="GT27" i="32"/>
  <c r="GS27" i="32"/>
  <c r="HB26" i="32"/>
  <c r="HA26" i="32"/>
  <c r="GZ26" i="32"/>
  <c r="GY26" i="32"/>
  <c r="GX26" i="32"/>
  <c r="GW26" i="32"/>
  <c r="GV26" i="32"/>
  <c r="GU26" i="32"/>
  <c r="GT26" i="32"/>
  <c r="GS26" i="32"/>
  <c r="HB25" i="32"/>
  <c r="HA25" i="32"/>
  <c r="GZ25" i="32"/>
  <c r="GY25" i="32"/>
  <c r="GX25" i="32"/>
  <c r="GW25" i="32"/>
  <c r="GV25" i="32"/>
  <c r="GU25" i="32"/>
  <c r="GT25" i="32"/>
  <c r="GS25" i="32"/>
  <c r="HB24" i="32"/>
  <c r="HA24" i="32"/>
  <c r="GZ24" i="32"/>
  <c r="GY24" i="32"/>
  <c r="GX24" i="32"/>
  <c r="GW24" i="32"/>
  <c r="GV24" i="32"/>
  <c r="GU24" i="32"/>
  <c r="GT24" i="32"/>
  <c r="GS24" i="32"/>
  <c r="HB23" i="32"/>
  <c r="HA23" i="32"/>
  <c r="GZ23" i="32"/>
  <c r="GY23" i="32"/>
  <c r="GX23" i="32"/>
  <c r="GW23" i="32"/>
  <c r="GV23" i="32"/>
  <c r="GU23" i="32"/>
  <c r="GT23" i="32"/>
  <c r="GS23" i="32"/>
  <c r="HB22" i="32"/>
  <c r="HA22" i="32"/>
  <c r="GZ22" i="32"/>
  <c r="GY22" i="32"/>
  <c r="GX22" i="32"/>
  <c r="GW22" i="32"/>
  <c r="GV22" i="32"/>
  <c r="GU22" i="32"/>
  <c r="GT22" i="32"/>
  <c r="GS22" i="32"/>
  <c r="HB21" i="32"/>
  <c r="HA21" i="32"/>
  <c r="GZ21" i="32"/>
  <c r="GY21" i="32"/>
  <c r="GX21" i="32"/>
  <c r="GW21" i="32"/>
  <c r="GV21" i="32"/>
  <c r="GU21" i="32"/>
  <c r="GT21" i="32"/>
  <c r="GS21" i="32"/>
  <c r="HB20" i="32"/>
  <c r="HA20" i="32"/>
  <c r="GZ20" i="32"/>
  <c r="GY20" i="32"/>
  <c r="GX20" i="32"/>
  <c r="GW20" i="32"/>
  <c r="GV20" i="32"/>
  <c r="GU20" i="32"/>
  <c r="GT20" i="32"/>
  <c r="GS20" i="32"/>
  <c r="HB19" i="32"/>
  <c r="HA19" i="32"/>
  <c r="GZ19" i="32"/>
  <c r="GY19" i="32"/>
  <c r="GX19" i="32"/>
  <c r="GW19" i="32"/>
  <c r="GV19" i="32"/>
  <c r="GU19" i="32"/>
  <c r="GT19" i="32"/>
  <c r="GS19" i="32"/>
  <c r="HB18" i="32"/>
  <c r="HA18" i="32"/>
  <c r="GZ18" i="32"/>
  <c r="GY18" i="32"/>
  <c r="GX18" i="32"/>
  <c r="GW18" i="32"/>
  <c r="GV18" i="32"/>
  <c r="GU18" i="32"/>
  <c r="GT18" i="32"/>
  <c r="GS18" i="32"/>
  <c r="HB17" i="32"/>
  <c r="HA17" i="32"/>
  <c r="GZ17" i="32"/>
  <c r="GY17" i="32"/>
  <c r="GX17" i="32"/>
  <c r="GW17" i="32"/>
  <c r="GV17" i="32"/>
  <c r="GU17" i="32"/>
  <c r="GT17" i="32"/>
  <c r="GS17" i="32"/>
  <c r="HB16" i="32"/>
  <c r="HA16" i="32"/>
  <c r="GZ16" i="32"/>
  <c r="GY16" i="32"/>
  <c r="GX16" i="32"/>
  <c r="GW16" i="32"/>
  <c r="GV16" i="32"/>
  <c r="GU16" i="32"/>
  <c r="GT16" i="32"/>
  <c r="GS16" i="32"/>
  <c r="HB15" i="32"/>
  <c r="HA15" i="32"/>
  <c r="GZ15" i="32"/>
  <c r="GY15" i="32"/>
  <c r="GX15" i="32"/>
  <c r="GW15" i="32"/>
  <c r="GV15" i="32"/>
  <c r="GU15" i="32"/>
  <c r="GT15" i="32"/>
  <c r="GS15" i="32"/>
  <c r="HB14" i="32"/>
  <c r="HA14" i="32"/>
  <c r="GZ14" i="32"/>
  <c r="GY14" i="32"/>
  <c r="GX14" i="32"/>
  <c r="GW14" i="32"/>
  <c r="GV14" i="32"/>
  <c r="GU14" i="32"/>
  <c r="GT14" i="32"/>
  <c r="GS14" i="32"/>
  <c r="HB13" i="32"/>
  <c r="HA13" i="32"/>
  <c r="GZ13" i="32"/>
  <c r="GY13" i="32"/>
  <c r="GX13" i="32"/>
  <c r="GW13" i="32"/>
  <c r="GV13" i="32"/>
  <c r="GU13" i="32"/>
  <c r="GT13" i="32"/>
  <c r="GS13" i="32"/>
  <c r="HB12" i="32"/>
  <c r="HA12" i="32"/>
  <c r="GZ12" i="32"/>
  <c r="GY12" i="32"/>
  <c r="GX12" i="32"/>
  <c r="GW12" i="32"/>
  <c r="GV12" i="32"/>
  <c r="GU12" i="32"/>
  <c r="GT12" i="32"/>
  <c r="GS12" i="32"/>
  <c r="HB11" i="32"/>
  <c r="HA11" i="32"/>
  <c r="GZ11" i="32"/>
  <c r="GY11" i="32"/>
  <c r="GX11" i="32"/>
  <c r="GW11" i="32"/>
  <c r="GV11" i="32"/>
  <c r="GU11" i="32"/>
  <c r="GT11" i="32"/>
  <c r="GS11" i="32"/>
  <c r="HB10" i="32"/>
  <c r="HA10" i="32"/>
  <c r="GZ10" i="32"/>
  <c r="GY10" i="32"/>
  <c r="GX10" i="32"/>
  <c r="GW10" i="32"/>
  <c r="GV10" i="32"/>
  <c r="GU10" i="32"/>
  <c r="GT10" i="32"/>
  <c r="GS10" i="32"/>
  <c r="HB9" i="32"/>
  <c r="HA9" i="32"/>
  <c r="GZ9" i="32"/>
  <c r="GY9" i="32"/>
  <c r="GX9" i="32"/>
  <c r="GW9" i="32"/>
  <c r="GV9" i="32"/>
  <c r="GU9" i="32"/>
  <c r="GT9" i="32"/>
  <c r="GS9" i="32"/>
  <c r="HB8" i="32"/>
  <c r="HA8" i="32"/>
  <c r="GZ8" i="32"/>
  <c r="GY8" i="32"/>
  <c r="GX8" i="32"/>
  <c r="GW8" i="32"/>
  <c r="GV8" i="32"/>
  <c r="GU8" i="32"/>
  <c r="GT8" i="32"/>
  <c r="GS8" i="32"/>
  <c r="HB7" i="32"/>
  <c r="HA7" i="32"/>
  <c r="GZ7" i="32"/>
  <c r="GY7" i="32"/>
  <c r="GX7" i="32"/>
  <c r="GW7" i="32"/>
  <c r="GV7" i="32"/>
  <c r="GU7" i="32"/>
  <c r="GT7" i="32"/>
  <c r="GS7" i="32"/>
  <c r="HB6" i="32"/>
  <c r="HA6" i="32"/>
  <c r="GZ6" i="32"/>
  <c r="GY6" i="32"/>
  <c r="GX6" i="32"/>
  <c r="GW6" i="32"/>
  <c r="GV6" i="32"/>
  <c r="GU6" i="32"/>
  <c r="GT6" i="32"/>
  <c r="GS6" i="32"/>
  <c r="HB5" i="32"/>
  <c r="HA5" i="32"/>
  <c r="GZ5" i="32"/>
  <c r="GY5" i="32"/>
  <c r="GX5" i="32"/>
  <c r="GW5" i="32"/>
  <c r="GV5" i="32"/>
  <c r="GU5" i="32"/>
  <c r="GT5" i="32"/>
  <c r="GS5" i="32"/>
  <c r="HB4" i="32"/>
  <c r="HA4" i="32"/>
  <c r="GZ4" i="32"/>
  <c r="GY4" i="32"/>
  <c r="GX4" i="32"/>
  <c r="GW4" i="32"/>
  <c r="GV4" i="32"/>
  <c r="GU4" i="32"/>
  <c r="GT4" i="32"/>
  <c r="GS4" i="32"/>
  <c r="GQ42" i="32"/>
  <c r="GP42" i="32"/>
  <c r="GO42" i="32"/>
  <c r="GN42" i="32"/>
  <c r="GM42" i="32"/>
  <c r="GL42" i="32"/>
  <c r="GK42" i="32"/>
  <c r="GJ42" i="32"/>
  <c r="GI42" i="32"/>
  <c r="GH42" i="32"/>
  <c r="GQ41" i="32"/>
  <c r="GP41" i="32"/>
  <c r="GO41" i="32"/>
  <c r="GN41" i="32"/>
  <c r="GM41" i="32"/>
  <c r="GL41" i="32"/>
  <c r="GK41" i="32"/>
  <c r="GJ41" i="32"/>
  <c r="GI41" i="32"/>
  <c r="GH41" i="32"/>
  <c r="GQ40" i="32"/>
  <c r="GP40" i="32"/>
  <c r="GO40" i="32"/>
  <c r="GN40" i="32"/>
  <c r="GM40" i="32"/>
  <c r="GL40" i="32"/>
  <c r="GK40" i="32"/>
  <c r="GJ40" i="32"/>
  <c r="GI40" i="32"/>
  <c r="GH40" i="32"/>
  <c r="GQ39" i="32"/>
  <c r="GP39" i="32"/>
  <c r="GO39" i="32"/>
  <c r="GN39" i="32"/>
  <c r="GM39" i="32"/>
  <c r="GL39" i="32"/>
  <c r="GK39" i="32"/>
  <c r="GJ39" i="32"/>
  <c r="GI39" i="32"/>
  <c r="GH39" i="32"/>
  <c r="GQ38" i="32"/>
  <c r="GP38" i="32"/>
  <c r="GO38" i="32"/>
  <c r="GN38" i="32"/>
  <c r="GM38" i="32"/>
  <c r="GL38" i="32"/>
  <c r="GK38" i="32"/>
  <c r="GJ38" i="32"/>
  <c r="GI38" i="32"/>
  <c r="GH38" i="32"/>
  <c r="GQ37" i="32"/>
  <c r="GP37" i="32"/>
  <c r="GO37" i="32"/>
  <c r="GN37" i="32"/>
  <c r="GM37" i="32"/>
  <c r="GL37" i="32"/>
  <c r="GK37" i="32"/>
  <c r="GJ37" i="32"/>
  <c r="GI37" i="32"/>
  <c r="GH37" i="32"/>
  <c r="GQ36" i="32"/>
  <c r="GP36" i="32"/>
  <c r="GO36" i="32"/>
  <c r="GN36" i="32"/>
  <c r="GM36" i="32"/>
  <c r="GL36" i="32"/>
  <c r="GK36" i="32"/>
  <c r="GJ36" i="32"/>
  <c r="GI36" i="32"/>
  <c r="GH36" i="32"/>
  <c r="GQ35" i="32"/>
  <c r="GP35" i="32"/>
  <c r="GO35" i="32"/>
  <c r="GN35" i="32"/>
  <c r="GM35" i="32"/>
  <c r="GL35" i="32"/>
  <c r="GK35" i="32"/>
  <c r="GJ35" i="32"/>
  <c r="GI35" i="32"/>
  <c r="GH35" i="32"/>
  <c r="GQ34" i="32"/>
  <c r="GP34" i="32"/>
  <c r="GO34" i="32"/>
  <c r="GN34" i="32"/>
  <c r="GM34" i="32"/>
  <c r="GL34" i="32"/>
  <c r="GK34" i="32"/>
  <c r="GJ34" i="32"/>
  <c r="GI34" i="32"/>
  <c r="GH34" i="32"/>
  <c r="GQ33" i="32"/>
  <c r="GP33" i="32"/>
  <c r="GO33" i="32"/>
  <c r="GN33" i="32"/>
  <c r="GM33" i="32"/>
  <c r="GL33" i="32"/>
  <c r="GK33" i="32"/>
  <c r="GJ33" i="32"/>
  <c r="GI33" i="32"/>
  <c r="GH33" i="32"/>
  <c r="GQ32" i="32"/>
  <c r="GP32" i="32"/>
  <c r="GO32" i="32"/>
  <c r="GN32" i="32"/>
  <c r="GM32" i="32"/>
  <c r="GL32" i="32"/>
  <c r="GK32" i="32"/>
  <c r="GJ32" i="32"/>
  <c r="GI32" i="32"/>
  <c r="GH32" i="32"/>
  <c r="GQ31" i="32"/>
  <c r="GP31" i="32"/>
  <c r="GO31" i="32"/>
  <c r="GN31" i="32"/>
  <c r="GM31" i="32"/>
  <c r="GL31" i="32"/>
  <c r="GK31" i="32"/>
  <c r="GJ31" i="32"/>
  <c r="GI31" i="32"/>
  <c r="GH31" i="32"/>
  <c r="GQ30" i="32"/>
  <c r="GP30" i="32"/>
  <c r="GO30" i="32"/>
  <c r="GN30" i="32"/>
  <c r="GM30" i="32"/>
  <c r="GL30" i="32"/>
  <c r="GK30" i="32"/>
  <c r="GJ30" i="32"/>
  <c r="GI30" i="32"/>
  <c r="GH30" i="32"/>
  <c r="GQ29" i="32"/>
  <c r="GP29" i="32"/>
  <c r="GO29" i="32"/>
  <c r="GN29" i="32"/>
  <c r="GM29" i="32"/>
  <c r="GL29" i="32"/>
  <c r="GK29" i="32"/>
  <c r="GJ29" i="32"/>
  <c r="GI29" i="32"/>
  <c r="GH29" i="32"/>
  <c r="GQ28" i="32"/>
  <c r="GP28" i="32"/>
  <c r="GO28" i="32"/>
  <c r="GN28" i="32"/>
  <c r="GM28" i="32"/>
  <c r="GL28" i="32"/>
  <c r="GK28" i="32"/>
  <c r="GJ28" i="32"/>
  <c r="GI28" i="32"/>
  <c r="GH28" i="32"/>
  <c r="GQ27" i="32"/>
  <c r="GP27" i="32"/>
  <c r="GO27" i="32"/>
  <c r="GN27" i="32"/>
  <c r="GM27" i="32"/>
  <c r="GL27" i="32"/>
  <c r="GK27" i="32"/>
  <c r="GJ27" i="32"/>
  <c r="GI27" i="32"/>
  <c r="GH27" i="32"/>
  <c r="GQ26" i="32"/>
  <c r="GP26" i="32"/>
  <c r="GO26" i="32"/>
  <c r="GN26" i="32"/>
  <c r="GM26" i="32"/>
  <c r="GL26" i="32"/>
  <c r="GK26" i="32"/>
  <c r="GJ26" i="32"/>
  <c r="GI26" i="32"/>
  <c r="GH26" i="32"/>
  <c r="GQ25" i="32"/>
  <c r="GP25" i="32"/>
  <c r="GO25" i="32"/>
  <c r="GN25" i="32"/>
  <c r="GM25" i="32"/>
  <c r="GL25" i="32"/>
  <c r="GK25" i="32"/>
  <c r="GJ25" i="32"/>
  <c r="GI25" i="32"/>
  <c r="GH25" i="32"/>
  <c r="GQ24" i="32"/>
  <c r="GP24" i="32"/>
  <c r="GO24" i="32"/>
  <c r="GN24" i="32"/>
  <c r="GM24" i="32"/>
  <c r="GL24" i="32"/>
  <c r="GK24" i="32"/>
  <c r="GJ24" i="32"/>
  <c r="GI24" i="32"/>
  <c r="GH24" i="32"/>
  <c r="GQ23" i="32"/>
  <c r="GP23" i="32"/>
  <c r="GO23" i="32"/>
  <c r="GN23" i="32"/>
  <c r="GM23" i="32"/>
  <c r="GL23" i="32"/>
  <c r="GK23" i="32"/>
  <c r="GJ23" i="32"/>
  <c r="GI23" i="32"/>
  <c r="GH23" i="32"/>
  <c r="GQ22" i="32"/>
  <c r="GP22" i="32"/>
  <c r="GO22" i="32"/>
  <c r="GN22" i="32"/>
  <c r="GM22" i="32"/>
  <c r="GL22" i="32"/>
  <c r="GK22" i="32"/>
  <c r="GJ22" i="32"/>
  <c r="GI22" i="32"/>
  <c r="GH22" i="32"/>
  <c r="GQ21" i="32"/>
  <c r="GP21" i="32"/>
  <c r="GO21" i="32"/>
  <c r="GN21" i="32"/>
  <c r="GM21" i="32"/>
  <c r="GL21" i="32"/>
  <c r="GK21" i="32"/>
  <c r="GJ21" i="32"/>
  <c r="GI21" i="32"/>
  <c r="GH21" i="32"/>
  <c r="GQ20" i="32"/>
  <c r="GP20" i="32"/>
  <c r="GO20" i="32"/>
  <c r="GN20" i="32"/>
  <c r="GM20" i="32"/>
  <c r="GL20" i="32"/>
  <c r="GK20" i="32"/>
  <c r="GJ20" i="32"/>
  <c r="GI20" i="32"/>
  <c r="GH20" i="32"/>
  <c r="GQ19" i="32"/>
  <c r="GP19" i="32"/>
  <c r="GO19" i="32"/>
  <c r="GN19" i="32"/>
  <c r="GM19" i="32"/>
  <c r="GL19" i="32"/>
  <c r="GK19" i="32"/>
  <c r="GJ19" i="32"/>
  <c r="GI19" i="32"/>
  <c r="GH19" i="32"/>
  <c r="GQ18" i="32"/>
  <c r="GP18" i="32"/>
  <c r="GO18" i="32"/>
  <c r="GN18" i="32"/>
  <c r="GM18" i="32"/>
  <c r="GL18" i="32"/>
  <c r="GK18" i="32"/>
  <c r="GJ18" i="32"/>
  <c r="GI18" i="32"/>
  <c r="GH18" i="32"/>
  <c r="GQ17" i="32"/>
  <c r="GP17" i="32"/>
  <c r="GO17" i="32"/>
  <c r="GN17" i="32"/>
  <c r="GM17" i="32"/>
  <c r="GL17" i="32"/>
  <c r="GK17" i="32"/>
  <c r="GJ17" i="32"/>
  <c r="GI17" i="32"/>
  <c r="GH17" i="32"/>
  <c r="GQ16" i="32"/>
  <c r="GP16" i="32"/>
  <c r="GO16" i="32"/>
  <c r="GN16" i="32"/>
  <c r="GM16" i="32"/>
  <c r="GL16" i="32"/>
  <c r="GK16" i="32"/>
  <c r="GJ16" i="32"/>
  <c r="GI16" i="32"/>
  <c r="GH16" i="32"/>
  <c r="GQ15" i="32"/>
  <c r="GP15" i="32"/>
  <c r="GO15" i="32"/>
  <c r="GN15" i="32"/>
  <c r="GM15" i="32"/>
  <c r="GL15" i="32"/>
  <c r="GK15" i="32"/>
  <c r="GJ15" i="32"/>
  <c r="GI15" i="32"/>
  <c r="GH15" i="32"/>
  <c r="GQ14" i="32"/>
  <c r="GP14" i="32"/>
  <c r="GO14" i="32"/>
  <c r="GN14" i="32"/>
  <c r="GM14" i="32"/>
  <c r="GL14" i="32"/>
  <c r="GK14" i="32"/>
  <c r="GJ14" i="32"/>
  <c r="GI14" i="32"/>
  <c r="GH14" i="32"/>
  <c r="GQ13" i="32"/>
  <c r="GP13" i="32"/>
  <c r="GO13" i="32"/>
  <c r="GN13" i="32"/>
  <c r="GM13" i="32"/>
  <c r="GL13" i="32"/>
  <c r="GK13" i="32"/>
  <c r="GJ13" i="32"/>
  <c r="GI13" i="32"/>
  <c r="GH13" i="32"/>
  <c r="GQ12" i="32"/>
  <c r="GP12" i="32"/>
  <c r="GO12" i="32"/>
  <c r="GN12" i="32"/>
  <c r="GM12" i="32"/>
  <c r="GL12" i="32"/>
  <c r="GK12" i="32"/>
  <c r="GJ12" i="32"/>
  <c r="GI12" i="32"/>
  <c r="GH12" i="32"/>
  <c r="GQ11" i="32"/>
  <c r="GP11" i="32"/>
  <c r="GO11" i="32"/>
  <c r="GN11" i="32"/>
  <c r="GM11" i="32"/>
  <c r="GL11" i="32"/>
  <c r="GK11" i="32"/>
  <c r="GJ11" i="32"/>
  <c r="GI11" i="32"/>
  <c r="GH11" i="32"/>
  <c r="GQ10" i="32"/>
  <c r="GP10" i="32"/>
  <c r="GO10" i="32"/>
  <c r="GN10" i="32"/>
  <c r="GM10" i="32"/>
  <c r="GL10" i="32"/>
  <c r="GK10" i="32"/>
  <c r="GJ10" i="32"/>
  <c r="GI10" i="32"/>
  <c r="GH10" i="32"/>
  <c r="GQ9" i="32"/>
  <c r="GP9" i="32"/>
  <c r="GO9" i="32"/>
  <c r="GN9" i="32"/>
  <c r="GM9" i="32"/>
  <c r="GL9" i="32"/>
  <c r="GK9" i="32"/>
  <c r="GJ9" i="32"/>
  <c r="GI9" i="32"/>
  <c r="GH9" i="32"/>
  <c r="GQ8" i="32"/>
  <c r="GP8" i="32"/>
  <c r="GO8" i="32"/>
  <c r="GN8" i="32"/>
  <c r="GM8" i="32"/>
  <c r="GL8" i="32"/>
  <c r="GK8" i="32"/>
  <c r="GJ8" i="32"/>
  <c r="GI8" i="32"/>
  <c r="GH8" i="32"/>
  <c r="GQ7" i="32"/>
  <c r="GP7" i="32"/>
  <c r="GO7" i="32"/>
  <c r="GN7" i="32"/>
  <c r="GM7" i="32"/>
  <c r="GL7" i="32"/>
  <c r="GK7" i="32"/>
  <c r="GJ7" i="32"/>
  <c r="GI7" i="32"/>
  <c r="GH7" i="32"/>
  <c r="GQ6" i="32"/>
  <c r="GP6" i="32"/>
  <c r="GO6" i="32"/>
  <c r="GN6" i="32"/>
  <c r="GM6" i="32"/>
  <c r="GL6" i="32"/>
  <c r="GK6" i="32"/>
  <c r="GJ6" i="32"/>
  <c r="GI6" i="32"/>
  <c r="GH6" i="32"/>
  <c r="GQ5" i="32"/>
  <c r="GP5" i="32"/>
  <c r="GO5" i="32"/>
  <c r="GN5" i="32"/>
  <c r="GM5" i="32"/>
  <c r="GL5" i="32"/>
  <c r="GK5" i="32"/>
  <c r="GJ5" i="32"/>
  <c r="GI5" i="32"/>
  <c r="GH5" i="32"/>
  <c r="GQ4" i="32"/>
  <c r="GP4" i="32"/>
  <c r="GO4" i="32"/>
  <c r="GN4" i="32"/>
  <c r="GM4" i="32"/>
  <c r="GL4" i="32"/>
  <c r="GK4" i="32"/>
  <c r="GJ4" i="32"/>
  <c r="GI4" i="32"/>
  <c r="GH4" i="32"/>
  <c r="GF42" i="32"/>
  <c r="GE42" i="32"/>
  <c r="GD42" i="32"/>
  <c r="GC42" i="32"/>
  <c r="GB42" i="32"/>
  <c r="GA42" i="32"/>
  <c r="FZ42" i="32"/>
  <c r="FY42" i="32"/>
  <c r="FX42" i="32"/>
  <c r="FW42" i="32"/>
  <c r="GF41" i="32"/>
  <c r="GE41" i="32"/>
  <c r="GD41" i="32"/>
  <c r="GC41" i="32"/>
  <c r="GB41" i="32"/>
  <c r="GA41" i="32"/>
  <c r="FZ41" i="32"/>
  <c r="FY41" i="32"/>
  <c r="FX41" i="32"/>
  <c r="FW41" i="32"/>
  <c r="GF40" i="32"/>
  <c r="GE40" i="32"/>
  <c r="GD40" i="32"/>
  <c r="GC40" i="32"/>
  <c r="GB40" i="32"/>
  <c r="GA40" i="32"/>
  <c r="FZ40" i="32"/>
  <c r="FY40" i="32"/>
  <c r="FX40" i="32"/>
  <c r="FW40" i="32"/>
  <c r="GF39" i="32"/>
  <c r="GE39" i="32"/>
  <c r="GD39" i="32"/>
  <c r="GC39" i="32"/>
  <c r="GB39" i="32"/>
  <c r="GA39" i="32"/>
  <c r="FZ39" i="32"/>
  <c r="FY39" i="32"/>
  <c r="FX39" i="32"/>
  <c r="FW39" i="32"/>
  <c r="GF38" i="32"/>
  <c r="GE38" i="32"/>
  <c r="GD38" i="32"/>
  <c r="GC38" i="32"/>
  <c r="GB38" i="32"/>
  <c r="GA38" i="32"/>
  <c r="FZ38" i="32"/>
  <c r="FY38" i="32"/>
  <c r="FX38" i="32"/>
  <c r="FW38" i="32"/>
  <c r="GF37" i="32"/>
  <c r="GE37" i="32"/>
  <c r="GD37" i="32"/>
  <c r="GC37" i="32"/>
  <c r="GB37" i="32"/>
  <c r="GA37" i="32"/>
  <c r="FZ37" i="32"/>
  <c r="FY37" i="32"/>
  <c r="FX37" i="32"/>
  <c r="FW37" i="32"/>
  <c r="GF36" i="32"/>
  <c r="GE36" i="32"/>
  <c r="GD36" i="32"/>
  <c r="GC36" i="32"/>
  <c r="GB36" i="32"/>
  <c r="GA36" i="32"/>
  <c r="FZ36" i="32"/>
  <c r="FY36" i="32"/>
  <c r="FX36" i="32"/>
  <c r="FW36" i="32"/>
  <c r="GF35" i="32"/>
  <c r="GE35" i="32"/>
  <c r="GD35" i="32"/>
  <c r="GC35" i="32"/>
  <c r="GB35" i="32"/>
  <c r="GA35" i="32"/>
  <c r="FZ35" i="32"/>
  <c r="FY35" i="32"/>
  <c r="FX35" i="32"/>
  <c r="FW35" i="32"/>
  <c r="GF34" i="32"/>
  <c r="GE34" i="32"/>
  <c r="GD34" i="32"/>
  <c r="GC34" i="32"/>
  <c r="GB34" i="32"/>
  <c r="GA34" i="32"/>
  <c r="FZ34" i="32"/>
  <c r="FY34" i="32"/>
  <c r="FX34" i="32"/>
  <c r="FW34" i="32"/>
  <c r="GF33" i="32"/>
  <c r="GE33" i="32"/>
  <c r="GD33" i="32"/>
  <c r="GC33" i="32"/>
  <c r="GB33" i="32"/>
  <c r="GA33" i="32"/>
  <c r="FZ33" i="32"/>
  <c r="FY33" i="32"/>
  <c r="FX33" i="32"/>
  <c r="FW33" i="32"/>
  <c r="GF32" i="32"/>
  <c r="GE32" i="32"/>
  <c r="GD32" i="32"/>
  <c r="GC32" i="32"/>
  <c r="GB32" i="32"/>
  <c r="GA32" i="32"/>
  <c r="FZ32" i="32"/>
  <c r="FY32" i="32"/>
  <c r="FX32" i="32"/>
  <c r="FW32" i="32"/>
  <c r="GF31" i="32"/>
  <c r="GE31" i="32"/>
  <c r="GD31" i="32"/>
  <c r="GC31" i="32"/>
  <c r="GB31" i="32"/>
  <c r="GA31" i="32"/>
  <c r="FZ31" i="32"/>
  <c r="FY31" i="32"/>
  <c r="FX31" i="32"/>
  <c r="FW31" i="32"/>
  <c r="GF30" i="32"/>
  <c r="GE30" i="32"/>
  <c r="GD30" i="32"/>
  <c r="GC30" i="32"/>
  <c r="GB30" i="32"/>
  <c r="GA30" i="32"/>
  <c r="FZ30" i="32"/>
  <c r="FY30" i="32"/>
  <c r="FX30" i="32"/>
  <c r="FW30" i="32"/>
  <c r="GF29" i="32"/>
  <c r="GE29" i="32"/>
  <c r="GD29" i="32"/>
  <c r="GC29" i="32"/>
  <c r="GB29" i="32"/>
  <c r="GA29" i="32"/>
  <c r="FZ29" i="32"/>
  <c r="FY29" i="32"/>
  <c r="FX29" i="32"/>
  <c r="FW29" i="32"/>
  <c r="GF28" i="32"/>
  <c r="GE28" i="32"/>
  <c r="GD28" i="32"/>
  <c r="GC28" i="32"/>
  <c r="GB28" i="32"/>
  <c r="GA28" i="32"/>
  <c r="FZ28" i="32"/>
  <c r="FY28" i="32"/>
  <c r="FX28" i="32"/>
  <c r="FW28" i="32"/>
  <c r="GF27" i="32"/>
  <c r="GE27" i="32"/>
  <c r="GD27" i="32"/>
  <c r="GC27" i="32"/>
  <c r="GB27" i="32"/>
  <c r="GA27" i="32"/>
  <c r="FZ27" i="32"/>
  <c r="FY27" i="32"/>
  <c r="FX27" i="32"/>
  <c r="FW27" i="32"/>
  <c r="GF26" i="32"/>
  <c r="GE26" i="32"/>
  <c r="GD26" i="32"/>
  <c r="GC26" i="32"/>
  <c r="GB26" i="32"/>
  <c r="GA26" i="32"/>
  <c r="FZ26" i="32"/>
  <c r="FY26" i="32"/>
  <c r="FX26" i="32"/>
  <c r="FW26" i="32"/>
  <c r="GF25" i="32"/>
  <c r="GE25" i="32"/>
  <c r="GD25" i="32"/>
  <c r="GC25" i="32"/>
  <c r="GB25" i="32"/>
  <c r="GA25" i="32"/>
  <c r="FZ25" i="32"/>
  <c r="FY25" i="32"/>
  <c r="FX25" i="32"/>
  <c r="FW25" i="32"/>
  <c r="GF24" i="32"/>
  <c r="GE24" i="32"/>
  <c r="GD24" i="32"/>
  <c r="GC24" i="32"/>
  <c r="GB24" i="32"/>
  <c r="GA24" i="32"/>
  <c r="FZ24" i="32"/>
  <c r="FY24" i="32"/>
  <c r="FX24" i="32"/>
  <c r="FW24" i="32"/>
  <c r="GF23" i="32"/>
  <c r="GE23" i="32"/>
  <c r="GD23" i="32"/>
  <c r="GC23" i="32"/>
  <c r="GB23" i="32"/>
  <c r="GA23" i="32"/>
  <c r="FZ23" i="32"/>
  <c r="FY23" i="32"/>
  <c r="FX23" i="32"/>
  <c r="FW23" i="32"/>
  <c r="GF22" i="32"/>
  <c r="GE22" i="32"/>
  <c r="GD22" i="32"/>
  <c r="GC22" i="32"/>
  <c r="GB22" i="32"/>
  <c r="GA22" i="32"/>
  <c r="FZ22" i="32"/>
  <c r="FY22" i="32"/>
  <c r="FX22" i="32"/>
  <c r="FW22" i="32"/>
  <c r="GF21" i="32"/>
  <c r="GE21" i="32"/>
  <c r="GD21" i="32"/>
  <c r="GC21" i="32"/>
  <c r="GB21" i="32"/>
  <c r="GA21" i="32"/>
  <c r="FZ21" i="32"/>
  <c r="FY21" i="32"/>
  <c r="FX21" i="32"/>
  <c r="FW21" i="32"/>
  <c r="GF20" i="32"/>
  <c r="GE20" i="32"/>
  <c r="GD20" i="32"/>
  <c r="GC20" i="32"/>
  <c r="GB20" i="32"/>
  <c r="GA20" i="32"/>
  <c r="FZ20" i="32"/>
  <c r="FY20" i="32"/>
  <c r="FX20" i="32"/>
  <c r="FW20" i="32"/>
  <c r="GF19" i="32"/>
  <c r="GE19" i="32"/>
  <c r="GD19" i="32"/>
  <c r="GC19" i="32"/>
  <c r="GB19" i="32"/>
  <c r="GA19" i="32"/>
  <c r="FZ19" i="32"/>
  <c r="FY19" i="32"/>
  <c r="FX19" i="32"/>
  <c r="FW19" i="32"/>
  <c r="GF18" i="32"/>
  <c r="GE18" i="32"/>
  <c r="GD18" i="32"/>
  <c r="GC18" i="32"/>
  <c r="GB18" i="32"/>
  <c r="GA18" i="32"/>
  <c r="FZ18" i="32"/>
  <c r="FY18" i="32"/>
  <c r="FX18" i="32"/>
  <c r="FW18" i="32"/>
  <c r="GF17" i="32"/>
  <c r="GE17" i="32"/>
  <c r="GD17" i="32"/>
  <c r="GC17" i="32"/>
  <c r="GB17" i="32"/>
  <c r="GA17" i="32"/>
  <c r="FZ17" i="32"/>
  <c r="FY17" i="32"/>
  <c r="FX17" i="32"/>
  <c r="FW17" i="32"/>
  <c r="GF16" i="32"/>
  <c r="GE16" i="32"/>
  <c r="GD16" i="32"/>
  <c r="GC16" i="32"/>
  <c r="GB16" i="32"/>
  <c r="GA16" i="32"/>
  <c r="FZ16" i="32"/>
  <c r="FY16" i="32"/>
  <c r="FX16" i="32"/>
  <c r="FW16" i="32"/>
  <c r="GF15" i="32"/>
  <c r="GE15" i="32"/>
  <c r="GD15" i="32"/>
  <c r="GC15" i="32"/>
  <c r="GB15" i="32"/>
  <c r="GA15" i="32"/>
  <c r="FZ15" i="32"/>
  <c r="FY15" i="32"/>
  <c r="FX15" i="32"/>
  <c r="FW15" i="32"/>
  <c r="GF14" i="32"/>
  <c r="GE14" i="32"/>
  <c r="GD14" i="32"/>
  <c r="GC14" i="32"/>
  <c r="GB14" i="32"/>
  <c r="GA14" i="32"/>
  <c r="FZ14" i="32"/>
  <c r="FY14" i="32"/>
  <c r="FX14" i="32"/>
  <c r="FW14" i="32"/>
  <c r="GF13" i="32"/>
  <c r="GE13" i="32"/>
  <c r="GD13" i="32"/>
  <c r="GC13" i="32"/>
  <c r="GB13" i="32"/>
  <c r="GA13" i="32"/>
  <c r="FZ13" i="32"/>
  <c r="FY13" i="32"/>
  <c r="FX13" i="32"/>
  <c r="FW13" i="32"/>
  <c r="GF12" i="32"/>
  <c r="GE12" i="32"/>
  <c r="GD12" i="32"/>
  <c r="GC12" i="32"/>
  <c r="GB12" i="32"/>
  <c r="GA12" i="32"/>
  <c r="FZ12" i="32"/>
  <c r="FY12" i="32"/>
  <c r="FX12" i="32"/>
  <c r="FW12" i="32"/>
  <c r="GF11" i="32"/>
  <c r="GE11" i="32"/>
  <c r="GD11" i="32"/>
  <c r="GC11" i="32"/>
  <c r="GB11" i="32"/>
  <c r="GA11" i="32"/>
  <c r="FZ11" i="32"/>
  <c r="FY11" i="32"/>
  <c r="FX11" i="32"/>
  <c r="FW11" i="32"/>
  <c r="GF10" i="32"/>
  <c r="GE10" i="32"/>
  <c r="GD10" i="32"/>
  <c r="GC10" i="32"/>
  <c r="GB10" i="32"/>
  <c r="GA10" i="32"/>
  <c r="FZ10" i="32"/>
  <c r="FY10" i="32"/>
  <c r="FX10" i="32"/>
  <c r="FW10" i="32"/>
  <c r="GF9" i="32"/>
  <c r="GE9" i="32"/>
  <c r="GD9" i="32"/>
  <c r="GC9" i="32"/>
  <c r="GB9" i="32"/>
  <c r="GA9" i="32"/>
  <c r="FZ9" i="32"/>
  <c r="FY9" i="32"/>
  <c r="FX9" i="32"/>
  <c r="FW9" i="32"/>
  <c r="GF8" i="32"/>
  <c r="GE8" i="32"/>
  <c r="GD8" i="32"/>
  <c r="GC8" i="32"/>
  <c r="GB8" i="32"/>
  <c r="GA8" i="32"/>
  <c r="FZ8" i="32"/>
  <c r="FY8" i="32"/>
  <c r="FX8" i="32"/>
  <c r="FW8" i="32"/>
  <c r="GF7" i="32"/>
  <c r="GE7" i="32"/>
  <c r="GD7" i="32"/>
  <c r="GC7" i="32"/>
  <c r="GB7" i="32"/>
  <c r="GA7" i="32"/>
  <c r="FZ7" i="32"/>
  <c r="FY7" i="32"/>
  <c r="FX7" i="32"/>
  <c r="FW7" i="32"/>
  <c r="GF6" i="32"/>
  <c r="GE6" i="32"/>
  <c r="GD6" i="32"/>
  <c r="GC6" i="32"/>
  <c r="GB6" i="32"/>
  <c r="GA6" i="32"/>
  <c r="FZ6" i="32"/>
  <c r="FY6" i="32"/>
  <c r="FX6" i="32"/>
  <c r="FW6" i="32"/>
  <c r="GF5" i="32"/>
  <c r="GE5" i="32"/>
  <c r="GD5" i="32"/>
  <c r="GC5" i="32"/>
  <c r="GB5" i="32"/>
  <c r="GA5" i="32"/>
  <c r="FZ5" i="32"/>
  <c r="FY5" i="32"/>
  <c r="FX5" i="32"/>
  <c r="FW5" i="32"/>
  <c r="GF4" i="32"/>
  <c r="GE4" i="32"/>
  <c r="GD4" i="32"/>
  <c r="GC4" i="32"/>
  <c r="GB4" i="32"/>
  <c r="GA4" i="32"/>
  <c r="FZ4" i="32"/>
  <c r="FY4" i="32"/>
  <c r="FX4" i="32"/>
  <c r="FW4" i="32"/>
  <c r="FU42" i="32"/>
  <c r="FT42" i="32"/>
  <c r="FS42" i="32"/>
  <c r="FR42" i="32"/>
  <c r="FQ42" i="32"/>
  <c r="FP42" i="32"/>
  <c r="FO42" i="32"/>
  <c r="FN42" i="32"/>
  <c r="FM42" i="32"/>
  <c r="FL42" i="32"/>
  <c r="FU41" i="32"/>
  <c r="FT41" i="32"/>
  <c r="FS41" i="32"/>
  <c r="FR41" i="32"/>
  <c r="FQ41" i="32"/>
  <c r="FP41" i="32"/>
  <c r="FO41" i="32"/>
  <c r="FN41" i="32"/>
  <c r="FM41" i="32"/>
  <c r="FL41" i="32"/>
  <c r="FU40" i="32"/>
  <c r="FT40" i="32"/>
  <c r="FS40" i="32"/>
  <c r="FR40" i="32"/>
  <c r="FQ40" i="32"/>
  <c r="FP40" i="32"/>
  <c r="FO40" i="32"/>
  <c r="FN40" i="32"/>
  <c r="FM40" i="32"/>
  <c r="FL40" i="32"/>
  <c r="FU39" i="32"/>
  <c r="FT39" i="32"/>
  <c r="FS39" i="32"/>
  <c r="FR39" i="32"/>
  <c r="FQ39" i="32"/>
  <c r="FP39" i="32"/>
  <c r="FO39" i="32"/>
  <c r="FN39" i="32"/>
  <c r="FM39" i="32"/>
  <c r="FL39" i="32"/>
  <c r="FU38" i="32"/>
  <c r="FT38" i="32"/>
  <c r="FS38" i="32"/>
  <c r="FR38" i="32"/>
  <c r="FQ38" i="32"/>
  <c r="FP38" i="32"/>
  <c r="FO38" i="32"/>
  <c r="FN38" i="32"/>
  <c r="FM38" i="32"/>
  <c r="FL38" i="32"/>
  <c r="FU37" i="32"/>
  <c r="FT37" i="32"/>
  <c r="FS37" i="32"/>
  <c r="FR37" i="32"/>
  <c r="FQ37" i="32"/>
  <c r="FP37" i="32"/>
  <c r="FO37" i="32"/>
  <c r="FN37" i="32"/>
  <c r="FM37" i="32"/>
  <c r="FL37" i="32"/>
  <c r="FU36" i="32"/>
  <c r="FT36" i="32"/>
  <c r="FS36" i="32"/>
  <c r="FR36" i="32"/>
  <c r="FQ36" i="32"/>
  <c r="FP36" i="32"/>
  <c r="FO36" i="32"/>
  <c r="FN36" i="32"/>
  <c r="FM36" i="32"/>
  <c r="FL36" i="32"/>
  <c r="FU35" i="32"/>
  <c r="FT35" i="32"/>
  <c r="FS35" i="32"/>
  <c r="FR35" i="32"/>
  <c r="FQ35" i="32"/>
  <c r="FP35" i="32"/>
  <c r="FO35" i="32"/>
  <c r="FN35" i="32"/>
  <c r="FM35" i="32"/>
  <c r="FL35" i="32"/>
  <c r="FU34" i="32"/>
  <c r="FT34" i="32"/>
  <c r="FS34" i="32"/>
  <c r="FR34" i="32"/>
  <c r="FQ34" i="32"/>
  <c r="FP34" i="32"/>
  <c r="FO34" i="32"/>
  <c r="FN34" i="32"/>
  <c r="FM34" i="32"/>
  <c r="FL34" i="32"/>
  <c r="FU33" i="32"/>
  <c r="FT33" i="32"/>
  <c r="FS33" i="32"/>
  <c r="FR33" i="32"/>
  <c r="FQ33" i="32"/>
  <c r="FP33" i="32"/>
  <c r="FO33" i="32"/>
  <c r="FN33" i="32"/>
  <c r="FM33" i="32"/>
  <c r="FL33" i="32"/>
  <c r="FU32" i="32"/>
  <c r="FT32" i="32"/>
  <c r="FS32" i="32"/>
  <c r="FR32" i="32"/>
  <c r="FQ32" i="32"/>
  <c r="FP32" i="32"/>
  <c r="FO32" i="32"/>
  <c r="FN32" i="32"/>
  <c r="FM32" i="32"/>
  <c r="FL32" i="32"/>
  <c r="FU31" i="32"/>
  <c r="FT31" i="32"/>
  <c r="FS31" i="32"/>
  <c r="FR31" i="32"/>
  <c r="FQ31" i="32"/>
  <c r="FP31" i="32"/>
  <c r="FO31" i="32"/>
  <c r="FN31" i="32"/>
  <c r="FM31" i="32"/>
  <c r="FL31" i="32"/>
  <c r="FU30" i="32"/>
  <c r="FT30" i="32"/>
  <c r="FS30" i="32"/>
  <c r="FR30" i="32"/>
  <c r="FQ30" i="32"/>
  <c r="FP30" i="32"/>
  <c r="FO30" i="32"/>
  <c r="FN30" i="32"/>
  <c r="FM30" i="32"/>
  <c r="FL30" i="32"/>
  <c r="FU29" i="32"/>
  <c r="FT29" i="32"/>
  <c r="FS29" i="32"/>
  <c r="FR29" i="32"/>
  <c r="FQ29" i="32"/>
  <c r="FP29" i="32"/>
  <c r="FO29" i="32"/>
  <c r="FN29" i="32"/>
  <c r="FM29" i="32"/>
  <c r="FL29" i="32"/>
  <c r="FU28" i="32"/>
  <c r="FT28" i="32"/>
  <c r="FS28" i="32"/>
  <c r="FR28" i="32"/>
  <c r="FQ28" i="32"/>
  <c r="FP28" i="32"/>
  <c r="FO28" i="32"/>
  <c r="FN28" i="32"/>
  <c r="FM28" i="32"/>
  <c r="FL28" i="32"/>
  <c r="FU27" i="32"/>
  <c r="FT27" i="32"/>
  <c r="FS27" i="32"/>
  <c r="FR27" i="32"/>
  <c r="FQ27" i="32"/>
  <c r="FP27" i="32"/>
  <c r="FO27" i="32"/>
  <c r="FN27" i="32"/>
  <c r="FM27" i="32"/>
  <c r="FL27" i="32"/>
  <c r="FU26" i="32"/>
  <c r="FT26" i="32"/>
  <c r="FS26" i="32"/>
  <c r="FR26" i="32"/>
  <c r="FQ26" i="32"/>
  <c r="FP26" i="32"/>
  <c r="FO26" i="32"/>
  <c r="FN26" i="32"/>
  <c r="FM26" i="32"/>
  <c r="FL26" i="32"/>
  <c r="FU25" i="32"/>
  <c r="FT25" i="32"/>
  <c r="FS25" i="32"/>
  <c r="FR25" i="32"/>
  <c r="FQ25" i="32"/>
  <c r="FP25" i="32"/>
  <c r="FO25" i="32"/>
  <c r="FN25" i="32"/>
  <c r="FM25" i="32"/>
  <c r="FL25" i="32"/>
  <c r="FU24" i="32"/>
  <c r="FT24" i="32"/>
  <c r="FS24" i="32"/>
  <c r="FR24" i="32"/>
  <c r="FQ24" i="32"/>
  <c r="FP24" i="32"/>
  <c r="FO24" i="32"/>
  <c r="FN24" i="32"/>
  <c r="FM24" i="32"/>
  <c r="FL24" i="32"/>
  <c r="FU23" i="32"/>
  <c r="FT23" i="32"/>
  <c r="FS23" i="32"/>
  <c r="FR23" i="32"/>
  <c r="FQ23" i="32"/>
  <c r="FP23" i="32"/>
  <c r="FO23" i="32"/>
  <c r="FN23" i="32"/>
  <c r="FM23" i="32"/>
  <c r="FL23" i="32"/>
  <c r="FU22" i="32"/>
  <c r="FT22" i="32"/>
  <c r="FS22" i="32"/>
  <c r="FR22" i="32"/>
  <c r="FQ22" i="32"/>
  <c r="FP22" i="32"/>
  <c r="FO22" i="32"/>
  <c r="FN22" i="32"/>
  <c r="FM22" i="32"/>
  <c r="FL22" i="32"/>
  <c r="FU21" i="32"/>
  <c r="FT21" i="32"/>
  <c r="FS21" i="32"/>
  <c r="FR21" i="32"/>
  <c r="FQ21" i="32"/>
  <c r="FP21" i="32"/>
  <c r="FO21" i="32"/>
  <c r="FN21" i="32"/>
  <c r="FM21" i="32"/>
  <c r="FL21" i="32"/>
  <c r="FU20" i="32"/>
  <c r="FT20" i="32"/>
  <c r="FS20" i="32"/>
  <c r="FR20" i="32"/>
  <c r="FQ20" i="32"/>
  <c r="FP20" i="32"/>
  <c r="FO20" i="32"/>
  <c r="FN20" i="32"/>
  <c r="FM20" i="32"/>
  <c r="FL20" i="32"/>
  <c r="FU19" i="32"/>
  <c r="FT19" i="32"/>
  <c r="FS19" i="32"/>
  <c r="FR19" i="32"/>
  <c r="FQ19" i="32"/>
  <c r="FP19" i="32"/>
  <c r="FO19" i="32"/>
  <c r="FN19" i="32"/>
  <c r="FM19" i="32"/>
  <c r="FL19" i="32"/>
  <c r="FU18" i="32"/>
  <c r="FT18" i="32"/>
  <c r="FS18" i="32"/>
  <c r="FR18" i="32"/>
  <c r="FQ18" i="32"/>
  <c r="FP18" i="32"/>
  <c r="FO18" i="32"/>
  <c r="FN18" i="32"/>
  <c r="FM18" i="32"/>
  <c r="FL18" i="32"/>
  <c r="FU17" i="32"/>
  <c r="FT17" i="32"/>
  <c r="FS17" i="32"/>
  <c r="FR17" i="32"/>
  <c r="FQ17" i="32"/>
  <c r="FP17" i="32"/>
  <c r="FO17" i="32"/>
  <c r="FN17" i="32"/>
  <c r="FM17" i="32"/>
  <c r="FL17" i="32"/>
  <c r="FU16" i="32"/>
  <c r="FT16" i="32"/>
  <c r="FS16" i="32"/>
  <c r="FR16" i="32"/>
  <c r="FQ16" i="32"/>
  <c r="FP16" i="32"/>
  <c r="FO16" i="32"/>
  <c r="FN16" i="32"/>
  <c r="FM16" i="32"/>
  <c r="FL16" i="32"/>
  <c r="FU15" i="32"/>
  <c r="FT15" i="32"/>
  <c r="FS15" i="32"/>
  <c r="FR15" i="32"/>
  <c r="FQ15" i="32"/>
  <c r="FP15" i="32"/>
  <c r="FO15" i="32"/>
  <c r="FN15" i="32"/>
  <c r="FM15" i="32"/>
  <c r="FL15" i="32"/>
  <c r="FU14" i="32"/>
  <c r="FT14" i="32"/>
  <c r="FS14" i="32"/>
  <c r="FR14" i="32"/>
  <c r="FQ14" i="32"/>
  <c r="FP14" i="32"/>
  <c r="FO14" i="32"/>
  <c r="FN14" i="32"/>
  <c r="FM14" i="32"/>
  <c r="FL14" i="32"/>
  <c r="FU13" i="32"/>
  <c r="FT13" i="32"/>
  <c r="FS13" i="32"/>
  <c r="FR13" i="32"/>
  <c r="FQ13" i="32"/>
  <c r="FP13" i="32"/>
  <c r="FO13" i="32"/>
  <c r="FN13" i="32"/>
  <c r="FM13" i="32"/>
  <c r="FL13" i="32"/>
  <c r="FU12" i="32"/>
  <c r="FT12" i="32"/>
  <c r="FS12" i="32"/>
  <c r="FR12" i="32"/>
  <c r="FQ12" i="32"/>
  <c r="FP12" i="32"/>
  <c r="FO12" i="32"/>
  <c r="FN12" i="32"/>
  <c r="FM12" i="32"/>
  <c r="FL12" i="32"/>
  <c r="FU11" i="32"/>
  <c r="FT11" i="32"/>
  <c r="FS11" i="32"/>
  <c r="FR11" i="32"/>
  <c r="FQ11" i="32"/>
  <c r="FP11" i="32"/>
  <c r="FO11" i="32"/>
  <c r="FN11" i="32"/>
  <c r="FM11" i="32"/>
  <c r="FL11" i="32"/>
  <c r="FU10" i="32"/>
  <c r="FT10" i="32"/>
  <c r="FS10" i="32"/>
  <c r="FR10" i="32"/>
  <c r="FQ10" i="32"/>
  <c r="FP10" i="32"/>
  <c r="FO10" i="32"/>
  <c r="FN10" i="32"/>
  <c r="FM10" i="32"/>
  <c r="FL10" i="32"/>
  <c r="FU9" i="32"/>
  <c r="FT9" i="32"/>
  <c r="FS9" i="32"/>
  <c r="FR9" i="32"/>
  <c r="FQ9" i="32"/>
  <c r="FP9" i="32"/>
  <c r="FO9" i="32"/>
  <c r="FN9" i="32"/>
  <c r="FM9" i="32"/>
  <c r="FL9" i="32"/>
  <c r="FU8" i="32"/>
  <c r="FT8" i="32"/>
  <c r="FS8" i="32"/>
  <c r="FR8" i="32"/>
  <c r="FQ8" i="32"/>
  <c r="FP8" i="32"/>
  <c r="FO8" i="32"/>
  <c r="FN8" i="32"/>
  <c r="FM8" i="32"/>
  <c r="FL8" i="32"/>
  <c r="FU7" i="32"/>
  <c r="FT7" i="32"/>
  <c r="FS7" i="32"/>
  <c r="FR7" i="32"/>
  <c r="FQ7" i="32"/>
  <c r="FP7" i="32"/>
  <c r="FO7" i="32"/>
  <c r="FN7" i="32"/>
  <c r="FM7" i="32"/>
  <c r="FL7" i="32"/>
  <c r="FU6" i="32"/>
  <c r="FT6" i="32"/>
  <c r="FS6" i="32"/>
  <c r="FR6" i="32"/>
  <c r="FQ6" i="32"/>
  <c r="FP6" i="32"/>
  <c r="FO6" i="32"/>
  <c r="FN6" i="32"/>
  <c r="FM6" i="32"/>
  <c r="FL6" i="32"/>
  <c r="FU5" i="32"/>
  <c r="FT5" i="32"/>
  <c r="FS5" i="32"/>
  <c r="FR5" i="32"/>
  <c r="FQ5" i="32"/>
  <c r="FP5" i="32"/>
  <c r="FO5" i="32"/>
  <c r="FN5" i="32"/>
  <c r="FM5" i="32"/>
  <c r="FL5" i="32"/>
  <c r="FU4" i="32"/>
  <c r="FT4" i="32"/>
  <c r="FS4" i="32"/>
  <c r="FR4" i="32"/>
  <c r="FQ4" i="32"/>
  <c r="FP4" i="32"/>
  <c r="FO4" i="32"/>
  <c r="FN4" i="32"/>
  <c r="FM4" i="32"/>
  <c r="FL4" i="32"/>
  <c r="FJ42" i="32"/>
  <c r="FI42" i="32"/>
  <c r="FH42" i="32"/>
  <c r="FG42" i="32"/>
  <c r="FF42" i="32"/>
  <c r="FE42" i="32"/>
  <c r="FD42" i="32"/>
  <c r="FC42" i="32"/>
  <c r="FB42" i="32"/>
  <c r="FA42" i="32"/>
  <c r="FJ41" i="32"/>
  <c r="FI41" i="32"/>
  <c r="FH41" i="32"/>
  <c r="FG41" i="32"/>
  <c r="FF41" i="32"/>
  <c r="FE41" i="32"/>
  <c r="FD41" i="32"/>
  <c r="FC41" i="32"/>
  <c r="FB41" i="32"/>
  <c r="FA41" i="32"/>
  <c r="FJ40" i="32"/>
  <c r="FI40" i="32"/>
  <c r="FH40" i="32"/>
  <c r="FG40" i="32"/>
  <c r="FF40" i="32"/>
  <c r="FE40" i="32"/>
  <c r="FD40" i="32"/>
  <c r="FC40" i="32"/>
  <c r="FB40" i="32"/>
  <c r="FA40" i="32"/>
  <c r="FJ39" i="32"/>
  <c r="FI39" i="32"/>
  <c r="FH39" i="32"/>
  <c r="FG39" i="32"/>
  <c r="FF39" i="32"/>
  <c r="FE39" i="32"/>
  <c r="FD39" i="32"/>
  <c r="FC39" i="32"/>
  <c r="FB39" i="32"/>
  <c r="FA39" i="32"/>
  <c r="FJ38" i="32"/>
  <c r="FI38" i="32"/>
  <c r="FH38" i="32"/>
  <c r="FG38" i="32"/>
  <c r="FF38" i="32"/>
  <c r="FE38" i="32"/>
  <c r="FD38" i="32"/>
  <c r="FC38" i="32"/>
  <c r="FB38" i="32"/>
  <c r="FA38" i="32"/>
  <c r="FJ37" i="32"/>
  <c r="FI37" i="32"/>
  <c r="FH37" i="32"/>
  <c r="FG37" i="32"/>
  <c r="FF37" i="32"/>
  <c r="FE37" i="32"/>
  <c r="FD37" i="32"/>
  <c r="FC37" i="32"/>
  <c r="FB37" i="32"/>
  <c r="FA37" i="32"/>
  <c r="FJ36" i="32"/>
  <c r="FI36" i="32"/>
  <c r="FH36" i="32"/>
  <c r="FG36" i="32"/>
  <c r="FF36" i="32"/>
  <c r="FE36" i="32"/>
  <c r="FD36" i="32"/>
  <c r="FC36" i="32"/>
  <c r="FB36" i="32"/>
  <c r="FA36" i="32"/>
  <c r="FJ35" i="32"/>
  <c r="FI35" i="32"/>
  <c r="FH35" i="32"/>
  <c r="FG35" i="32"/>
  <c r="FF35" i="32"/>
  <c r="FE35" i="32"/>
  <c r="FD35" i="32"/>
  <c r="FC35" i="32"/>
  <c r="FB35" i="32"/>
  <c r="FA35" i="32"/>
  <c r="FJ34" i="32"/>
  <c r="FI34" i="32"/>
  <c r="FH34" i="32"/>
  <c r="FG34" i="32"/>
  <c r="FF34" i="32"/>
  <c r="FE34" i="32"/>
  <c r="FD34" i="32"/>
  <c r="FC34" i="32"/>
  <c r="FB34" i="32"/>
  <c r="FA34" i="32"/>
  <c r="FJ33" i="32"/>
  <c r="FI33" i="32"/>
  <c r="FH33" i="32"/>
  <c r="FG33" i="32"/>
  <c r="FF33" i="32"/>
  <c r="FE33" i="32"/>
  <c r="FD33" i="32"/>
  <c r="FC33" i="32"/>
  <c r="FB33" i="32"/>
  <c r="FA33" i="32"/>
  <c r="FJ32" i="32"/>
  <c r="FI32" i="32"/>
  <c r="FH32" i="32"/>
  <c r="FG32" i="32"/>
  <c r="FF32" i="32"/>
  <c r="FE32" i="32"/>
  <c r="FD32" i="32"/>
  <c r="FC32" i="32"/>
  <c r="FB32" i="32"/>
  <c r="FA32" i="32"/>
  <c r="FJ31" i="32"/>
  <c r="FI31" i="32"/>
  <c r="FH31" i="32"/>
  <c r="FG31" i="32"/>
  <c r="FF31" i="32"/>
  <c r="FE31" i="32"/>
  <c r="FD31" i="32"/>
  <c r="FC31" i="32"/>
  <c r="FB31" i="32"/>
  <c r="FA31" i="32"/>
  <c r="FJ30" i="32"/>
  <c r="FI30" i="32"/>
  <c r="FH30" i="32"/>
  <c r="FG30" i="32"/>
  <c r="FF30" i="32"/>
  <c r="FE30" i="32"/>
  <c r="FD30" i="32"/>
  <c r="FC30" i="32"/>
  <c r="FB30" i="32"/>
  <c r="FA30" i="32"/>
  <c r="FJ29" i="32"/>
  <c r="FI29" i="32"/>
  <c r="FH29" i="32"/>
  <c r="FG29" i="32"/>
  <c r="FF29" i="32"/>
  <c r="FE29" i="32"/>
  <c r="FD29" i="32"/>
  <c r="FC29" i="32"/>
  <c r="FB29" i="32"/>
  <c r="FA29" i="32"/>
  <c r="FJ28" i="32"/>
  <c r="FI28" i="32"/>
  <c r="FH28" i="32"/>
  <c r="FG28" i="32"/>
  <c r="FF28" i="32"/>
  <c r="FE28" i="32"/>
  <c r="FD28" i="32"/>
  <c r="FC28" i="32"/>
  <c r="FB28" i="32"/>
  <c r="FA28" i="32"/>
  <c r="FJ27" i="32"/>
  <c r="FI27" i="32"/>
  <c r="FH27" i="32"/>
  <c r="FG27" i="32"/>
  <c r="FF27" i="32"/>
  <c r="FE27" i="32"/>
  <c r="FD27" i="32"/>
  <c r="FC27" i="32"/>
  <c r="FB27" i="32"/>
  <c r="FA27" i="32"/>
  <c r="FJ26" i="32"/>
  <c r="FI26" i="32"/>
  <c r="FH26" i="32"/>
  <c r="FG26" i="32"/>
  <c r="FF26" i="32"/>
  <c r="FE26" i="32"/>
  <c r="FD26" i="32"/>
  <c r="FC26" i="32"/>
  <c r="FB26" i="32"/>
  <c r="FA26" i="32"/>
  <c r="FJ25" i="32"/>
  <c r="FI25" i="32"/>
  <c r="FH25" i="32"/>
  <c r="FG25" i="32"/>
  <c r="FF25" i="32"/>
  <c r="FE25" i="32"/>
  <c r="FD25" i="32"/>
  <c r="FC25" i="32"/>
  <c r="FB25" i="32"/>
  <c r="FA25" i="32"/>
  <c r="FJ24" i="32"/>
  <c r="FI24" i="32"/>
  <c r="FH24" i="32"/>
  <c r="FG24" i="32"/>
  <c r="FF24" i="32"/>
  <c r="FE24" i="32"/>
  <c r="FD24" i="32"/>
  <c r="FC24" i="32"/>
  <c r="FB24" i="32"/>
  <c r="FA24" i="32"/>
  <c r="FJ23" i="32"/>
  <c r="FI23" i="32"/>
  <c r="FH23" i="32"/>
  <c r="FG23" i="32"/>
  <c r="FF23" i="32"/>
  <c r="FE23" i="32"/>
  <c r="FD23" i="32"/>
  <c r="FC23" i="32"/>
  <c r="FB23" i="32"/>
  <c r="FA23" i="32"/>
  <c r="FJ22" i="32"/>
  <c r="FI22" i="32"/>
  <c r="FH22" i="32"/>
  <c r="FG22" i="32"/>
  <c r="FF22" i="32"/>
  <c r="FE22" i="32"/>
  <c r="FD22" i="32"/>
  <c r="FC22" i="32"/>
  <c r="FB22" i="32"/>
  <c r="FA22" i="32"/>
  <c r="FJ21" i="32"/>
  <c r="FI21" i="32"/>
  <c r="FH21" i="32"/>
  <c r="FG21" i="32"/>
  <c r="FF21" i="32"/>
  <c r="FE21" i="32"/>
  <c r="FD21" i="32"/>
  <c r="FC21" i="32"/>
  <c r="FB21" i="32"/>
  <c r="FA21" i="32"/>
  <c r="FJ20" i="32"/>
  <c r="FI20" i="32"/>
  <c r="FH20" i="32"/>
  <c r="FG20" i="32"/>
  <c r="FF20" i="32"/>
  <c r="FE20" i="32"/>
  <c r="FD20" i="32"/>
  <c r="FC20" i="32"/>
  <c r="FB20" i="32"/>
  <c r="FA20" i="32"/>
  <c r="FJ19" i="32"/>
  <c r="FI19" i="32"/>
  <c r="FH19" i="32"/>
  <c r="FG19" i="32"/>
  <c r="FF19" i="32"/>
  <c r="FE19" i="32"/>
  <c r="FD19" i="32"/>
  <c r="FC19" i="32"/>
  <c r="FB19" i="32"/>
  <c r="FA19" i="32"/>
  <c r="FJ18" i="32"/>
  <c r="FI18" i="32"/>
  <c r="FH18" i="32"/>
  <c r="FG18" i="32"/>
  <c r="FF18" i="32"/>
  <c r="FE18" i="32"/>
  <c r="FD18" i="32"/>
  <c r="FC18" i="32"/>
  <c r="FB18" i="32"/>
  <c r="FA18" i="32"/>
  <c r="FJ17" i="32"/>
  <c r="FI17" i="32"/>
  <c r="FH17" i="32"/>
  <c r="FG17" i="32"/>
  <c r="FF17" i="32"/>
  <c r="FE17" i="32"/>
  <c r="FD17" i="32"/>
  <c r="FC17" i="32"/>
  <c r="FB17" i="32"/>
  <c r="FA17" i="32"/>
  <c r="FJ16" i="32"/>
  <c r="FI16" i="32"/>
  <c r="FH16" i="32"/>
  <c r="FG16" i="32"/>
  <c r="FF16" i="32"/>
  <c r="FE16" i="32"/>
  <c r="FD16" i="32"/>
  <c r="FC16" i="32"/>
  <c r="FB16" i="32"/>
  <c r="FA16" i="32"/>
  <c r="FJ15" i="32"/>
  <c r="FI15" i="32"/>
  <c r="FH15" i="32"/>
  <c r="FG15" i="32"/>
  <c r="FF15" i="32"/>
  <c r="FE15" i="32"/>
  <c r="FD15" i="32"/>
  <c r="FC15" i="32"/>
  <c r="FB15" i="32"/>
  <c r="FA15" i="32"/>
  <c r="FJ14" i="32"/>
  <c r="FI14" i="32"/>
  <c r="FH14" i="32"/>
  <c r="FG14" i="32"/>
  <c r="FF14" i="32"/>
  <c r="FE14" i="32"/>
  <c r="FD14" i="32"/>
  <c r="FC14" i="32"/>
  <c r="FB14" i="32"/>
  <c r="FA14" i="32"/>
  <c r="FJ13" i="32"/>
  <c r="FI13" i="32"/>
  <c r="FH13" i="32"/>
  <c r="FG13" i="32"/>
  <c r="FF13" i="32"/>
  <c r="FE13" i="32"/>
  <c r="FD13" i="32"/>
  <c r="FC13" i="32"/>
  <c r="FB13" i="32"/>
  <c r="FA13" i="32"/>
  <c r="FJ12" i="32"/>
  <c r="FI12" i="32"/>
  <c r="FH12" i="32"/>
  <c r="FG12" i="32"/>
  <c r="FF12" i="32"/>
  <c r="FE12" i="32"/>
  <c r="FD12" i="32"/>
  <c r="FC12" i="32"/>
  <c r="FB12" i="32"/>
  <c r="FA12" i="32"/>
  <c r="FJ11" i="32"/>
  <c r="FI11" i="32"/>
  <c r="FH11" i="32"/>
  <c r="FG11" i="32"/>
  <c r="FF11" i="32"/>
  <c r="FE11" i="32"/>
  <c r="FD11" i="32"/>
  <c r="FC11" i="32"/>
  <c r="FB11" i="32"/>
  <c r="FA11" i="32"/>
  <c r="FJ10" i="32"/>
  <c r="FI10" i="32"/>
  <c r="FH10" i="32"/>
  <c r="FG10" i="32"/>
  <c r="FF10" i="32"/>
  <c r="FE10" i="32"/>
  <c r="FD10" i="32"/>
  <c r="FC10" i="32"/>
  <c r="FB10" i="32"/>
  <c r="FA10" i="32"/>
  <c r="FJ9" i="32"/>
  <c r="FI9" i="32"/>
  <c r="FH9" i="32"/>
  <c r="FG9" i="32"/>
  <c r="FF9" i="32"/>
  <c r="FE9" i="32"/>
  <c r="FD9" i="32"/>
  <c r="FC9" i="32"/>
  <c r="FB9" i="32"/>
  <c r="FA9" i="32"/>
  <c r="FJ8" i="32"/>
  <c r="FI8" i="32"/>
  <c r="FH8" i="32"/>
  <c r="FG8" i="32"/>
  <c r="FF8" i="32"/>
  <c r="FE8" i="32"/>
  <c r="FD8" i="32"/>
  <c r="FC8" i="32"/>
  <c r="FB8" i="32"/>
  <c r="FA8" i="32"/>
  <c r="FJ7" i="32"/>
  <c r="FI7" i="32"/>
  <c r="FH7" i="32"/>
  <c r="FG7" i="32"/>
  <c r="FF7" i="32"/>
  <c r="FE7" i="32"/>
  <c r="FD7" i="32"/>
  <c r="FC7" i="32"/>
  <c r="FB7" i="32"/>
  <c r="FA7" i="32"/>
  <c r="FJ6" i="32"/>
  <c r="FI6" i="32"/>
  <c r="FH6" i="32"/>
  <c r="FG6" i="32"/>
  <c r="FF6" i="32"/>
  <c r="FE6" i="32"/>
  <c r="FD6" i="32"/>
  <c r="FC6" i="32"/>
  <c r="FB6" i="32"/>
  <c r="FA6" i="32"/>
  <c r="FJ5" i="32"/>
  <c r="FI5" i="32"/>
  <c r="FH5" i="32"/>
  <c r="FG5" i="32"/>
  <c r="FF5" i="32"/>
  <c r="FE5" i="32"/>
  <c r="FD5" i="32"/>
  <c r="FC5" i="32"/>
  <c r="FB5" i="32"/>
  <c r="FA5" i="32"/>
  <c r="FJ4" i="32"/>
  <c r="FI4" i="32"/>
  <c r="FH4" i="32"/>
  <c r="FG4" i="32"/>
  <c r="FF4" i="32"/>
  <c r="FE4" i="32"/>
  <c r="FD4" i="32"/>
  <c r="FC4" i="32"/>
  <c r="FB4" i="32"/>
  <c r="FA4" i="32"/>
  <c r="EY42" i="32"/>
  <c r="EX42" i="32"/>
  <c r="EW42" i="32"/>
  <c r="EV42" i="32"/>
  <c r="EU42" i="32"/>
  <c r="ET42" i="32"/>
  <c r="ES42" i="32"/>
  <c r="ER42" i="32"/>
  <c r="EQ42" i="32"/>
  <c r="EP42" i="32"/>
  <c r="EY41" i="32"/>
  <c r="EX41" i="32"/>
  <c r="EW41" i="32"/>
  <c r="EV41" i="32"/>
  <c r="EU41" i="32"/>
  <c r="ET41" i="32"/>
  <c r="ES41" i="32"/>
  <c r="ER41" i="32"/>
  <c r="EQ41" i="32"/>
  <c r="EP41" i="32"/>
  <c r="EY40" i="32"/>
  <c r="EX40" i="32"/>
  <c r="EW40" i="32"/>
  <c r="EV40" i="32"/>
  <c r="EU40" i="32"/>
  <c r="ET40" i="32"/>
  <c r="ES40" i="32"/>
  <c r="ER40" i="32"/>
  <c r="EQ40" i="32"/>
  <c r="EP40" i="32"/>
  <c r="EY39" i="32"/>
  <c r="EX39" i="32"/>
  <c r="EW39" i="32"/>
  <c r="EV39" i="32"/>
  <c r="EU39" i="32"/>
  <c r="ET39" i="32"/>
  <c r="ES39" i="32"/>
  <c r="ER39" i="32"/>
  <c r="EQ39" i="32"/>
  <c r="EP39" i="32"/>
  <c r="EY38" i="32"/>
  <c r="EX38" i="32"/>
  <c r="EW38" i="32"/>
  <c r="EV38" i="32"/>
  <c r="EU38" i="32"/>
  <c r="ET38" i="32"/>
  <c r="ES38" i="32"/>
  <c r="ER38" i="32"/>
  <c r="EQ38" i="32"/>
  <c r="EP38" i="32"/>
  <c r="EY37" i="32"/>
  <c r="EX37" i="32"/>
  <c r="EW37" i="32"/>
  <c r="EV37" i="32"/>
  <c r="EU37" i="32"/>
  <c r="ET37" i="32"/>
  <c r="ES37" i="32"/>
  <c r="ER37" i="32"/>
  <c r="EQ37" i="32"/>
  <c r="EP37" i="32"/>
  <c r="EY36" i="32"/>
  <c r="EX36" i="32"/>
  <c r="EW36" i="32"/>
  <c r="EV36" i="32"/>
  <c r="EU36" i="32"/>
  <c r="ET36" i="32"/>
  <c r="ES36" i="32"/>
  <c r="ER36" i="32"/>
  <c r="EQ36" i="32"/>
  <c r="EP36" i="32"/>
  <c r="EY35" i="32"/>
  <c r="EX35" i="32"/>
  <c r="EW35" i="32"/>
  <c r="EV35" i="32"/>
  <c r="EU35" i="32"/>
  <c r="ET35" i="32"/>
  <c r="ES35" i="32"/>
  <c r="ER35" i="32"/>
  <c r="EQ35" i="32"/>
  <c r="EP35" i="32"/>
  <c r="EY34" i="32"/>
  <c r="EX34" i="32"/>
  <c r="EW34" i="32"/>
  <c r="EV34" i="32"/>
  <c r="EU34" i="32"/>
  <c r="ET34" i="32"/>
  <c r="ES34" i="32"/>
  <c r="ER34" i="32"/>
  <c r="EQ34" i="32"/>
  <c r="EP34" i="32"/>
  <c r="EY33" i="32"/>
  <c r="EX33" i="32"/>
  <c r="EW33" i="32"/>
  <c r="EV33" i="32"/>
  <c r="EU33" i="32"/>
  <c r="ET33" i="32"/>
  <c r="ES33" i="32"/>
  <c r="ER33" i="32"/>
  <c r="EQ33" i="32"/>
  <c r="EP33" i="32"/>
  <c r="EY32" i="32"/>
  <c r="EX32" i="32"/>
  <c r="EW32" i="32"/>
  <c r="EV32" i="32"/>
  <c r="EU32" i="32"/>
  <c r="ET32" i="32"/>
  <c r="ES32" i="32"/>
  <c r="ER32" i="32"/>
  <c r="EQ32" i="32"/>
  <c r="EP32" i="32"/>
  <c r="EY31" i="32"/>
  <c r="EX31" i="32"/>
  <c r="EW31" i="32"/>
  <c r="EV31" i="32"/>
  <c r="EU31" i="32"/>
  <c r="ET31" i="32"/>
  <c r="ES31" i="32"/>
  <c r="ER31" i="32"/>
  <c r="EQ31" i="32"/>
  <c r="EP31" i="32"/>
  <c r="EY30" i="32"/>
  <c r="EX30" i="32"/>
  <c r="EW30" i="32"/>
  <c r="EV30" i="32"/>
  <c r="EU30" i="32"/>
  <c r="ET30" i="32"/>
  <c r="ES30" i="32"/>
  <c r="ER30" i="32"/>
  <c r="EQ30" i="32"/>
  <c r="EP30" i="32"/>
  <c r="EY29" i="32"/>
  <c r="EX29" i="32"/>
  <c r="EW29" i="32"/>
  <c r="EV29" i="32"/>
  <c r="EU29" i="32"/>
  <c r="ET29" i="32"/>
  <c r="ES29" i="32"/>
  <c r="ER29" i="32"/>
  <c r="EQ29" i="32"/>
  <c r="EP29" i="32"/>
  <c r="EY28" i="32"/>
  <c r="EX28" i="32"/>
  <c r="EW28" i="32"/>
  <c r="EV28" i="32"/>
  <c r="EU28" i="32"/>
  <c r="ET28" i="32"/>
  <c r="ES28" i="32"/>
  <c r="ER28" i="32"/>
  <c r="EQ28" i="32"/>
  <c r="EP28" i="32"/>
  <c r="EY27" i="32"/>
  <c r="EX27" i="32"/>
  <c r="EW27" i="32"/>
  <c r="EV27" i="32"/>
  <c r="EU27" i="32"/>
  <c r="ET27" i="32"/>
  <c r="ES27" i="32"/>
  <c r="ER27" i="32"/>
  <c r="EQ27" i="32"/>
  <c r="EP27" i="32"/>
  <c r="EY26" i="32"/>
  <c r="EX26" i="32"/>
  <c r="EW26" i="32"/>
  <c r="EV26" i="32"/>
  <c r="EU26" i="32"/>
  <c r="ET26" i="32"/>
  <c r="ES26" i="32"/>
  <c r="ER26" i="32"/>
  <c r="EQ26" i="32"/>
  <c r="EP26" i="32"/>
  <c r="EY25" i="32"/>
  <c r="EX25" i="32"/>
  <c r="EW25" i="32"/>
  <c r="EV25" i="32"/>
  <c r="EU25" i="32"/>
  <c r="ET25" i="32"/>
  <c r="ES25" i="32"/>
  <c r="ER25" i="32"/>
  <c r="EQ25" i="32"/>
  <c r="EP25" i="32"/>
  <c r="EY24" i="32"/>
  <c r="EX24" i="32"/>
  <c r="EW24" i="32"/>
  <c r="EV24" i="32"/>
  <c r="EU24" i="32"/>
  <c r="ET24" i="32"/>
  <c r="ES24" i="32"/>
  <c r="ER24" i="32"/>
  <c r="EQ24" i="32"/>
  <c r="EP24" i="32"/>
  <c r="EY23" i="32"/>
  <c r="EX23" i="32"/>
  <c r="EW23" i="32"/>
  <c r="EV23" i="32"/>
  <c r="EU23" i="32"/>
  <c r="ET23" i="32"/>
  <c r="ES23" i="32"/>
  <c r="ER23" i="32"/>
  <c r="EQ23" i="32"/>
  <c r="EP23" i="32"/>
  <c r="EY22" i="32"/>
  <c r="EX22" i="32"/>
  <c r="EW22" i="32"/>
  <c r="EV22" i="32"/>
  <c r="EU22" i="32"/>
  <c r="ET22" i="32"/>
  <c r="ES22" i="32"/>
  <c r="ER22" i="32"/>
  <c r="EQ22" i="32"/>
  <c r="EP22" i="32"/>
  <c r="EY21" i="32"/>
  <c r="EX21" i="32"/>
  <c r="EW21" i="32"/>
  <c r="EV21" i="32"/>
  <c r="EU21" i="32"/>
  <c r="ET21" i="32"/>
  <c r="ES21" i="32"/>
  <c r="ER21" i="32"/>
  <c r="EQ21" i="32"/>
  <c r="EP21" i="32"/>
  <c r="EY20" i="32"/>
  <c r="EX20" i="32"/>
  <c r="EW20" i="32"/>
  <c r="EV20" i="32"/>
  <c r="EU20" i="32"/>
  <c r="ET20" i="32"/>
  <c r="ES20" i="32"/>
  <c r="ER20" i="32"/>
  <c r="EQ20" i="32"/>
  <c r="EP20" i="32"/>
  <c r="EY19" i="32"/>
  <c r="EX19" i="32"/>
  <c r="EW19" i="32"/>
  <c r="EV19" i="32"/>
  <c r="EU19" i="32"/>
  <c r="ET19" i="32"/>
  <c r="ES19" i="32"/>
  <c r="ER19" i="32"/>
  <c r="EQ19" i="32"/>
  <c r="EP19" i="32"/>
  <c r="EY18" i="32"/>
  <c r="EX18" i="32"/>
  <c r="EW18" i="32"/>
  <c r="EV18" i="32"/>
  <c r="EU18" i="32"/>
  <c r="ET18" i="32"/>
  <c r="ES18" i="32"/>
  <c r="ER18" i="32"/>
  <c r="EQ18" i="32"/>
  <c r="EP18" i="32"/>
  <c r="EY17" i="32"/>
  <c r="EX17" i="32"/>
  <c r="EW17" i="32"/>
  <c r="EV17" i="32"/>
  <c r="EU17" i="32"/>
  <c r="ET17" i="32"/>
  <c r="ES17" i="32"/>
  <c r="ER17" i="32"/>
  <c r="EQ17" i="32"/>
  <c r="EP17" i="32"/>
  <c r="EY16" i="32"/>
  <c r="EX16" i="32"/>
  <c r="EW16" i="32"/>
  <c r="EV16" i="32"/>
  <c r="EU16" i="32"/>
  <c r="ET16" i="32"/>
  <c r="ES16" i="32"/>
  <c r="ER16" i="32"/>
  <c r="EQ16" i="32"/>
  <c r="EP16" i="32"/>
  <c r="EY15" i="32"/>
  <c r="EX15" i="32"/>
  <c r="EW15" i="32"/>
  <c r="EV15" i="32"/>
  <c r="EU15" i="32"/>
  <c r="ET15" i="32"/>
  <c r="ES15" i="32"/>
  <c r="ER15" i="32"/>
  <c r="EQ15" i="32"/>
  <c r="EP15" i="32"/>
  <c r="EY14" i="32"/>
  <c r="EX14" i="32"/>
  <c r="EW14" i="32"/>
  <c r="EV14" i="32"/>
  <c r="EU14" i="32"/>
  <c r="ET14" i="32"/>
  <c r="ES14" i="32"/>
  <c r="ER14" i="32"/>
  <c r="EQ14" i="32"/>
  <c r="EP14" i="32"/>
  <c r="EY13" i="32"/>
  <c r="EX13" i="32"/>
  <c r="EW13" i="32"/>
  <c r="EV13" i="32"/>
  <c r="EU13" i="32"/>
  <c r="ET13" i="32"/>
  <c r="ES13" i="32"/>
  <c r="ER13" i="32"/>
  <c r="EQ13" i="32"/>
  <c r="EP13" i="32"/>
  <c r="EY12" i="32"/>
  <c r="EX12" i="32"/>
  <c r="EW12" i="32"/>
  <c r="EV12" i="32"/>
  <c r="EU12" i="32"/>
  <c r="ET12" i="32"/>
  <c r="ES12" i="32"/>
  <c r="ER12" i="32"/>
  <c r="EQ12" i="32"/>
  <c r="EP12" i="32"/>
  <c r="EY11" i="32"/>
  <c r="EX11" i="32"/>
  <c r="EW11" i="32"/>
  <c r="EV11" i="32"/>
  <c r="EU11" i="32"/>
  <c r="ET11" i="32"/>
  <c r="ES11" i="32"/>
  <c r="ER11" i="32"/>
  <c r="EQ11" i="32"/>
  <c r="EP11" i="32"/>
  <c r="EY10" i="32"/>
  <c r="EX10" i="32"/>
  <c r="EW10" i="32"/>
  <c r="EV10" i="32"/>
  <c r="EU10" i="32"/>
  <c r="ET10" i="32"/>
  <c r="ES10" i="32"/>
  <c r="ER10" i="32"/>
  <c r="EQ10" i="32"/>
  <c r="EP10" i="32"/>
  <c r="EY9" i="32"/>
  <c r="EX9" i="32"/>
  <c r="EW9" i="32"/>
  <c r="EV9" i="32"/>
  <c r="EU9" i="32"/>
  <c r="ET9" i="32"/>
  <c r="ES9" i="32"/>
  <c r="ER9" i="32"/>
  <c r="EQ9" i="32"/>
  <c r="EP9" i="32"/>
  <c r="EY8" i="32"/>
  <c r="EX8" i="32"/>
  <c r="EW8" i="32"/>
  <c r="EV8" i="32"/>
  <c r="EU8" i="32"/>
  <c r="ET8" i="32"/>
  <c r="ES8" i="32"/>
  <c r="ER8" i="32"/>
  <c r="EQ8" i="32"/>
  <c r="EP8" i="32"/>
  <c r="EY7" i="32"/>
  <c r="EX7" i="32"/>
  <c r="EW7" i="32"/>
  <c r="EV7" i="32"/>
  <c r="EU7" i="32"/>
  <c r="ET7" i="32"/>
  <c r="ES7" i="32"/>
  <c r="ER7" i="32"/>
  <c r="EQ7" i="32"/>
  <c r="EP7" i="32"/>
  <c r="EY6" i="32"/>
  <c r="EX6" i="32"/>
  <c r="EW6" i="32"/>
  <c r="EV6" i="32"/>
  <c r="EU6" i="32"/>
  <c r="ET6" i="32"/>
  <c r="ES6" i="32"/>
  <c r="ER6" i="32"/>
  <c r="EQ6" i="32"/>
  <c r="EP6" i="32"/>
  <c r="EY5" i="32"/>
  <c r="EX5" i="32"/>
  <c r="EW5" i="32"/>
  <c r="EV5" i="32"/>
  <c r="EU5" i="32"/>
  <c r="ET5" i="32"/>
  <c r="ES5" i="32"/>
  <c r="ER5" i="32"/>
  <c r="EQ5" i="32"/>
  <c r="EP5" i="32"/>
  <c r="EY4" i="32"/>
  <c r="EX4" i="32"/>
  <c r="EW4" i="32"/>
  <c r="EV4" i="32"/>
  <c r="EU4" i="32"/>
  <c r="ET4" i="32"/>
  <c r="ES4" i="32"/>
  <c r="ER4" i="32"/>
  <c r="EQ4" i="32"/>
  <c r="EP4" i="32"/>
  <c r="EN42" i="32"/>
  <c r="EM42" i="32"/>
  <c r="EL42" i="32"/>
  <c r="EK42" i="32"/>
  <c r="EJ42" i="32"/>
  <c r="EI42" i="32"/>
  <c r="EH42" i="32"/>
  <c r="EG42" i="32"/>
  <c r="EF42" i="32"/>
  <c r="EE42" i="32"/>
  <c r="EN41" i="32"/>
  <c r="EM41" i="32"/>
  <c r="EL41" i="32"/>
  <c r="EK41" i="32"/>
  <c r="EJ41" i="32"/>
  <c r="EI41" i="32"/>
  <c r="EH41" i="32"/>
  <c r="EG41" i="32"/>
  <c r="EF41" i="32"/>
  <c r="EE41" i="32"/>
  <c r="EN40" i="32"/>
  <c r="EM40" i="32"/>
  <c r="EL40" i="32"/>
  <c r="EK40" i="32"/>
  <c r="EJ40" i="32"/>
  <c r="EI40" i="32"/>
  <c r="EH40" i="32"/>
  <c r="EG40" i="32"/>
  <c r="EF40" i="32"/>
  <c r="EE40" i="32"/>
  <c r="EN39" i="32"/>
  <c r="EM39" i="32"/>
  <c r="EL39" i="32"/>
  <c r="EK39" i="32"/>
  <c r="EJ39" i="32"/>
  <c r="EI39" i="32"/>
  <c r="EH39" i="32"/>
  <c r="EG39" i="32"/>
  <c r="EF39" i="32"/>
  <c r="EE39" i="32"/>
  <c r="EN38" i="32"/>
  <c r="EM38" i="32"/>
  <c r="EL38" i="32"/>
  <c r="EK38" i="32"/>
  <c r="EJ38" i="32"/>
  <c r="EI38" i="32"/>
  <c r="EH38" i="32"/>
  <c r="EG38" i="32"/>
  <c r="EF38" i="32"/>
  <c r="EE38" i="32"/>
  <c r="EN37" i="32"/>
  <c r="EM37" i="32"/>
  <c r="EL37" i="32"/>
  <c r="EK37" i="32"/>
  <c r="EJ37" i="32"/>
  <c r="EI37" i="32"/>
  <c r="EH37" i="32"/>
  <c r="EG37" i="32"/>
  <c r="EF37" i="32"/>
  <c r="EE37" i="32"/>
  <c r="EN36" i="32"/>
  <c r="EM36" i="32"/>
  <c r="EL36" i="32"/>
  <c r="EK36" i="32"/>
  <c r="EJ36" i="32"/>
  <c r="EI36" i="32"/>
  <c r="EH36" i="32"/>
  <c r="EG36" i="32"/>
  <c r="EF36" i="32"/>
  <c r="EE36" i="32"/>
  <c r="EN35" i="32"/>
  <c r="EM35" i="32"/>
  <c r="EL35" i="32"/>
  <c r="EK35" i="32"/>
  <c r="EJ35" i="32"/>
  <c r="EI35" i="32"/>
  <c r="EH35" i="32"/>
  <c r="EG35" i="32"/>
  <c r="EF35" i="32"/>
  <c r="EE35" i="32"/>
  <c r="EN34" i="32"/>
  <c r="EM34" i="32"/>
  <c r="EL34" i="32"/>
  <c r="EK34" i="32"/>
  <c r="EJ34" i="32"/>
  <c r="EI34" i="32"/>
  <c r="EH34" i="32"/>
  <c r="EG34" i="32"/>
  <c r="EF34" i="32"/>
  <c r="EE34" i="32"/>
  <c r="EN33" i="32"/>
  <c r="EM33" i="32"/>
  <c r="EL33" i="32"/>
  <c r="EK33" i="32"/>
  <c r="EJ33" i="32"/>
  <c r="EI33" i="32"/>
  <c r="EH33" i="32"/>
  <c r="EG33" i="32"/>
  <c r="EF33" i="32"/>
  <c r="EE33" i="32"/>
  <c r="EN32" i="32"/>
  <c r="EM32" i="32"/>
  <c r="EL32" i="32"/>
  <c r="EK32" i="32"/>
  <c r="EJ32" i="32"/>
  <c r="EI32" i="32"/>
  <c r="EH32" i="32"/>
  <c r="EG32" i="32"/>
  <c r="EF32" i="32"/>
  <c r="EE32" i="32"/>
  <c r="EN31" i="32"/>
  <c r="EM31" i="32"/>
  <c r="EL31" i="32"/>
  <c r="EK31" i="32"/>
  <c r="EJ31" i="32"/>
  <c r="EI31" i="32"/>
  <c r="EH31" i="32"/>
  <c r="EG31" i="32"/>
  <c r="EF31" i="32"/>
  <c r="EE31" i="32"/>
  <c r="EN30" i="32"/>
  <c r="EM30" i="32"/>
  <c r="EL30" i="32"/>
  <c r="EK30" i="32"/>
  <c r="EJ30" i="32"/>
  <c r="EI30" i="32"/>
  <c r="EH30" i="32"/>
  <c r="EG30" i="32"/>
  <c r="EF30" i="32"/>
  <c r="EE30" i="32"/>
  <c r="EN29" i="32"/>
  <c r="EM29" i="32"/>
  <c r="EL29" i="32"/>
  <c r="EK29" i="32"/>
  <c r="EJ29" i="32"/>
  <c r="EI29" i="32"/>
  <c r="EH29" i="32"/>
  <c r="EG29" i="32"/>
  <c r="EF29" i="32"/>
  <c r="EE29" i="32"/>
  <c r="EN28" i="32"/>
  <c r="EM28" i="32"/>
  <c r="EL28" i="32"/>
  <c r="EK28" i="32"/>
  <c r="EJ28" i="32"/>
  <c r="EI28" i="32"/>
  <c r="EH28" i="32"/>
  <c r="EG28" i="32"/>
  <c r="EF28" i="32"/>
  <c r="EE28" i="32"/>
  <c r="EN27" i="32"/>
  <c r="EM27" i="32"/>
  <c r="EL27" i="32"/>
  <c r="EK27" i="32"/>
  <c r="EJ27" i="32"/>
  <c r="EI27" i="32"/>
  <c r="EH27" i="32"/>
  <c r="EG27" i="32"/>
  <c r="EF27" i="32"/>
  <c r="EE27" i="32"/>
  <c r="EN26" i="32"/>
  <c r="EM26" i="32"/>
  <c r="EL26" i="32"/>
  <c r="EK26" i="32"/>
  <c r="EJ26" i="32"/>
  <c r="EI26" i="32"/>
  <c r="EH26" i="32"/>
  <c r="EG26" i="32"/>
  <c r="EF26" i="32"/>
  <c r="EE26" i="32"/>
  <c r="EN25" i="32"/>
  <c r="EM25" i="32"/>
  <c r="EL25" i="32"/>
  <c r="EK25" i="32"/>
  <c r="EJ25" i="32"/>
  <c r="EI25" i="32"/>
  <c r="EH25" i="32"/>
  <c r="EG25" i="32"/>
  <c r="EF25" i="32"/>
  <c r="EE25" i="32"/>
  <c r="EN24" i="32"/>
  <c r="EM24" i="32"/>
  <c r="EL24" i="32"/>
  <c r="EK24" i="32"/>
  <c r="EJ24" i="32"/>
  <c r="EI24" i="32"/>
  <c r="EH24" i="32"/>
  <c r="EG24" i="32"/>
  <c r="EF24" i="32"/>
  <c r="EE24" i="32"/>
  <c r="EN23" i="32"/>
  <c r="EM23" i="32"/>
  <c r="EL23" i="32"/>
  <c r="EK23" i="32"/>
  <c r="EJ23" i="32"/>
  <c r="EI23" i="32"/>
  <c r="EH23" i="32"/>
  <c r="EG23" i="32"/>
  <c r="EF23" i="32"/>
  <c r="EE23" i="32"/>
  <c r="EN22" i="32"/>
  <c r="EM22" i="32"/>
  <c r="EL22" i="32"/>
  <c r="EK22" i="32"/>
  <c r="EJ22" i="32"/>
  <c r="EI22" i="32"/>
  <c r="EH22" i="32"/>
  <c r="EG22" i="32"/>
  <c r="EF22" i="32"/>
  <c r="EE22" i="32"/>
  <c r="EN21" i="32"/>
  <c r="EM21" i="32"/>
  <c r="EL21" i="32"/>
  <c r="EK21" i="32"/>
  <c r="EJ21" i="32"/>
  <c r="EI21" i="32"/>
  <c r="EH21" i="32"/>
  <c r="EG21" i="32"/>
  <c r="EF21" i="32"/>
  <c r="EE21" i="32"/>
  <c r="EN20" i="32"/>
  <c r="EM20" i="32"/>
  <c r="EL20" i="32"/>
  <c r="EK20" i="32"/>
  <c r="EJ20" i="32"/>
  <c r="EI20" i="32"/>
  <c r="EH20" i="32"/>
  <c r="EG20" i="32"/>
  <c r="EF20" i="32"/>
  <c r="EE20" i="32"/>
  <c r="EN19" i="32"/>
  <c r="EM19" i="32"/>
  <c r="EL19" i="32"/>
  <c r="EK19" i="32"/>
  <c r="EJ19" i="32"/>
  <c r="EI19" i="32"/>
  <c r="EH19" i="32"/>
  <c r="EG19" i="32"/>
  <c r="EF19" i="32"/>
  <c r="EE19" i="32"/>
  <c r="EN18" i="32"/>
  <c r="EM18" i="32"/>
  <c r="EL18" i="32"/>
  <c r="EK18" i="32"/>
  <c r="EJ18" i="32"/>
  <c r="EI18" i="32"/>
  <c r="EH18" i="32"/>
  <c r="EG18" i="32"/>
  <c r="EF18" i="32"/>
  <c r="EE18" i="32"/>
  <c r="EN17" i="32"/>
  <c r="EM17" i="32"/>
  <c r="EL17" i="32"/>
  <c r="EK17" i="32"/>
  <c r="EJ17" i="32"/>
  <c r="EI17" i="32"/>
  <c r="EH17" i="32"/>
  <c r="EG17" i="32"/>
  <c r="EF17" i="32"/>
  <c r="EE17" i="32"/>
  <c r="EN16" i="32"/>
  <c r="EM16" i="32"/>
  <c r="EL16" i="32"/>
  <c r="EK16" i="32"/>
  <c r="EJ16" i="32"/>
  <c r="EI16" i="32"/>
  <c r="EH16" i="32"/>
  <c r="EG16" i="32"/>
  <c r="EF16" i="32"/>
  <c r="EE16" i="32"/>
  <c r="EN15" i="32"/>
  <c r="EM15" i="32"/>
  <c r="EL15" i="32"/>
  <c r="EK15" i="32"/>
  <c r="EJ15" i="32"/>
  <c r="EI15" i="32"/>
  <c r="EH15" i="32"/>
  <c r="EG15" i="32"/>
  <c r="EF15" i="32"/>
  <c r="EE15" i="32"/>
  <c r="EN14" i="32"/>
  <c r="EM14" i="32"/>
  <c r="EL14" i="32"/>
  <c r="EK14" i="32"/>
  <c r="EJ14" i="32"/>
  <c r="EI14" i="32"/>
  <c r="EH14" i="32"/>
  <c r="EG14" i="32"/>
  <c r="EF14" i="32"/>
  <c r="EE14" i="32"/>
  <c r="EN13" i="32"/>
  <c r="EM13" i="32"/>
  <c r="EL13" i="32"/>
  <c r="EK13" i="32"/>
  <c r="EJ13" i="32"/>
  <c r="EI13" i="32"/>
  <c r="EH13" i="32"/>
  <c r="EG13" i="32"/>
  <c r="EF13" i="32"/>
  <c r="EE13" i="32"/>
  <c r="EN12" i="32"/>
  <c r="EM12" i="32"/>
  <c r="EL12" i="32"/>
  <c r="EK12" i="32"/>
  <c r="EJ12" i="32"/>
  <c r="EI12" i="32"/>
  <c r="EH12" i="32"/>
  <c r="EG12" i="32"/>
  <c r="EF12" i="32"/>
  <c r="EE12" i="32"/>
  <c r="EN11" i="32"/>
  <c r="EM11" i="32"/>
  <c r="EL11" i="32"/>
  <c r="EK11" i="32"/>
  <c r="EJ11" i="32"/>
  <c r="EI11" i="32"/>
  <c r="EH11" i="32"/>
  <c r="EG11" i="32"/>
  <c r="EF11" i="32"/>
  <c r="EE11" i="32"/>
  <c r="EN10" i="32"/>
  <c r="EM10" i="32"/>
  <c r="EL10" i="32"/>
  <c r="EK10" i="32"/>
  <c r="EJ10" i="32"/>
  <c r="EI10" i="32"/>
  <c r="EH10" i="32"/>
  <c r="EG10" i="32"/>
  <c r="EF10" i="32"/>
  <c r="EE10" i="32"/>
  <c r="EN9" i="32"/>
  <c r="EM9" i="32"/>
  <c r="EL9" i="32"/>
  <c r="EK9" i="32"/>
  <c r="EJ9" i="32"/>
  <c r="EI9" i="32"/>
  <c r="EH9" i="32"/>
  <c r="EG9" i="32"/>
  <c r="EF9" i="32"/>
  <c r="EE9" i="32"/>
  <c r="EN8" i="32"/>
  <c r="EM8" i="32"/>
  <c r="EL8" i="32"/>
  <c r="EK8" i="32"/>
  <c r="EJ8" i="32"/>
  <c r="EI8" i="32"/>
  <c r="EH8" i="32"/>
  <c r="EG8" i="32"/>
  <c r="EF8" i="32"/>
  <c r="EE8" i="32"/>
  <c r="EN7" i="32"/>
  <c r="EM7" i="32"/>
  <c r="EL7" i="32"/>
  <c r="EK7" i="32"/>
  <c r="EJ7" i="32"/>
  <c r="EI7" i="32"/>
  <c r="EH7" i="32"/>
  <c r="EG7" i="32"/>
  <c r="EF7" i="32"/>
  <c r="EE7" i="32"/>
  <c r="EN6" i="32"/>
  <c r="EM6" i="32"/>
  <c r="EL6" i="32"/>
  <c r="EK6" i="32"/>
  <c r="EJ6" i="32"/>
  <c r="EI6" i="32"/>
  <c r="EH6" i="32"/>
  <c r="EG6" i="32"/>
  <c r="EF6" i="32"/>
  <c r="EE6" i="32"/>
  <c r="EN5" i="32"/>
  <c r="EM5" i="32"/>
  <c r="EL5" i="32"/>
  <c r="EK5" i="32"/>
  <c r="EJ5" i="32"/>
  <c r="EI5" i="32"/>
  <c r="EH5" i="32"/>
  <c r="EG5" i="32"/>
  <c r="EF5" i="32"/>
  <c r="EE5" i="32"/>
  <c r="EN4" i="32"/>
  <c r="EM4" i="32"/>
  <c r="EL4" i="32"/>
  <c r="EK4" i="32"/>
  <c r="EJ4" i="32"/>
  <c r="EI4" i="32"/>
  <c r="EH4" i="32"/>
  <c r="EG4" i="32"/>
  <c r="EF4" i="32"/>
  <c r="EE4" i="32"/>
  <c r="EC42" i="32"/>
  <c r="EB42" i="32"/>
  <c r="EA42" i="32"/>
  <c r="DZ42" i="32"/>
  <c r="DY42" i="32"/>
  <c r="DX42" i="32"/>
  <c r="DW42" i="32"/>
  <c r="DV42" i="32"/>
  <c r="DU42" i="32"/>
  <c r="DT42" i="32"/>
  <c r="EC41" i="32"/>
  <c r="EB41" i="32"/>
  <c r="EA41" i="32"/>
  <c r="DZ41" i="32"/>
  <c r="DY41" i="32"/>
  <c r="DX41" i="32"/>
  <c r="DW41" i="32"/>
  <c r="DV41" i="32"/>
  <c r="DU41" i="32"/>
  <c r="DT41" i="32"/>
  <c r="EC40" i="32"/>
  <c r="EB40" i="32"/>
  <c r="EA40" i="32"/>
  <c r="DZ40" i="32"/>
  <c r="DY40" i="32"/>
  <c r="DX40" i="32"/>
  <c r="DW40" i="32"/>
  <c r="DV40" i="32"/>
  <c r="DU40" i="32"/>
  <c r="DT40" i="32"/>
  <c r="EC39" i="32"/>
  <c r="EB39" i="32"/>
  <c r="EA39" i="32"/>
  <c r="DZ39" i="32"/>
  <c r="DY39" i="32"/>
  <c r="DX39" i="32"/>
  <c r="DW39" i="32"/>
  <c r="DV39" i="32"/>
  <c r="DU39" i="32"/>
  <c r="DT39" i="32"/>
  <c r="EC38" i="32"/>
  <c r="EB38" i="32"/>
  <c r="EA38" i="32"/>
  <c r="DZ38" i="32"/>
  <c r="DY38" i="32"/>
  <c r="DX38" i="32"/>
  <c r="DW38" i="32"/>
  <c r="DV38" i="32"/>
  <c r="DU38" i="32"/>
  <c r="DT38" i="32"/>
  <c r="EC37" i="32"/>
  <c r="EB37" i="32"/>
  <c r="EA37" i="32"/>
  <c r="DZ37" i="32"/>
  <c r="DY37" i="32"/>
  <c r="DX37" i="32"/>
  <c r="DW37" i="32"/>
  <c r="DV37" i="32"/>
  <c r="DU37" i="32"/>
  <c r="DT37" i="32"/>
  <c r="EC36" i="32"/>
  <c r="EB36" i="32"/>
  <c r="EA36" i="32"/>
  <c r="DZ36" i="32"/>
  <c r="DY36" i="32"/>
  <c r="DX36" i="32"/>
  <c r="DW36" i="32"/>
  <c r="DV36" i="32"/>
  <c r="DU36" i="32"/>
  <c r="DT36" i="32"/>
  <c r="EC35" i="32"/>
  <c r="EB35" i="32"/>
  <c r="EA35" i="32"/>
  <c r="DZ35" i="32"/>
  <c r="DY35" i="32"/>
  <c r="DX35" i="32"/>
  <c r="DW35" i="32"/>
  <c r="DV35" i="32"/>
  <c r="DU35" i="32"/>
  <c r="DT35" i="32"/>
  <c r="EC34" i="32"/>
  <c r="EB34" i="32"/>
  <c r="EA34" i="32"/>
  <c r="DZ34" i="32"/>
  <c r="DY34" i="32"/>
  <c r="DX34" i="32"/>
  <c r="DW34" i="32"/>
  <c r="DV34" i="32"/>
  <c r="DU34" i="32"/>
  <c r="DT34" i="32"/>
  <c r="EC33" i="32"/>
  <c r="EB33" i="32"/>
  <c r="EA33" i="32"/>
  <c r="DZ33" i="32"/>
  <c r="DY33" i="32"/>
  <c r="DX33" i="32"/>
  <c r="DW33" i="32"/>
  <c r="DV33" i="32"/>
  <c r="DU33" i="32"/>
  <c r="DT33" i="32"/>
  <c r="EC32" i="32"/>
  <c r="EB32" i="32"/>
  <c r="EA32" i="32"/>
  <c r="DZ32" i="32"/>
  <c r="DY32" i="32"/>
  <c r="DX32" i="32"/>
  <c r="DW32" i="32"/>
  <c r="DV32" i="32"/>
  <c r="DU32" i="32"/>
  <c r="DT32" i="32"/>
  <c r="EC31" i="32"/>
  <c r="EB31" i="32"/>
  <c r="EA31" i="32"/>
  <c r="DZ31" i="32"/>
  <c r="DY31" i="32"/>
  <c r="DX31" i="32"/>
  <c r="DW31" i="32"/>
  <c r="DV31" i="32"/>
  <c r="DU31" i="32"/>
  <c r="DT31" i="32"/>
  <c r="EC30" i="32"/>
  <c r="EB30" i="32"/>
  <c r="EA30" i="32"/>
  <c r="DZ30" i="32"/>
  <c r="DY30" i="32"/>
  <c r="DX30" i="32"/>
  <c r="DW30" i="32"/>
  <c r="DV30" i="32"/>
  <c r="DU30" i="32"/>
  <c r="DT30" i="32"/>
  <c r="EC29" i="32"/>
  <c r="EB29" i="32"/>
  <c r="EA29" i="32"/>
  <c r="DZ29" i="32"/>
  <c r="DY29" i="32"/>
  <c r="DX29" i="32"/>
  <c r="DW29" i="32"/>
  <c r="DV29" i="32"/>
  <c r="DU29" i="32"/>
  <c r="DT29" i="32"/>
  <c r="EC28" i="32"/>
  <c r="EB28" i="32"/>
  <c r="EA28" i="32"/>
  <c r="DZ28" i="32"/>
  <c r="DY28" i="32"/>
  <c r="DX28" i="32"/>
  <c r="DW28" i="32"/>
  <c r="DV28" i="32"/>
  <c r="DU28" i="32"/>
  <c r="DT28" i="32"/>
  <c r="EC27" i="32"/>
  <c r="EB27" i="32"/>
  <c r="EA27" i="32"/>
  <c r="DZ27" i="32"/>
  <c r="DY27" i="32"/>
  <c r="DX27" i="32"/>
  <c r="DW27" i="32"/>
  <c r="DV27" i="32"/>
  <c r="DU27" i="32"/>
  <c r="DT27" i="32"/>
  <c r="EC26" i="32"/>
  <c r="EB26" i="32"/>
  <c r="EA26" i="32"/>
  <c r="DZ26" i="32"/>
  <c r="DY26" i="32"/>
  <c r="DX26" i="32"/>
  <c r="DW26" i="32"/>
  <c r="DV26" i="32"/>
  <c r="DU26" i="32"/>
  <c r="DT26" i="32"/>
  <c r="EC25" i="32"/>
  <c r="EB25" i="32"/>
  <c r="EA25" i="32"/>
  <c r="DZ25" i="32"/>
  <c r="DY25" i="32"/>
  <c r="DX25" i="32"/>
  <c r="DW25" i="32"/>
  <c r="DV25" i="32"/>
  <c r="DU25" i="32"/>
  <c r="DT25" i="32"/>
  <c r="EC24" i="32"/>
  <c r="EB24" i="32"/>
  <c r="EA24" i="32"/>
  <c r="DZ24" i="32"/>
  <c r="DY24" i="32"/>
  <c r="DX24" i="32"/>
  <c r="DW24" i="32"/>
  <c r="DV24" i="32"/>
  <c r="DU24" i="32"/>
  <c r="DT24" i="32"/>
  <c r="EC23" i="32"/>
  <c r="EB23" i="32"/>
  <c r="EA23" i="32"/>
  <c r="DZ23" i="32"/>
  <c r="DY23" i="32"/>
  <c r="DX23" i="32"/>
  <c r="DW23" i="32"/>
  <c r="DV23" i="32"/>
  <c r="DU23" i="32"/>
  <c r="DT23" i="32"/>
  <c r="EC22" i="32"/>
  <c r="EB22" i="32"/>
  <c r="EA22" i="32"/>
  <c r="DZ22" i="32"/>
  <c r="DY22" i="32"/>
  <c r="DX22" i="32"/>
  <c r="DW22" i="32"/>
  <c r="DV22" i="32"/>
  <c r="DU22" i="32"/>
  <c r="DT22" i="32"/>
  <c r="EC21" i="32"/>
  <c r="EB21" i="32"/>
  <c r="EA21" i="32"/>
  <c r="DZ21" i="32"/>
  <c r="DY21" i="32"/>
  <c r="DX21" i="32"/>
  <c r="DW21" i="32"/>
  <c r="DV21" i="32"/>
  <c r="DU21" i="32"/>
  <c r="DT21" i="32"/>
  <c r="EC20" i="32"/>
  <c r="EB20" i="32"/>
  <c r="EA20" i="32"/>
  <c r="DZ20" i="32"/>
  <c r="DY20" i="32"/>
  <c r="DX20" i="32"/>
  <c r="DW20" i="32"/>
  <c r="DV20" i="32"/>
  <c r="DU20" i="32"/>
  <c r="DT20" i="32"/>
  <c r="EC19" i="32"/>
  <c r="EB19" i="32"/>
  <c r="EA19" i="32"/>
  <c r="DZ19" i="32"/>
  <c r="DY19" i="32"/>
  <c r="DX19" i="32"/>
  <c r="DW19" i="32"/>
  <c r="DV19" i="32"/>
  <c r="DU19" i="32"/>
  <c r="DT19" i="32"/>
  <c r="EC18" i="32"/>
  <c r="EB18" i="32"/>
  <c r="EA18" i="32"/>
  <c r="DZ18" i="32"/>
  <c r="DY18" i="32"/>
  <c r="DX18" i="32"/>
  <c r="DW18" i="32"/>
  <c r="DV18" i="32"/>
  <c r="DU18" i="32"/>
  <c r="DT18" i="32"/>
  <c r="EC17" i="32"/>
  <c r="EB17" i="32"/>
  <c r="EA17" i="32"/>
  <c r="DZ17" i="32"/>
  <c r="DY17" i="32"/>
  <c r="DX17" i="32"/>
  <c r="DW17" i="32"/>
  <c r="DV17" i="32"/>
  <c r="DU17" i="32"/>
  <c r="DT17" i="32"/>
  <c r="EC16" i="32"/>
  <c r="EB16" i="32"/>
  <c r="EA16" i="32"/>
  <c r="DZ16" i="32"/>
  <c r="DY16" i="32"/>
  <c r="DX16" i="32"/>
  <c r="DW16" i="32"/>
  <c r="DV16" i="32"/>
  <c r="DU16" i="32"/>
  <c r="DT16" i="32"/>
  <c r="EC15" i="32"/>
  <c r="EB15" i="32"/>
  <c r="EA15" i="32"/>
  <c r="DZ15" i="32"/>
  <c r="DY15" i="32"/>
  <c r="DX15" i="32"/>
  <c r="DW15" i="32"/>
  <c r="DV15" i="32"/>
  <c r="DU15" i="32"/>
  <c r="DT15" i="32"/>
  <c r="EC14" i="32"/>
  <c r="EB14" i="32"/>
  <c r="EA14" i="32"/>
  <c r="DZ14" i="32"/>
  <c r="DY14" i="32"/>
  <c r="DX14" i="32"/>
  <c r="DW14" i="32"/>
  <c r="DV14" i="32"/>
  <c r="DU14" i="32"/>
  <c r="DT14" i="32"/>
  <c r="EC13" i="32"/>
  <c r="EB13" i="32"/>
  <c r="EA13" i="32"/>
  <c r="DZ13" i="32"/>
  <c r="DY13" i="32"/>
  <c r="DX13" i="32"/>
  <c r="DW13" i="32"/>
  <c r="DV13" i="32"/>
  <c r="DU13" i="32"/>
  <c r="DT13" i="32"/>
  <c r="EC12" i="32"/>
  <c r="EB12" i="32"/>
  <c r="EA12" i="32"/>
  <c r="DZ12" i="32"/>
  <c r="DY12" i="32"/>
  <c r="DX12" i="32"/>
  <c r="DW12" i="32"/>
  <c r="DV12" i="32"/>
  <c r="DU12" i="32"/>
  <c r="DT12" i="32"/>
  <c r="EC11" i="32"/>
  <c r="EB11" i="32"/>
  <c r="EA11" i="32"/>
  <c r="DZ11" i="32"/>
  <c r="DY11" i="32"/>
  <c r="DX11" i="32"/>
  <c r="DW11" i="32"/>
  <c r="DV11" i="32"/>
  <c r="DU11" i="32"/>
  <c r="DT11" i="32"/>
  <c r="EC10" i="32"/>
  <c r="EB10" i="32"/>
  <c r="EA10" i="32"/>
  <c r="DZ10" i="32"/>
  <c r="DY10" i="32"/>
  <c r="DX10" i="32"/>
  <c r="DW10" i="32"/>
  <c r="DV10" i="32"/>
  <c r="DU10" i="32"/>
  <c r="DT10" i="32"/>
  <c r="EC9" i="32"/>
  <c r="EB9" i="32"/>
  <c r="EA9" i="32"/>
  <c r="DZ9" i="32"/>
  <c r="DY9" i="32"/>
  <c r="DX9" i="32"/>
  <c r="DW9" i="32"/>
  <c r="DV9" i="32"/>
  <c r="DU9" i="32"/>
  <c r="DT9" i="32"/>
  <c r="EC8" i="32"/>
  <c r="EB8" i="32"/>
  <c r="EA8" i="32"/>
  <c r="DZ8" i="32"/>
  <c r="DY8" i="32"/>
  <c r="DX8" i="32"/>
  <c r="DW8" i="32"/>
  <c r="DV8" i="32"/>
  <c r="DU8" i="32"/>
  <c r="DT8" i="32"/>
  <c r="EC7" i="32"/>
  <c r="EB7" i="32"/>
  <c r="EA7" i="32"/>
  <c r="DZ7" i="32"/>
  <c r="DY7" i="32"/>
  <c r="DX7" i="32"/>
  <c r="DW7" i="32"/>
  <c r="DV7" i="32"/>
  <c r="DU7" i="32"/>
  <c r="DT7" i="32"/>
  <c r="EC6" i="32"/>
  <c r="EB6" i="32"/>
  <c r="EA6" i="32"/>
  <c r="DZ6" i="32"/>
  <c r="DY6" i="32"/>
  <c r="DX6" i="32"/>
  <c r="DW6" i="32"/>
  <c r="DV6" i="32"/>
  <c r="DU6" i="32"/>
  <c r="DT6" i="32"/>
  <c r="EC5" i="32"/>
  <c r="EB5" i="32"/>
  <c r="EA5" i="32"/>
  <c r="DZ5" i="32"/>
  <c r="DY5" i="32"/>
  <c r="DX5" i="32"/>
  <c r="DW5" i="32"/>
  <c r="DV5" i="32"/>
  <c r="DU5" i="32"/>
  <c r="DT5" i="32"/>
  <c r="EC4" i="32"/>
  <c r="EB4" i="32"/>
  <c r="EA4" i="32"/>
  <c r="DZ4" i="32"/>
  <c r="DY4" i="32"/>
  <c r="DX4" i="32"/>
  <c r="DW4" i="32"/>
  <c r="DV4" i="32"/>
  <c r="DU4" i="32"/>
  <c r="DT4" i="32"/>
  <c r="DR42" i="32"/>
  <c r="DQ42" i="32"/>
  <c r="DP42" i="32"/>
  <c r="DO42" i="32"/>
  <c r="DN42" i="32"/>
  <c r="DM42" i="32"/>
  <c r="DL42" i="32"/>
  <c r="DK42" i="32"/>
  <c r="DJ42" i="32"/>
  <c r="DI42" i="32"/>
  <c r="DR41" i="32"/>
  <c r="DQ41" i="32"/>
  <c r="DP41" i="32"/>
  <c r="DO41" i="32"/>
  <c r="DN41" i="32"/>
  <c r="DM41" i="32"/>
  <c r="DL41" i="32"/>
  <c r="DK41" i="32"/>
  <c r="DJ41" i="32"/>
  <c r="DI41" i="32"/>
  <c r="DR40" i="32"/>
  <c r="DQ40" i="32"/>
  <c r="DP40" i="32"/>
  <c r="DO40" i="32"/>
  <c r="DN40" i="32"/>
  <c r="DM40" i="32"/>
  <c r="DL40" i="32"/>
  <c r="DK40" i="32"/>
  <c r="DJ40" i="32"/>
  <c r="DI40" i="32"/>
  <c r="DR39" i="32"/>
  <c r="DQ39" i="32"/>
  <c r="DP39" i="32"/>
  <c r="DO39" i="32"/>
  <c r="DN39" i="32"/>
  <c r="DM39" i="32"/>
  <c r="DL39" i="32"/>
  <c r="DK39" i="32"/>
  <c r="DJ39" i="32"/>
  <c r="DI39" i="32"/>
  <c r="DR38" i="32"/>
  <c r="DQ38" i="32"/>
  <c r="DP38" i="32"/>
  <c r="DO38" i="32"/>
  <c r="DN38" i="32"/>
  <c r="DM38" i="32"/>
  <c r="DL38" i="32"/>
  <c r="DK38" i="32"/>
  <c r="DJ38" i="32"/>
  <c r="DI38" i="32"/>
  <c r="DR37" i="32"/>
  <c r="DQ37" i="32"/>
  <c r="DP37" i="32"/>
  <c r="DO37" i="32"/>
  <c r="DN37" i="32"/>
  <c r="DM37" i="32"/>
  <c r="DL37" i="32"/>
  <c r="DK37" i="32"/>
  <c r="DJ37" i="32"/>
  <c r="DI37" i="32"/>
  <c r="DR36" i="32"/>
  <c r="DQ36" i="32"/>
  <c r="DP36" i="32"/>
  <c r="DO36" i="32"/>
  <c r="DN36" i="32"/>
  <c r="DM36" i="32"/>
  <c r="DL36" i="32"/>
  <c r="DK36" i="32"/>
  <c r="DJ36" i="32"/>
  <c r="DI36" i="32"/>
  <c r="DR35" i="32"/>
  <c r="DQ35" i="32"/>
  <c r="DP35" i="32"/>
  <c r="DO35" i="32"/>
  <c r="DN35" i="32"/>
  <c r="DM35" i="32"/>
  <c r="DL35" i="32"/>
  <c r="DK35" i="32"/>
  <c r="DJ35" i="32"/>
  <c r="DI35" i="32"/>
  <c r="DR34" i="32"/>
  <c r="DQ34" i="32"/>
  <c r="DP34" i="32"/>
  <c r="DO34" i="32"/>
  <c r="DN34" i="32"/>
  <c r="DM34" i="32"/>
  <c r="DL34" i="32"/>
  <c r="DK34" i="32"/>
  <c r="DJ34" i="32"/>
  <c r="DI34" i="32"/>
  <c r="DR33" i="32"/>
  <c r="DQ33" i="32"/>
  <c r="DP33" i="32"/>
  <c r="DO33" i="32"/>
  <c r="DN33" i="32"/>
  <c r="DM33" i="32"/>
  <c r="DL33" i="32"/>
  <c r="DK33" i="32"/>
  <c r="DJ33" i="32"/>
  <c r="DI33" i="32"/>
  <c r="DR32" i="32"/>
  <c r="DQ32" i="32"/>
  <c r="DP32" i="32"/>
  <c r="DO32" i="32"/>
  <c r="DN32" i="32"/>
  <c r="DM32" i="32"/>
  <c r="DL32" i="32"/>
  <c r="DK32" i="32"/>
  <c r="DJ32" i="32"/>
  <c r="DI32" i="32"/>
  <c r="DR31" i="32"/>
  <c r="DQ31" i="32"/>
  <c r="DP31" i="32"/>
  <c r="DO31" i="32"/>
  <c r="DN31" i="32"/>
  <c r="DM31" i="32"/>
  <c r="DL31" i="32"/>
  <c r="DK31" i="32"/>
  <c r="DJ31" i="32"/>
  <c r="DI31" i="32"/>
  <c r="DR30" i="32"/>
  <c r="DQ30" i="32"/>
  <c r="DP30" i="32"/>
  <c r="DO30" i="32"/>
  <c r="DN30" i="32"/>
  <c r="DM30" i="32"/>
  <c r="DL30" i="32"/>
  <c r="DK30" i="32"/>
  <c r="DJ30" i="32"/>
  <c r="DI30" i="32"/>
  <c r="DR29" i="32"/>
  <c r="DQ29" i="32"/>
  <c r="DP29" i="32"/>
  <c r="DO29" i="32"/>
  <c r="DN29" i="32"/>
  <c r="DM29" i="32"/>
  <c r="DL29" i="32"/>
  <c r="DK29" i="32"/>
  <c r="DJ29" i="32"/>
  <c r="DI29" i="32"/>
  <c r="DR28" i="32"/>
  <c r="DQ28" i="32"/>
  <c r="DP28" i="32"/>
  <c r="DO28" i="32"/>
  <c r="DN28" i="32"/>
  <c r="DM28" i="32"/>
  <c r="DL28" i="32"/>
  <c r="DK28" i="32"/>
  <c r="DJ28" i="32"/>
  <c r="DI28" i="32"/>
  <c r="DR27" i="32"/>
  <c r="DQ27" i="32"/>
  <c r="DP27" i="32"/>
  <c r="DO27" i="32"/>
  <c r="DN27" i="32"/>
  <c r="DM27" i="32"/>
  <c r="DL27" i="32"/>
  <c r="DK27" i="32"/>
  <c r="DJ27" i="32"/>
  <c r="DI27" i="32"/>
  <c r="DR26" i="32"/>
  <c r="DQ26" i="32"/>
  <c r="DP26" i="32"/>
  <c r="DO26" i="32"/>
  <c r="DN26" i="32"/>
  <c r="DM26" i="32"/>
  <c r="DL26" i="32"/>
  <c r="DK26" i="32"/>
  <c r="DJ26" i="32"/>
  <c r="DI26" i="32"/>
  <c r="DR25" i="32"/>
  <c r="DQ25" i="32"/>
  <c r="DP25" i="32"/>
  <c r="DO25" i="32"/>
  <c r="DN25" i="32"/>
  <c r="DM25" i="32"/>
  <c r="DL25" i="32"/>
  <c r="DK25" i="32"/>
  <c r="DJ25" i="32"/>
  <c r="DI25" i="32"/>
  <c r="DR24" i="32"/>
  <c r="DQ24" i="32"/>
  <c r="DP24" i="32"/>
  <c r="DO24" i="32"/>
  <c r="DN24" i="32"/>
  <c r="DM24" i="32"/>
  <c r="DL24" i="32"/>
  <c r="DK24" i="32"/>
  <c r="DJ24" i="32"/>
  <c r="DI24" i="32"/>
  <c r="DR23" i="32"/>
  <c r="DQ23" i="32"/>
  <c r="DP23" i="32"/>
  <c r="DO23" i="32"/>
  <c r="DN23" i="32"/>
  <c r="DM23" i="32"/>
  <c r="DL23" i="32"/>
  <c r="DK23" i="32"/>
  <c r="DJ23" i="32"/>
  <c r="DI23" i="32"/>
  <c r="DR22" i="32"/>
  <c r="DQ22" i="32"/>
  <c r="DP22" i="32"/>
  <c r="DO22" i="32"/>
  <c r="DN22" i="32"/>
  <c r="DM22" i="32"/>
  <c r="DL22" i="32"/>
  <c r="DK22" i="32"/>
  <c r="DJ22" i="32"/>
  <c r="DI22" i="32"/>
  <c r="DR21" i="32"/>
  <c r="DQ21" i="32"/>
  <c r="DP21" i="32"/>
  <c r="DO21" i="32"/>
  <c r="DN21" i="32"/>
  <c r="DM21" i="32"/>
  <c r="DL21" i="32"/>
  <c r="DK21" i="32"/>
  <c r="DJ21" i="32"/>
  <c r="DI21" i="32"/>
  <c r="DR20" i="32"/>
  <c r="DQ20" i="32"/>
  <c r="DP20" i="32"/>
  <c r="DO20" i="32"/>
  <c r="DN20" i="32"/>
  <c r="DM20" i="32"/>
  <c r="DL20" i="32"/>
  <c r="DK20" i="32"/>
  <c r="DJ20" i="32"/>
  <c r="DI20" i="32"/>
  <c r="DR19" i="32"/>
  <c r="DQ19" i="32"/>
  <c r="DP19" i="32"/>
  <c r="DO19" i="32"/>
  <c r="DN19" i="32"/>
  <c r="DM19" i="32"/>
  <c r="DL19" i="32"/>
  <c r="DK19" i="32"/>
  <c r="DJ19" i="32"/>
  <c r="DI19" i="32"/>
  <c r="DR18" i="32"/>
  <c r="DQ18" i="32"/>
  <c r="DP18" i="32"/>
  <c r="DO18" i="32"/>
  <c r="DN18" i="32"/>
  <c r="DM18" i="32"/>
  <c r="DL18" i="32"/>
  <c r="DK18" i="32"/>
  <c r="DJ18" i="32"/>
  <c r="DI18" i="32"/>
  <c r="DR17" i="32"/>
  <c r="DQ17" i="32"/>
  <c r="DP17" i="32"/>
  <c r="DO17" i="32"/>
  <c r="DN17" i="32"/>
  <c r="DM17" i="32"/>
  <c r="DL17" i="32"/>
  <c r="DK17" i="32"/>
  <c r="DJ17" i="32"/>
  <c r="DI17" i="32"/>
  <c r="DR16" i="32"/>
  <c r="DQ16" i="32"/>
  <c r="DP16" i="32"/>
  <c r="DO16" i="32"/>
  <c r="DN16" i="32"/>
  <c r="DM16" i="32"/>
  <c r="DL16" i="32"/>
  <c r="DK16" i="32"/>
  <c r="DJ16" i="32"/>
  <c r="DI16" i="32"/>
  <c r="DR15" i="32"/>
  <c r="DQ15" i="32"/>
  <c r="DP15" i="32"/>
  <c r="DO15" i="32"/>
  <c r="DN15" i="32"/>
  <c r="DM15" i="32"/>
  <c r="DL15" i="32"/>
  <c r="DK15" i="32"/>
  <c r="DJ15" i="32"/>
  <c r="DI15" i="32"/>
  <c r="DR14" i="32"/>
  <c r="DQ14" i="32"/>
  <c r="DP14" i="32"/>
  <c r="DO14" i="32"/>
  <c r="DN14" i="32"/>
  <c r="DM14" i="32"/>
  <c r="DL14" i="32"/>
  <c r="DK14" i="32"/>
  <c r="DJ14" i="32"/>
  <c r="DI14" i="32"/>
  <c r="DR13" i="32"/>
  <c r="DQ13" i="32"/>
  <c r="DP13" i="32"/>
  <c r="DO13" i="32"/>
  <c r="DN13" i="32"/>
  <c r="DM13" i="32"/>
  <c r="DL13" i="32"/>
  <c r="DK13" i="32"/>
  <c r="DJ13" i="32"/>
  <c r="DI13" i="32"/>
  <c r="DR12" i="32"/>
  <c r="DQ12" i="32"/>
  <c r="DP12" i="32"/>
  <c r="DO12" i="32"/>
  <c r="DN12" i="32"/>
  <c r="DM12" i="32"/>
  <c r="DL12" i="32"/>
  <c r="DK12" i="32"/>
  <c r="DJ12" i="32"/>
  <c r="DI12" i="32"/>
  <c r="DR11" i="32"/>
  <c r="DQ11" i="32"/>
  <c r="DP11" i="32"/>
  <c r="DO11" i="32"/>
  <c r="DN11" i="32"/>
  <c r="DM11" i="32"/>
  <c r="DL11" i="32"/>
  <c r="DK11" i="32"/>
  <c r="DJ11" i="32"/>
  <c r="DI11" i="32"/>
  <c r="DR10" i="32"/>
  <c r="DQ10" i="32"/>
  <c r="DP10" i="32"/>
  <c r="DO10" i="32"/>
  <c r="DN10" i="32"/>
  <c r="DM10" i="32"/>
  <c r="DL10" i="32"/>
  <c r="DK10" i="32"/>
  <c r="DJ10" i="32"/>
  <c r="DI10" i="32"/>
  <c r="DR9" i="32"/>
  <c r="DQ9" i="32"/>
  <c r="DP9" i="32"/>
  <c r="DO9" i="32"/>
  <c r="DN9" i="32"/>
  <c r="DM9" i="32"/>
  <c r="DL9" i="32"/>
  <c r="DK9" i="32"/>
  <c r="DJ9" i="32"/>
  <c r="DI9" i="32"/>
  <c r="DR8" i="32"/>
  <c r="DQ8" i="32"/>
  <c r="DP8" i="32"/>
  <c r="DO8" i="32"/>
  <c r="DN8" i="32"/>
  <c r="DM8" i="32"/>
  <c r="DL8" i="32"/>
  <c r="DK8" i="32"/>
  <c r="DJ8" i="32"/>
  <c r="DI8" i="32"/>
  <c r="DR7" i="32"/>
  <c r="DQ7" i="32"/>
  <c r="DP7" i="32"/>
  <c r="DO7" i="32"/>
  <c r="DN7" i="32"/>
  <c r="DM7" i="32"/>
  <c r="DL7" i="32"/>
  <c r="DK7" i="32"/>
  <c r="DJ7" i="32"/>
  <c r="DI7" i="32"/>
  <c r="DR6" i="32"/>
  <c r="DQ6" i="32"/>
  <c r="DP6" i="32"/>
  <c r="DO6" i="32"/>
  <c r="DN6" i="32"/>
  <c r="DM6" i="32"/>
  <c r="DL6" i="32"/>
  <c r="DK6" i="32"/>
  <c r="DJ6" i="32"/>
  <c r="DI6" i="32"/>
  <c r="DR5" i="32"/>
  <c r="DQ5" i="32"/>
  <c r="DP5" i="32"/>
  <c r="DO5" i="32"/>
  <c r="DN5" i="32"/>
  <c r="DM5" i="32"/>
  <c r="DL5" i="32"/>
  <c r="DK5" i="32"/>
  <c r="DJ5" i="32"/>
  <c r="DI5" i="32"/>
  <c r="DR4" i="32"/>
  <c r="DQ4" i="32"/>
  <c r="DP4" i="32"/>
  <c r="DO4" i="32"/>
  <c r="DN4" i="32"/>
  <c r="DM4" i="32"/>
  <c r="DL4" i="32"/>
  <c r="DK4" i="32"/>
  <c r="DJ4" i="32"/>
  <c r="DI4" i="32"/>
  <c r="DG42" i="32"/>
  <c r="DF42" i="32"/>
  <c r="DE42" i="32"/>
  <c r="DD42" i="32"/>
  <c r="DC42" i="32"/>
  <c r="DB42" i="32"/>
  <c r="DA42" i="32"/>
  <c r="CZ42" i="32"/>
  <c r="CY42" i="32"/>
  <c r="CX42" i="32"/>
  <c r="DG41" i="32"/>
  <c r="DF41" i="32"/>
  <c r="DE41" i="32"/>
  <c r="DD41" i="32"/>
  <c r="DC41" i="32"/>
  <c r="DB41" i="32"/>
  <c r="DA41" i="32"/>
  <c r="CZ41" i="32"/>
  <c r="CY41" i="32"/>
  <c r="CX41" i="32"/>
  <c r="DG40" i="32"/>
  <c r="DF40" i="32"/>
  <c r="DE40" i="32"/>
  <c r="DD40" i="32"/>
  <c r="DC40" i="32"/>
  <c r="DB40" i="32"/>
  <c r="DA40" i="32"/>
  <c r="CZ40" i="32"/>
  <c r="CY40" i="32"/>
  <c r="CX40" i="32"/>
  <c r="DG39" i="32"/>
  <c r="DF39" i="32"/>
  <c r="DE39" i="32"/>
  <c r="DD39" i="32"/>
  <c r="DC39" i="32"/>
  <c r="DB39" i="32"/>
  <c r="DA39" i="32"/>
  <c r="CZ39" i="32"/>
  <c r="CY39" i="32"/>
  <c r="CX39" i="32"/>
  <c r="DG38" i="32"/>
  <c r="DF38" i="32"/>
  <c r="DE38" i="32"/>
  <c r="DD38" i="32"/>
  <c r="DC38" i="32"/>
  <c r="DB38" i="32"/>
  <c r="DA38" i="32"/>
  <c r="CZ38" i="32"/>
  <c r="CY38" i="32"/>
  <c r="CX38" i="32"/>
  <c r="DG37" i="32"/>
  <c r="DF37" i="32"/>
  <c r="DE37" i="32"/>
  <c r="DD37" i="32"/>
  <c r="DC37" i="32"/>
  <c r="DB37" i="32"/>
  <c r="DA37" i="32"/>
  <c r="CZ37" i="32"/>
  <c r="CY37" i="32"/>
  <c r="CX37" i="32"/>
  <c r="DG36" i="32"/>
  <c r="DF36" i="32"/>
  <c r="DE36" i="32"/>
  <c r="DD36" i="32"/>
  <c r="DC36" i="32"/>
  <c r="DB36" i="32"/>
  <c r="DA36" i="32"/>
  <c r="CZ36" i="32"/>
  <c r="CY36" i="32"/>
  <c r="CX36" i="32"/>
  <c r="DG35" i="32"/>
  <c r="DF35" i="32"/>
  <c r="DE35" i="32"/>
  <c r="DD35" i="32"/>
  <c r="DC35" i="32"/>
  <c r="DB35" i="32"/>
  <c r="DA35" i="32"/>
  <c r="CZ35" i="32"/>
  <c r="CY35" i="32"/>
  <c r="CX35" i="32"/>
  <c r="DG34" i="32"/>
  <c r="DF34" i="32"/>
  <c r="DE34" i="32"/>
  <c r="DD34" i="32"/>
  <c r="DC34" i="32"/>
  <c r="DB34" i="32"/>
  <c r="DA34" i="32"/>
  <c r="CZ34" i="32"/>
  <c r="CY34" i="32"/>
  <c r="CX34" i="32"/>
  <c r="DG33" i="32"/>
  <c r="DF33" i="32"/>
  <c r="DE33" i="32"/>
  <c r="DD33" i="32"/>
  <c r="DC33" i="32"/>
  <c r="DB33" i="32"/>
  <c r="DA33" i="32"/>
  <c r="CZ33" i="32"/>
  <c r="CY33" i="32"/>
  <c r="CX33" i="32"/>
  <c r="DG32" i="32"/>
  <c r="DF32" i="32"/>
  <c r="DE32" i="32"/>
  <c r="DD32" i="32"/>
  <c r="DC32" i="32"/>
  <c r="DB32" i="32"/>
  <c r="DA32" i="32"/>
  <c r="CZ32" i="32"/>
  <c r="CY32" i="32"/>
  <c r="CX32" i="32"/>
  <c r="DG31" i="32"/>
  <c r="DF31" i="32"/>
  <c r="DE31" i="32"/>
  <c r="DD31" i="32"/>
  <c r="DC31" i="32"/>
  <c r="DB31" i="32"/>
  <c r="DA31" i="32"/>
  <c r="CZ31" i="32"/>
  <c r="CY31" i="32"/>
  <c r="CX31" i="32"/>
  <c r="DG30" i="32"/>
  <c r="DF30" i="32"/>
  <c r="DE30" i="32"/>
  <c r="DD30" i="32"/>
  <c r="DC30" i="32"/>
  <c r="DB30" i="32"/>
  <c r="DA30" i="32"/>
  <c r="CZ30" i="32"/>
  <c r="CY30" i="32"/>
  <c r="CX30" i="32"/>
  <c r="DG29" i="32"/>
  <c r="DF29" i="32"/>
  <c r="DE29" i="32"/>
  <c r="DD29" i="32"/>
  <c r="DC29" i="32"/>
  <c r="DB29" i="32"/>
  <c r="DA29" i="32"/>
  <c r="CZ29" i="32"/>
  <c r="CY29" i="32"/>
  <c r="CX29" i="32"/>
  <c r="DG28" i="32"/>
  <c r="DF28" i="32"/>
  <c r="DE28" i="32"/>
  <c r="DD28" i="32"/>
  <c r="DC28" i="32"/>
  <c r="DB28" i="32"/>
  <c r="DA28" i="32"/>
  <c r="CZ28" i="32"/>
  <c r="CY28" i="32"/>
  <c r="CX28" i="32"/>
  <c r="DG27" i="32"/>
  <c r="DF27" i="32"/>
  <c r="DE27" i="32"/>
  <c r="DD27" i="32"/>
  <c r="DC27" i="32"/>
  <c r="DB27" i="32"/>
  <c r="DA27" i="32"/>
  <c r="CZ27" i="32"/>
  <c r="CY27" i="32"/>
  <c r="CX27" i="32"/>
  <c r="DG26" i="32"/>
  <c r="DF26" i="32"/>
  <c r="DE26" i="32"/>
  <c r="DD26" i="32"/>
  <c r="DC26" i="32"/>
  <c r="DB26" i="32"/>
  <c r="DA26" i="32"/>
  <c r="CZ26" i="32"/>
  <c r="CY26" i="32"/>
  <c r="CX26" i="32"/>
  <c r="DG25" i="32"/>
  <c r="DF25" i="32"/>
  <c r="DE25" i="32"/>
  <c r="DD25" i="32"/>
  <c r="DC25" i="32"/>
  <c r="DB25" i="32"/>
  <c r="DA25" i="32"/>
  <c r="CZ25" i="32"/>
  <c r="CY25" i="32"/>
  <c r="CX25" i="32"/>
  <c r="DG24" i="32"/>
  <c r="DF24" i="32"/>
  <c r="DE24" i="32"/>
  <c r="DD24" i="32"/>
  <c r="DC24" i="32"/>
  <c r="DB24" i="32"/>
  <c r="DA24" i="32"/>
  <c r="CZ24" i="32"/>
  <c r="CY24" i="32"/>
  <c r="CX24" i="32"/>
  <c r="DG23" i="32"/>
  <c r="DF23" i="32"/>
  <c r="DE23" i="32"/>
  <c r="DD23" i="32"/>
  <c r="DC23" i="32"/>
  <c r="DB23" i="32"/>
  <c r="DA23" i="32"/>
  <c r="CZ23" i="32"/>
  <c r="CY23" i="32"/>
  <c r="CX23" i="32"/>
  <c r="DG22" i="32"/>
  <c r="DF22" i="32"/>
  <c r="DE22" i="32"/>
  <c r="DD22" i="32"/>
  <c r="DC22" i="32"/>
  <c r="DB22" i="32"/>
  <c r="DA22" i="32"/>
  <c r="CZ22" i="32"/>
  <c r="CY22" i="32"/>
  <c r="CX22" i="32"/>
  <c r="DG21" i="32"/>
  <c r="DF21" i="32"/>
  <c r="DE21" i="32"/>
  <c r="DD21" i="32"/>
  <c r="DC21" i="32"/>
  <c r="DB21" i="32"/>
  <c r="DA21" i="32"/>
  <c r="CZ21" i="32"/>
  <c r="CY21" i="32"/>
  <c r="CX21" i="32"/>
  <c r="DG20" i="32"/>
  <c r="DF20" i="32"/>
  <c r="DE20" i="32"/>
  <c r="DD20" i="32"/>
  <c r="DC20" i="32"/>
  <c r="DB20" i="32"/>
  <c r="DA20" i="32"/>
  <c r="CZ20" i="32"/>
  <c r="CY20" i="32"/>
  <c r="CX20" i="32"/>
  <c r="DG19" i="32"/>
  <c r="DF19" i="32"/>
  <c r="DE19" i="32"/>
  <c r="DD19" i="32"/>
  <c r="DC19" i="32"/>
  <c r="DB19" i="32"/>
  <c r="DA19" i="32"/>
  <c r="CZ19" i="32"/>
  <c r="CY19" i="32"/>
  <c r="CX19" i="32"/>
  <c r="DG18" i="32"/>
  <c r="DF18" i="32"/>
  <c r="DE18" i="32"/>
  <c r="DD18" i="32"/>
  <c r="DC18" i="32"/>
  <c r="DB18" i="32"/>
  <c r="DA18" i="32"/>
  <c r="CZ18" i="32"/>
  <c r="CY18" i="32"/>
  <c r="CX18" i="32"/>
  <c r="DG17" i="32"/>
  <c r="DF17" i="32"/>
  <c r="DE17" i="32"/>
  <c r="DD17" i="32"/>
  <c r="DC17" i="32"/>
  <c r="DB17" i="32"/>
  <c r="DA17" i="32"/>
  <c r="CZ17" i="32"/>
  <c r="CY17" i="32"/>
  <c r="CX17" i="32"/>
  <c r="DG16" i="32"/>
  <c r="DF16" i="32"/>
  <c r="DE16" i="32"/>
  <c r="DD16" i="32"/>
  <c r="DC16" i="32"/>
  <c r="DB16" i="32"/>
  <c r="DA16" i="32"/>
  <c r="CZ16" i="32"/>
  <c r="CY16" i="32"/>
  <c r="CX16" i="32"/>
  <c r="DG15" i="32"/>
  <c r="DF15" i="32"/>
  <c r="DE15" i="32"/>
  <c r="DD15" i="32"/>
  <c r="DC15" i="32"/>
  <c r="DB15" i="32"/>
  <c r="DA15" i="32"/>
  <c r="CZ15" i="32"/>
  <c r="CY15" i="32"/>
  <c r="CX15" i="32"/>
  <c r="DG14" i="32"/>
  <c r="DF14" i="32"/>
  <c r="DE14" i="32"/>
  <c r="DD14" i="32"/>
  <c r="DC14" i="32"/>
  <c r="DB14" i="32"/>
  <c r="DA14" i="32"/>
  <c r="CZ14" i="32"/>
  <c r="CY14" i="32"/>
  <c r="CX14" i="32"/>
  <c r="DG13" i="32"/>
  <c r="DF13" i="32"/>
  <c r="DE13" i="32"/>
  <c r="DD13" i="32"/>
  <c r="DC13" i="32"/>
  <c r="DB13" i="32"/>
  <c r="DA13" i="32"/>
  <c r="CZ13" i="32"/>
  <c r="CY13" i="32"/>
  <c r="CX13" i="32"/>
  <c r="DG12" i="32"/>
  <c r="DF12" i="32"/>
  <c r="DE12" i="32"/>
  <c r="DD12" i="32"/>
  <c r="DC12" i="32"/>
  <c r="DB12" i="32"/>
  <c r="DA12" i="32"/>
  <c r="CZ12" i="32"/>
  <c r="CY12" i="32"/>
  <c r="CX12" i="32"/>
  <c r="DG11" i="32"/>
  <c r="DF11" i="32"/>
  <c r="DE11" i="32"/>
  <c r="DD11" i="32"/>
  <c r="DC11" i="32"/>
  <c r="DB11" i="32"/>
  <c r="DA11" i="32"/>
  <c r="CZ11" i="32"/>
  <c r="CY11" i="32"/>
  <c r="CX11" i="32"/>
  <c r="DG10" i="32"/>
  <c r="DF10" i="32"/>
  <c r="DE10" i="32"/>
  <c r="DD10" i="32"/>
  <c r="DC10" i="32"/>
  <c r="DB10" i="32"/>
  <c r="DA10" i="32"/>
  <c r="CZ10" i="32"/>
  <c r="CY10" i="32"/>
  <c r="CX10" i="32"/>
  <c r="DG9" i="32"/>
  <c r="DF9" i="32"/>
  <c r="DE9" i="32"/>
  <c r="DD9" i="32"/>
  <c r="DC9" i="32"/>
  <c r="DB9" i="32"/>
  <c r="DA9" i="32"/>
  <c r="CZ9" i="32"/>
  <c r="CY9" i="32"/>
  <c r="CX9" i="32"/>
  <c r="DG8" i="32"/>
  <c r="DF8" i="32"/>
  <c r="DE8" i="32"/>
  <c r="DD8" i="32"/>
  <c r="DC8" i="32"/>
  <c r="DB8" i="32"/>
  <c r="DA8" i="32"/>
  <c r="CZ8" i="32"/>
  <c r="CY8" i="32"/>
  <c r="CX8" i="32"/>
  <c r="DG7" i="32"/>
  <c r="DF7" i="32"/>
  <c r="DE7" i="32"/>
  <c r="DD7" i="32"/>
  <c r="DC7" i="32"/>
  <c r="DB7" i="32"/>
  <c r="DA7" i="32"/>
  <c r="CZ7" i="32"/>
  <c r="CY7" i="32"/>
  <c r="CX7" i="32"/>
  <c r="DG6" i="32"/>
  <c r="DF6" i="32"/>
  <c r="DE6" i="32"/>
  <c r="DD6" i="32"/>
  <c r="DC6" i="32"/>
  <c r="DB6" i="32"/>
  <c r="DA6" i="32"/>
  <c r="CZ6" i="32"/>
  <c r="CY6" i="32"/>
  <c r="CX6" i="32"/>
  <c r="DG5" i="32"/>
  <c r="DF5" i="32"/>
  <c r="DE5" i="32"/>
  <c r="DD5" i="32"/>
  <c r="DC5" i="32"/>
  <c r="DB5" i="32"/>
  <c r="DA5" i="32"/>
  <c r="CZ5" i="32"/>
  <c r="CY5" i="32"/>
  <c r="CX5" i="32"/>
  <c r="DG4" i="32"/>
  <c r="DF4" i="32"/>
  <c r="DE4" i="32"/>
  <c r="DD4" i="32"/>
  <c r="DC4" i="32"/>
  <c r="DB4" i="32"/>
  <c r="DA4" i="32"/>
  <c r="CZ4" i="32"/>
  <c r="CY4" i="32"/>
  <c r="CX4" i="32"/>
  <c r="CV42" i="32"/>
  <c r="CU42" i="32"/>
  <c r="CT42" i="32"/>
  <c r="CS42" i="32"/>
  <c r="CR42" i="32"/>
  <c r="CQ42" i="32"/>
  <c r="CP42" i="32"/>
  <c r="CO42" i="32"/>
  <c r="CN42" i="32"/>
  <c r="CM42" i="32"/>
  <c r="CV41" i="32"/>
  <c r="CU41" i="32"/>
  <c r="CT41" i="32"/>
  <c r="CS41" i="32"/>
  <c r="CR41" i="32"/>
  <c r="CQ41" i="32"/>
  <c r="CP41" i="32"/>
  <c r="CO41" i="32"/>
  <c r="CN41" i="32"/>
  <c r="CM41" i="32"/>
  <c r="CV40" i="32"/>
  <c r="CU40" i="32"/>
  <c r="CT40" i="32"/>
  <c r="CS40" i="32"/>
  <c r="CR40" i="32"/>
  <c r="CQ40" i="32"/>
  <c r="CP40" i="32"/>
  <c r="CO40" i="32"/>
  <c r="CN40" i="32"/>
  <c r="CM40" i="32"/>
  <c r="CV39" i="32"/>
  <c r="CU39" i="32"/>
  <c r="CT39" i="32"/>
  <c r="CS39" i="32"/>
  <c r="CR39" i="32"/>
  <c r="CQ39" i="32"/>
  <c r="CP39" i="32"/>
  <c r="CO39" i="32"/>
  <c r="CN39" i="32"/>
  <c r="CM39" i="32"/>
  <c r="CV38" i="32"/>
  <c r="CU38" i="32"/>
  <c r="CT38" i="32"/>
  <c r="CS38" i="32"/>
  <c r="CR38" i="32"/>
  <c r="CQ38" i="32"/>
  <c r="CP38" i="32"/>
  <c r="CO38" i="32"/>
  <c r="CN38" i="32"/>
  <c r="CM38" i="32"/>
  <c r="CV37" i="32"/>
  <c r="CU37" i="32"/>
  <c r="CT37" i="32"/>
  <c r="CS37" i="32"/>
  <c r="CR37" i="32"/>
  <c r="CQ37" i="32"/>
  <c r="CP37" i="32"/>
  <c r="CO37" i="32"/>
  <c r="CN37" i="32"/>
  <c r="CM37" i="32"/>
  <c r="CV36" i="32"/>
  <c r="CU36" i="32"/>
  <c r="CT36" i="32"/>
  <c r="CS36" i="32"/>
  <c r="CR36" i="32"/>
  <c r="CQ36" i="32"/>
  <c r="CP36" i="32"/>
  <c r="CO36" i="32"/>
  <c r="CN36" i="32"/>
  <c r="CM36" i="32"/>
  <c r="CV35" i="32"/>
  <c r="CU35" i="32"/>
  <c r="CT35" i="32"/>
  <c r="CS35" i="32"/>
  <c r="CR35" i="32"/>
  <c r="CQ35" i="32"/>
  <c r="CP35" i="32"/>
  <c r="CO35" i="32"/>
  <c r="CN35" i="32"/>
  <c r="CM35" i="32"/>
  <c r="CV34" i="32"/>
  <c r="CU34" i="32"/>
  <c r="CT34" i="32"/>
  <c r="CS34" i="32"/>
  <c r="CR34" i="32"/>
  <c r="CQ34" i="32"/>
  <c r="CP34" i="32"/>
  <c r="CO34" i="32"/>
  <c r="CN34" i="32"/>
  <c r="CM34" i="32"/>
  <c r="CV33" i="32"/>
  <c r="CU33" i="32"/>
  <c r="CT33" i="32"/>
  <c r="CS33" i="32"/>
  <c r="CR33" i="32"/>
  <c r="CQ33" i="32"/>
  <c r="CP33" i="32"/>
  <c r="CO33" i="32"/>
  <c r="CN33" i="32"/>
  <c r="CM33" i="32"/>
  <c r="CV32" i="32"/>
  <c r="CU32" i="32"/>
  <c r="CT32" i="32"/>
  <c r="CS32" i="32"/>
  <c r="CR32" i="32"/>
  <c r="CQ32" i="32"/>
  <c r="CP32" i="32"/>
  <c r="CO32" i="32"/>
  <c r="CN32" i="32"/>
  <c r="CM32" i="32"/>
  <c r="CV31" i="32"/>
  <c r="CU31" i="32"/>
  <c r="CT31" i="32"/>
  <c r="CS31" i="32"/>
  <c r="CR31" i="32"/>
  <c r="CQ31" i="32"/>
  <c r="CP31" i="32"/>
  <c r="CO31" i="32"/>
  <c r="CN31" i="32"/>
  <c r="CM31" i="32"/>
  <c r="CV30" i="32"/>
  <c r="CU30" i="32"/>
  <c r="CT30" i="32"/>
  <c r="CS30" i="32"/>
  <c r="CR30" i="32"/>
  <c r="CQ30" i="32"/>
  <c r="CP30" i="32"/>
  <c r="CO30" i="32"/>
  <c r="CN30" i="32"/>
  <c r="CM30" i="32"/>
  <c r="CV29" i="32"/>
  <c r="CU29" i="32"/>
  <c r="CT29" i="32"/>
  <c r="CS29" i="32"/>
  <c r="CR29" i="32"/>
  <c r="CQ29" i="32"/>
  <c r="CP29" i="32"/>
  <c r="CO29" i="32"/>
  <c r="CN29" i="32"/>
  <c r="CM29" i="32"/>
  <c r="CV28" i="32"/>
  <c r="CU28" i="32"/>
  <c r="CT28" i="32"/>
  <c r="CS28" i="32"/>
  <c r="CR28" i="32"/>
  <c r="CQ28" i="32"/>
  <c r="CP28" i="32"/>
  <c r="CO28" i="32"/>
  <c r="CN28" i="32"/>
  <c r="CM28" i="32"/>
  <c r="CV27" i="32"/>
  <c r="CU27" i="32"/>
  <c r="CT27" i="32"/>
  <c r="CS27" i="32"/>
  <c r="CR27" i="32"/>
  <c r="CQ27" i="32"/>
  <c r="CP27" i="32"/>
  <c r="CO27" i="32"/>
  <c r="CN27" i="32"/>
  <c r="CM27" i="32"/>
  <c r="CV26" i="32"/>
  <c r="CU26" i="32"/>
  <c r="CT26" i="32"/>
  <c r="CS26" i="32"/>
  <c r="CR26" i="32"/>
  <c r="CQ26" i="32"/>
  <c r="CP26" i="32"/>
  <c r="CO26" i="32"/>
  <c r="CN26" i="32"/>
  <c r="CM26" i="32"/>
  <c r="CV25" i="32"/>
  <c r="CU25" i="32"/>
  <c r="CT25" i="32"/>
  <c r="CS25" i="32"/>
  <c r="CR25" i="32"/>
  <c r="CQ25" i="32"/>
  <c r="CP25" i="32"/>
  <c r="CO25" i="32"/>
  <c r="CN25" i="32"/>
  <c r="CM25" i="32"/>
  <c r="CV24" i="32"/>
  <c r="CU24" i="32"/>
  <c r="CT24" i="32"/>
  <c r="CS24" i="32"/>
  <c r="CR24" i="32"/>
  <c r="CQ24" i="32"/>
  <c r="CP24" i="32"/>
  <c r="CO24" i="32"/>
  <c r="CN24" i="32"/>
  <c r="CM24" i="32"/>
  <c r="CV23" i="32"/>
  <c r="CU23" i="32"/>
  <c r="CT23" i="32"/>
  <c r="CS23" i="32"/>
  <c r="CR23" i="32"/>
  <c r="CQ23" i="32"/>
  <c r="CP23" i="32"/>
  <c r="CO23" i="32"/>
  <c r="CN23" i="32"/>
  <c r="CM23" i="32"/>
  <c r="CV22" i="32"/>
  <c r="CU22" i="32"/>
  <c r="CT22" i="32"/>
  <c r="CS22" i="32"/>
  <c r="CR22" i="32"/>
  <c r="CQ22" i="32"/>
  <c r="CP22" i="32"/>
  <c r="CO22" i="32"/>
  <c r="CN22" i="32"/>
  <c r="CM22" i="32"/>
  <c r="CV21" i="32"/>
  <c r="CU21" i="32"/>
  <c r="CT21" i="32"/>
  <c r="CS21" i="32"/>
  <c r="CR21" i="32"/>
  <c r="CQ21" i="32"/>
  <c r="CP21" i="32"/>
  <c r="CO21" i="32"/>
  <c r="CN21" i="32"/>
  <c r="CM21" i="32"/>
  <c r="CV20" i="32"/>
  <c r="CU20" i="32"/>
  <c r="CT20" i="32"/>
  <c r="CS20" i="32"/>
  <c r="CR20" i="32"/>
  <c r="CQ20" i="32"/>
  <c r="CP20" i="32"/>
  <c r="CO20" i="32"/>
  <c r="CN20" i="32"/>
  <c r="CM20" i="32"/>
  <c r="CV19" i="32"/>
  <c r="CU19" i="32"/>
  <c r="CT19" i="32"/>
  <c r="CS19" i="32"/>
  <c r="CR19" i="32"/>
  <c r="CQ19" i="32"/>
  <c r="CP19" i="32"/>
  <c r="CO19" i="32"/>
  <c r="CN19" i="32"/>
  <c r="CM19" i="32"/>
  <c r="CV18" i="32"/>
  <c r="CU18" i="32"/>
  <c r="CT18" i="32"/>
  <c r="CS18" i="32"/>
  <c r="CR18" i="32"/>
  <c r="CQ18" i="32"/>
  <c r="CP18" i="32"/>
  <c r="CO18" i="32"/>
  <c r="CN18" i="32"/>
  <c r="CM18" i="32"/>
  <c r="CV17" i="32"/>
  <c r="CU17" i="32"/>
  <c r="CT17" i="32"/>
  <c r="CS17" i="32"/>
  <c r="CR17" i="32"/>
  <c r="CQ17" i="32"/>
  <c r="CP17" i="32"/>
  <c r="CO17" i="32"/>
  <c r="CN17" i="32"/>
  <c r="CM17" i="32"/>
  <c r="CV16" i="32"/>
  <c r="CU16" i="32"/>
  <c r="CT16" i="32"/>
  <c r="CS16" i="32"/>
  <c r="CR16" i="32"/>
  <c r="CQ16" i="32"/>
  <c r="CP16" i="32"/>
  <c r="CO16" i="32"/>
  <c r="CN16" i="32"/>
  <c r="CM16" i="32"/>
  <c r="CV15" i="32"/>
  <c r="CU15" i="32"/>
  <c r="CT15" i="32"/>
  <c r="CS15" i="32"/>
  <c r="CR15" i="32"/>
  <c r="CQ15" i="32"/>
  <c r="CP15" i="32"/>
  <c r="CO15" i="32"/>
  <c r="CN15" i="32"/>
  <c r="CM15" i="32"/>
  <c r="CV14" i="32"/>
  <c r="CU14" i="32"/>
  <c r="CT14" i="32"/>
  <c r="CS14" i="32"/>
  <c r="CR14" i="32"/>
  <c r="CQ14" i="32"/>
  <c r="CP14" i="32"/>
  <c r="CO14" i="32"/>
  <c r="CN14" i="32"/>
  <c r="CM14" i="32"/>
  <c r="CV13" i="32"/>
  <c r="CU13" i="32"/>
  <c r="CT13" i="32"/>
  <c r="CS13" i="32"/>
  <c r="CR13" i="32"/>
  <c r="CQ13" i="32"/>
  <c r="CP13" i="32"/>
  <c r="CO13" i="32"/>
  <c r="CN13" i="32"/>
  <c r="CM13" i="32"/>
  <c r="CV12" i="32"/>
  <c r="CU12" i="32"/>
  <c r="CT12" i="32"/>
  <c r="CS12" i="32"/>
  <c r="CR12" i="32"/>
  <c r="CQ12" i="32"/>
  <c r="CP12" i="32"/>
  <c r="CO12" i="32"/>
  <c r="CN12" i="32"/>
  <c r="CM12" i="32"/>
  <c r="CV11" i="32"/>
  <c r="CU11" i="32"/>
  <c r="CT11" i="32"/>
  <c r="CS11" i="32"/>
  <c r="CR11" i="32"/>
  <c r="CQ11" i="32"/>
  <c r="CP11" i="32"/>
  <c r="CO11" i="32"/>
  <c r="CN11" i="32"/>
  <c r="CM11" i="32"/>
  <c r="CV10" i="32"/>
  <c r="CU10" i="32"/>
  <c r="CT10" i="32"/>
  <c r="CS10" i="32"/>
  <c r="CR10" i="32"/>
  <c r="CQ10" i="32"/>
  <c r="CP10" i="32"/>
  <c r="CO10" i="32"/>
  <c r="CN10" i="32"/>
  <c r="CM10" i="32"/>
  <c r="CV9" i="32"/>
  <c r="CU9" i="32"/>
  <c r="CT9" i="32"/>
  <c r="CS9" i="32"/>
  <c r="CR9" i="32"/>
  <c r="CQ9" i="32"/>
  <c r="CP9" i="32"/>
  <c r="CO9" i="32"/>
  <c r="CN9" i="32"/>
  <c r="CM9" i="32"/>
  <c r="CV8" i="32"/>
  <c r="CU8" i="32"/>
  <c r="CT8" i="32"/>
  <c r="CS8" i="32"/>
  <c r="CR8" i="32"/>
  <c r="CQ8" i="32"/>
  <c r="CP8" i="32"/>
  <c r="CO8" i="32"/>
  <c r="CN8" i="32"/>
  <c r="CM8" i="32"/>
  <c r="CV7" i="32"/>
  <c r="CU7" i="32"/>
  <c r="CT7" i="32"/>
  <c r="CS7" i="32"/>
  <c r="CR7" i="32"/>
  <c r="CQ7" i="32"/>
  <c r="CP7" i="32"/>
  <c r="CO7" i="32"/>
  <c r="CN7" i="32"/>
  <c r="CM7" i="32"/>
  <c r="CV6" i="32"/>
  <c r="CU6" i="32"/>
  <c r="CT6" i="32"/>
  <c r="CS6" i="32"/>
  <c r="CR6" i="32"/>
  <c r="CQ6" i="32"/>
  <c r="CP6" i="32"/>
  <c r="CO6" i="32"/>
  <c r="CN6" i="32"/>
  <c r="CM6" i="32"/>
  <c r="CV5" i="32"/>
  <c r="CU5" i="32"/>
  <c r="CT5" i="32"/>
  <c r="CS5" i="32"/>
  <c r="CR5" i="32"/>
  <c r="CQ5" i="32"/>
  <c r="CP5" i="32"/>
  <c r="CO5" i="32"/>
  <c r="CN5" i="32"/>
  <c r="CM5" i="32"/>
  <c r="CV4" i="32"/>
  <c r="CU4" i="32"/>
  <c r="CT4" i="32"/>
  <c r="CS4" i="32"/>
  <c r="CR4" i="32"/>
  <c r="CQ4" i="32"/>
  <c r="CP4" i="32"/>
  <c r="CO4" i="32"/>
  <c r="CN4" i="32"/>
  <c r="CM4" i="32"/>
  <c r="CK42" i="32"/>
  <c r="CJ42" i="32"/>
  <c r="CI42" i="32"/>
  <c r="CH42" i="32"/>
  <c r="CG42" i="32"/>
  <c r="CF42" i="32"/>
  <c r="CE42" i="32"/>
  <c r="CD42" i="32"/>
  <c r="CC42" i="32"/>
  <c r="CB42" i="32"/>
  <c r="CK41" i="32"/>
  <c r="CJ41" i="32"/>
  <c r="CI41" i="32"/>
  <c r="CH41" i="32"/>
  <c r="CG41" i="32"/>
  <c r="CF41" i="32"/>
  <c r="CE41" i="32"/>
  <c r="CD41" i="32"/>
  <c r="CC41" i="32"/>
  <c r="CB41" i="32"/>
  <c r="CK40" i="32"/>
  <c r="CJ40" i="32"/>
  <c r="CI40" i="32"/>
  <c r="CH40" i="32"/>
  <c r="CG40" i="32"/>
  <c r="CF40" i="32"/>
  <c r="CE40" i="32"/>
  <c r="CD40" i="32"/>
  <c r="CC40" i="32"/>
  <c r="CB40" i="32"/>
  <c r="CK39" i="32"/>
  <c r="CJ39" i="32"/>
  <c r="CI39" i="32"/>
  <c r="CH39" i="32"/>
  <c r="CG39" i="32"/>
  <c r="CF39" i="32"/>
  <c r="CE39" i="32"/>
  <c r="CD39" i="32"/>
  <c r="CC39" i="32"/>
  <c r="CB39" i="32"/>
  <c r="CK38" i="32"/>
  <c r="CJ38" i="32"/>
  <c r="CI38" i="32"/>
  <c r="CH38" i="32"/>
  <c r="CG38" i="32"/>
  <c r="CF38" i="32"/>
  <c r="CE38" i="32"/>
  <c r="CD38" i="32"/>
  <c r="CC38" i="32"/>
  <c r="CB38" i="32"/>
  <c r="CK37" i="32"/>
  <c r="CJ37" i="32"/>
  <c r="CI37" i="32"/>
  <c r="CH37" i="32"/>
  <c r="CG37" i="32"/>
  <c r="CF37" i="32"/>
  <c r="CE37" i="32"/>
  <c r="CD37" i="32"/>
  <c r="CC37" i="32"/>
  <c r="CB37" i="32"/>
  <c r="CK36" i="32"/>
  <c r="CJ36" i="32"/>
  <c r="CI36" i="32"/>
  <c r="CH36" i="32"/>
  <c r="CG36" i="32"/>
  <c r="CF36" i="32"/>
  <c r="CE36" i="32"/>
  <c r="CD36" i="32"/>
  <c r="CC36" i="32"/>
  <c r="CB36" i="32"/>
  <c r="CK35" i="32"/>
  <c r="CJ35" i="32"/>
  <c r="CI35" i="32"/>
  <c r="CH35" i="32"/>
  <c r="CG35" i="32"/>
  <c r="CF35" i="32"/>
  <c r="CE35" i="32"/>
  <c r="CD35" i="32"/>
  <c r="CC35" i="32"/>
  <c r="CB35" i="32"/>
  <c r="CK34" i="32"/>
  <c r="CJ34" i="32"/>
  <c r="CI34" i="32"/>
  <c r="CH34" i="32"/>
  <c r="CG34" i="32"/>
  <c r="CF34" i="32"/>
  <c r="CE34" i="32"/>
  <c r="CD34" i="32"/>
  <c r="CC34" i="32"/>
  <c r="CB34" i="32"/>
  <c r="CK33" i="32"/>
  <c r="CJ33" i="32"/>
  <c r="CI33" i="32"/>
  <c r="CH33" i="32"/>
  <c r="CG33" i="32"/>
  <c r="CF33" i="32"/>
  <c r="CE33" i="32"/>
  <c r="CD33" i="32"/>
  <c r="CC33" i="32"/>
  <c r="CB33" i="32"/>
  <c r="CK32" i="32"/>
  <c r="CJ32" i="32"/>
  <c r="CI32" i="32"/>
  <c r="CH32" i="32"/>
  <c r="CG32" i="32"/>
  <c r="CF32" i="32"/>
  <c r="CE32" i="32"/>
  <c r="CD32" i="32"/>
  <c r="CC32" i="32"/>
  <c r="CB32" i="32"/>
  <c r="CK31" i="32"/>
  <c r="CJ31" i="32"/>
  <c r="CI31" i="32"/>
  <c r="CH31" i="32"/>
  <c r="CG31" i="32"/>
  <c r="CF31" i="32"/>
  <c r="CE31" i="32"/>
  <c r="CD31" i="32"/>
  <c r="CC31" i="32"/>
  <c r="CB31" i="32"/>
  <c r="CK30" i="32"/>
  <c r="CJ30" i="32"/>
  <c r="CI30" i="32"/>
  <c r="CH30" i="32"/>
  <c r="CG30" i="32"/>
  <c r="CF30" i="32"/>
  <c r="CE30" i="32"/>
  <c r="CD30" i="32"/>
  <c r="CC30" i="32"/>
  <c r="CB30" i="32"/>
  <c r="CK29" i="32"/>
  <c r="CJ29" i="32"/>
  <c r="CI29" i="32"/>
  <c r="CH29" i="32"/>
  <c r="CG29" i="32"/>
  <c r="CF29" i="32"/>
  <c r="CE29" i="32"/>
  <c r="CD29" i="32"/>
  <c r="CC29" i="32"/>
  <c r="CB29" i="32"/>
  <c r="CK28" i="32"/>
  <c r="CJ28" i="32"/>
  <c r="CI28" i="32"/>
  <c r="CH28" i="32"/>
  <c r="CG28" i="32"/>
  <c r="CF28" i="32"/>
  <c r="CE28" i="32"/>
  <c r="CD28" i="32"/>
  <c r="CC28" i="32"/>
  <c r="CB28" i="32"/>
  <c r="CK27" i="32"/>
  <c r="CJ27" i="32"/>
  <c r="CI27" i="32"/>
  <c r="CH27" i="32"/>
  <c r="CG27" i="32"/>
  <c r="CF27" i="32"/>
  <c r="CE27" i="32"/>
  <c r="CD27" i="32"/>
  <c r="CC27" i="32"/>
  <c r="CB27" i="32"/>
  <c r="CK26" i="32"/>
  <c r="CJ26" i="32"/>
  <c r="CI26" i="32"/>
  <c r="CH26" i="32"/>
  <c r="CG26" i="32"/>
  <c r="CF26" i="32"/>
  <c r="CE26" i="32"/>
  <c r="CD26" i="32"/>
  <c r="CC26" i="32"/>
  <c r="CB26" i="32"/>
  <c r="CK25" i="32"/>
  <c r="CJ25" i="32"/>
  <c r="CI25" i="32"/>
  <c r="CH25" i="32"/>
  <c r="CG25" i="32"/>
  <c r="CF25" i="32"/>
  <c r="CE25" i="32"/>
  <c r="CD25" i="32"/>
  <c r="CC25" i="32"/>
  <c r="CB25" i="32"/>
  <c r="CK24" i="32"/>
  <c r="CJ24" i="32"/>
  <c r="CI24" i="32"/>
  <c r="CH24" i="32"/>
  <c r="CG24" i="32"/>
  <c r="CF24" i="32"/>
  <c r="CE24" i="32"/>
  <c r="CD24" i="32"/>
  <c r="CC24" i="32"/>
  <c r="CB24" i="32"/>
  <c r="CK23" i="32"/>
  <c r="CJ23" i="32"/>
  <c r="CI23" i="32"/>
  <c r="CH23" i="32"/>
  <c r="CG23" i="32"/>
  <c r="CF23" i="32"/>
  <c r="CE23" i="32"/>
  <c r="CD23" i="32"/>
  <c r="CC23" i="32"/>
  <c r="CB23" i="32"/>
  <c r="CK22" i="32"/>
  <c r="CJ22" i="32"/>
  <c r="CI22" i="32"/>
  <c r="CH22" i="32"/>
  <c r="CG22" i="32"/>
  <c r="CF22" i="32"/>
  <c r="CE22" i="32"/>
  <c r="CD22" i="32"/>
  <c r="CC22" i="32"/>
  <c r="CB22" i="32"/>
  <c r="CK21" i="32"/>
  <c r="CJ21" i="32"/>
  <c r="CI21" i="32"/>
  <c r="CH21" i="32"/>
  <c r="CG21" i="32"/>
  <c r="CF21" i="32"/>
  <c r="CE21" i="32"/>
  <c r="CD21" i="32"/>
  <c r="CC21" i="32"/>
  <c r="CB21" i="32"/>
  <c r="CK20" i="32"/>
  <c r="CJ20" i="32"/>
  <c r="CI20" i="32"/>
  <c r="CH20" i="32"/>
  <c r="CG20" i="32"/>
  <c r="CF20" i="32"/>
  <c r="CE20" i="32"/>
  <c r="CD20" i="32"/>
  <c r="CC20" i="32"/>
  <c r="CB20" i="32"/>
  <c r="CK19" i="32"/>
  <c r="CJ19" i="32"/>
  <c r="CI19" i="32"/>
  <c r="CH19" i="32"/>
  <c r="CG19" i="32"/>
  <c r="CF19" i="32"/>
  <c r="CE19" i="32"/>
  <c r="CD19" i="32"/>
  <c r="CC19" i="32"/>
  <c r="CB19" i="32"/>
  <c r="CK18" i="32"/>
  <c r="CJ18" i="32"/>
  <c r="CI18" i="32"/>
  <c r="CH18" i="32"/>
  <c r="CG18" i="32"/>
  <c r="CF18" i="32"/>
  <c r="CE18" i="32"/>
  <c r="CD18" i="32"/>
  <c r="CC18" i="32"/>
  <c r="CB18" i="32"/>
  <c r="CK17" i="32"/>
  <c r="CJ17" i="32"/>
  <c r="CI17" i="32"/>
  <c r="CH17" i="32"/>
  <c r="CG17" i="32"/>
  <c r="CF17" i="32"/>
  <c r="CE17" i="32"/>
  <c r="CD17" i="32"/>
  <c r="CC17" i="32"/>
  <c r="CB17" i="32"/>
  <c r="CK16" i="32"/>
  <c r="CJ16" i="32"/>
  <c r="CI16" i="32"/>
  <c r="CH16" i="32"/>
  <c r="CG16" i="32"/>
  <c r="CF16" i="32"/>
  <c r="CE16" i="32"/>
  <c r="CD16" i="32"/>
  <c r="CC16" i="32"/>
  <c r="CB16" i="32"/>
  <c r="CK15" i="32"/>
  <c r="CJ15" i="32"/>
  <c r="CI15" i="32"/>
  <c r="CH15" i="32"/>
  <c r="CG15" i="32"/>
  <c r="CF15" i="32"/>
  <c r="CE15" i="32"/>
  <c r="CD15" i="32"/>
  <c r="CC15" i="32"/>
  <c r="CB15" i="32"/>
  <c r="CK14" i="32"/>
  <c r="CJ14" i="32"/>
  <c r="CI14" i="32"/>
  <c r="CH14" i="32"/>
  <c r="CG14" i="32"/>
  <c r="CF14" i="32"/>
  <c r="CE14" i="32"/>
  <c r="CD14" i="32"/>
  <c r="CC14" i="32"/>
  <c r="CB14" i="32"/>
  <c r="CK13" i="32"/>
  <c r="CJ13" i="32"/>
  <c r="CI13" i="32"/>
  <c r="CH13" i="32"/>
  <c r="CG13" i="32"/>
  <c r="CF13" i="32"/>
  <c r="CE13" i="32"/>
  <c r="CD13" i="32"/>
  <c r="CC13" i="32"/>
  <c r="CB13" i="32"/>
  <c r="CK12" i="32"/>
  <c r="CJ12" i="32"/>
  <c r="CI12" i="32"/>
  <c r="CH12" i="32"/>
  <c r="CG12" i="32"/>
  <c r="CF12" i="32"/>
  <c r="CE12" i="32"/>
  <c r="CD12" i="32"/>
  <c r="CC12" i="32"/>
  <c r="CB12" i="32"/>
  <c r="CK11" i="32"/>
  <c r="CJ11" i="32"/>
  <c r="CI11" i="32"/>
  <c r="CH11" i="32"/>
  <c r="CG11" i="32"/>
  <c r="CF11" i="32"/>
  <c r="CE11" i="32"/>
  <c r="CD11" i="32"/>
  <c r="CC11" i="32"/>
  <c r="CB11" i="32"/>
  <c r="CK10" i="32"/>
  <c r="CJ10" i="32"/>
  <c r="CI10" i="32"/>
  <c r="CH10" i="32"/>
  <c r="CG10" i="32"/>
  <c r="CF10" i="32"/>
  <c r="CE10" i="32"/>
  <c r="CD10" i="32"/>
  <c r="CC10" i="32"/>
  <c r="CB10" i="32"/>
  <c r="CK9" i="32"/>
  <c r="CJ9" i="32"/>
  <c r="CI9" i="32"/>
  <c r="CH9" i="32"/>
  <c r="CG9" i="32"/>
  <c r="CF9" i="32"/>
  <c r="CE9" i="32"/>
  <c r="CD9" i="32"/>
  <c r="CC9" i="32"/>
  <c r="CB9" i="32"/>
  <c r="CK8" i="32"/>
  <c r="CJ8" i="32"/>
  <c r="CI8" i="32"/>
  <c r="CH8" i="32"/>
  <c r="CG8" i="32"/>
  <c r="CF8" i="32"/>
  <c r="CE8" i="32"/>
  <c r="CD8" i="32"/>
  <c r="CC8" i="32"/>
  <c r="CB8" i="32"/>
  <c r="CK7" i="32"/>
  <c r="CJ7" i="32"/>
  <c r="CI7" i="32"/>
  <c r="CH7" i="32"/>
  <c r="CG7" i="32"/>
  <c r="CF7" i="32"/>
  <c r="CE7" i="32"/>
  <c r="CD7" i="32"/>
  <c r="CC7" i="32"/>
  <c r="CB7" i="32"/>
  <c r="CK6" i="32"/>
  <c r="CJ6" i="32"/>
  <c r="CI6" i="32"/>
  <c r="CH6" i="32"/>
  <c r="CG6" i="32"/>
  <c r="CF6" i="32"/>
  <c r="CE6" i="32"/>
  <c r="CD6" i="32"/>
  <c r="CC6" i="32"/>
  <c r="CB6" i="32"/>
  <c r="CK5" i="32"/>
  <c r="CJ5" i="32"/>
  <c r="CI5" i="32"/>
  <c r="CH5" i="32"/>
  <c r="CG5" i="32"/>
  <c r="CF5" i="32"/>
  <c r="CE5" i="32"/>
  <c r="CD5" i="32"/>
  <c r="CC5" i="32"/>
  <c r="CB5" i="32"/>
  <c r="CK4" i="32"/>
  <c r="CJ4" i="32"/>
  <c r="CI4" i="32"/>
  <c r="CH4" i="32"/>
  <c r="CG4" i="32"/>
  <c r="CF4" i="32"/>
  <c r="CE4" i="32"/>
  <c r="CD4" i="32"/>
  <c r="CC4" i="32"/>
  <c r="CB4" i="32"/>
  <c r="BZ42" i="32"/>
  <c r="BY42" i="32"/>
  <c r="BX42" i="32"/>
  <c r="BW42" i="32"/>
  <c r="BV42" i="32"/>
  <c r="BU42" i="32"/>
  <c r="BT42" i="32"/>
  <c r="BS42" i="32"/>
  <c r="BR42" i="32"/>
  <c r="BQ42" i="32"/>
  <c r="BZ41" i="32"/>
  <c r="BY41" i="32"/>
  <c r="BX41" i="32"/>
  <c r="BW41" i="32"/>
  <c r="BV41" i="32"/>
  <c r="BU41" i="32"/>
  <c r="BT41" i="32"/>
  <c r="BS41" i="32"/>
  <c r="BR41" i="32"/>
  <c r="BQ41" i="32"/>
  <c r="BZ40" i="32"/>
  <c r="BY40" i="32"/>
  <c r="BX40" i="32"/>
  <c r="BW40" i="32"/>
  <c r="BV40" i="32"/>
  <c r="BU40" i="32"/>
  <c r="BT40" i="32"/>
  <c r="BS40" i="32"/>
  <c r="BR40" i="32"/>
  <c r="BQ40" i="32"/>
  <c r="BZ39" i="32"/>
  <c r="BY39" i="32"/>
  <c r="BX39" i="32"/>
  <c r="BW39" i="32"/>
  <c r="BV39" i="32"/>
  <c r="BU39" i="32"/>
  <c r="BT39" i="32"/>
  <c r="BS39" i="32"/>
  <c r="BR39" i="32"/>
  <c r="BQ39" i="32"/>
  <c r="BZ38" i="32"/>
  <c r="BY38" i="32"/>
  <c r="BX38" i="32"/>
  <c r="BW38" i="32"/>
  <c r="BV38" i="32"/>
  <c r="BU38" i="32"/>
  <c r="BT38" i="32"/>
  <c r="BS38" i="32"/>
  <c r="BR38" i="32"/>
  <c r="BQ38" i="32"/>
  <c r="BZ37" i="32"/>
  <c r="BY37" i="32"/>
  <c r="BX37" i="32"/>
  <c r="BW37" i="32"/>
  <c r="BV37" i="32"/>
  <c r="BU37" i="32"/>
  <c r="BT37" i="32"/>
  <c r="BS37" i="32"/>
  <c r="BR37" i="32"/>
  <c r="BQ37" i="32"/>
  <c r="BZ36" i="32"/>
  <c r="BY36" i="32"/>
  <c r="BX36" i="32"/>
  <c r="BW36" i="32"/>
  <c r="BV36" i="32"/>
  <c r="BU36" i="32"/>
  <c r="BT36" i="32"/>
  <c r="BS36" i="32"/>
  <c r="BR36" i="32"/>
  <c r="BQ36" i="32"/>
  <c r="BZ35" i="32"/>
  <c r="BY35" i="32"/>
  <c r="BX35" i="32"/>
  <c r="BW35" i="32"/>
  <c r="BV35" i="32"/>
  <c r="BU35" i="32"/>
  <c r="BT35" i="32"/>
  <c r="BS35" i="32"/>
  <c r="BR35" i="32"/>
  <c r="BQ35" i="32"/>
  <c r="BZ34" i="32"/>
  <c r="BY34" i="32"/>
  <c r="BX34" i="32"/>
  <c r="BW34" i="32"/>
  <c r="BV34" i="32"/>
  <c r="BU34" i="32"/>
  <c r="BT34" i="32"/>
  <c r="BS34" i="32"/>
  <c r="BR34" i="32"/>
  <c r="BQ34" i="32"/>
  <c r="BZ33" i="32"/>
  <c r="BY33" i="32"/>
  <c r="BX33" i="32"/>
  <c r="BW33" i="32"/>
  <c r="BV33" i="32"/>
  <c r="BU33" i="32"/>
  <c r="BT33" i="32"/>
  <c r="BS33" i="32"/>
  <c r="BR33" i="32"/>
  <c r="BQ33" i="32"/>
  <c r="BZ32" i="32"/>
  <c r="BY32" i="32"/>
  <c r="BX32" i="32"/>
  <c r="BW32" i="32"/>
  <c r="BV32" i="32"/>
  <c r="BU32" i="32"/>
  <c r="BT32" i="32"/>
  <c r="BS32" i="32"/>
  <c r="BR32" i="32"/>
  <c r="BQ32" i="32"/>
  <c r="BZ31" i="32"/>
  <c r="BY31" i="32"/>
  <c r="BX31" i="32"/>
  <c r="BW31" i="32"/>
  <c r="BV31" i="32"/>
  <c r="BU31" i="32"/>
  <c r="BT31" i="32"/>
  <c r="BS31" i="32"/>
  <c r="BR31" i="32"/>
  <c r="BQ31" i="32"/>
  <c r="BZ30" i="32"/>
  <c r="BY30" i="32"/>
  <c r="BX30" i="32"/>
  <c r="BW30" i="32"/>
  <c r="BV30" i="32"/>
  <c r="BU30" i="32"/>
  <c r="BT30" i="32"/>
  <c r="BS30" i="32"/>
  <c r="BR30" i="32"/>
  <c r="BQ30" i="32"/>
  <c r="BZ29" i="32"/>
  <c r="BY29" i="32"/>
  <c r="BX29" i="32"/>
  <c r="BW29" i="32"/>
  <c r="BV29" i="32"/>
  <c r="BU29" i="32"/>
  <c r="BT29" i="32"/>
  <c r="BS29" i="32"/>
  <c r="BR29" i="32"/>
  <c r="BQ29" i="32"/>
  <c r="BZ28" i="32"/>
  <c r="BY28" i="32"/>
  <c r="BX28" i="32"/>
  <c r="BW28" i="32"/>
  <c r="BV28" i="32"/>
  <c r="BU28" i="32"/>
  <c r="BT28" i="32"/>
  <c r="BS28" i="32"/>
  <c r="BR28" i="32"/>
  <c r="BQ28" i="32"/>
  <c r="BZ27" i="32"/>
  <c r="BY27" i="32"/>
  <c r="BX27" i="32"/>
  <c r="BW27" i="32"/>
  <c r="BV27" i="32"/>
  <c r="BU27" i="32"/>
  <c r="BT27" i="32"/>
  <c r="BS27" i="32"/>
  <c r="BR27" i="32"/>
  <c r="BQ27" i="32"/>
  <c r="BZ26" i="32"/>
  <c r="BY26" i="32"/>
  <c r="BX26" i="32"/>
  <c r="BW26" i="32"/>
  <c r="BV26" i="32"/>
  <c r="BU26" i="32"/>
  <c r="BT26" i="32"/>
  <c r="BS26" i="32"/>
  <c r="BR26" i="32"/>
  <c r="BQ26" i="32"/>
  <c r="BZ25" i="32"/>
  <c r="BY25" i="32"/>
  <c r="BX25" i="32"/>
  <c r="BW25" i="32"/>
  <c r="BV25" i="32"/>
  <c r="BU25" i="32"/>
  <c r="BT25" i="32"/>
  <c r="BS25" i="32"/>
  <c r="BR25" i="32"/>
  <c r="BQ25" i="32"/>
  <c r="BZ24" i="32"/>
  <c r="BY24" i="32"/>
  <c r="BX24" i="32"/>
  <c r="BW24" i="32"/>
  <c r="BV24" i="32"/>
  <c r="BU24" i="32"/>
  <c r="BT24" i="32"/>
  <c r="BS24" i="32"/>
  <c r="BR24" i="32"/>
  <c r="BQ24" i="32"/>
  <c r="BZ23" i="32"/>
  <c r="BY23" i="32"/>
  <c r="BX23" i="32"/>
  <c r="BW23" i="32"/>
  <c r="BV23" i="32"/>
  <c r="BU23" i="32"/>
  <c r="BT23" i="32"/>
  <c r="BS23" i="32"/>
  <c r="BR23" i="32"/>
  <c r="BQ23" i="32"/>
  <c r="BZ22" i="32"/>
  <c r="BY22" i="32"/>
  <c r="BX22" i="32"/>
  <c r="BW22" i="32"/>
  <c r="BV22" i="32"/>
  <c r="BU22" i="32"/>
  <c r="BT22" i="32"/>
  <c r="BS22" i="32"/>
  <c r="BR22" i="32"/>
  <c r="BQ22" i="32"/>
  <c r="BZ21" i="32"/>
  <c r="BY21" i="32"/>
  <c r="BX21" i="32"/>
  <c r="BW21" i="32"/>
  <c r="BV21" i="32"/>
  <c r="BU21" i="32"/>
  <c r="BT21" i="32"/>
  <c r="BS21" i="32"/>
  <c r="BR21" i="32"/>
  <c r="BQ21" i="32"/>
  <c r="BZ20" i="32"/>
  <c r="BY20" i="32"/>
  <c r="BX20" i="32"/>
  <c r="BW20" i="32"/>
  <c r="BV20" i="32"/>
  <c r="BU20" i="32"/>
  <c r="BT20" i="32"/>
  <c r="BS20" i="32"/>
  <c r="BR20" i="32"/>
  <c r="BQ20" i="32"/>
  <c r="BZ19" i="32"/>
  <c r="BY19" i="32"/>
  <c r="BX19" i="32"/>
  <c r="BW19" i="32"/>
  <c r="BV19" i="32"/>
  <c r="BU19" i="32"/>
  <c r="BT19" i="32"/>
  <c r="BS19" i="32"/>
  <c r="BR19" i="32"/>
  <c r="BQ19" i="32"/>
  <c r="BZ18" i="32"/>
  <c r="BY18" i="32"/>
  <c r="BX18" i="32"/>
  <c r="BW18" i="32"/>
  <c r="BV18" i="32"/>
  <c r="BU18" i="32"/>
  <c r="BT18" i="32"/>
  <c r="BS18" i="32"/>
  <c r="BR18" i="32"/>
  <c r="BQ18" i="32"/>
  <c r="BZ17" i="32"/>
  <c r="BY17" i="32"/>
  <c r="BX17" i="32"/>
  <c r="BW17" i="32"/>
  <c r="BV17" i="32"/>
  <c r="BU17" i="32"/>
  <c r="BT17" i="32"/>
  <c r="BS17" i="32"/>
  <c r="BR17" i="32"/>
  <c r="BQ17" i="32"/>
  <c r="BZ16" i="32"/>
  <c r="BY16" i="32"/>
  <c r="BX16" i="32"/>
  <c r="BW16" i="32"/>
  <c r="BV16" i="32"/>
  <c r="BU16" i="32"/>
  <c r="BT16" i="32"/>
  <c r="BS16" i="32"/>
  <c r="BR16" i="32"/>
  <c r="BQ16" i="32"/>
  <c r="BZ15" i="32"/>
  <c r="BY15" i="32"/>
  <c r="BX15" i="32"/>
  <c r="BW15" i="32"/>
  <c r="BV15" i="32"/>
  <c r="BU15" i="32"/>
  <c r="BT15" i="32"/>
  <c r="BS15" i="32"/>
  <c r="BR15" i="32"/>
  <c r="BQ15" i="32"/>
  <c r="BZ14" i="32"/>
  <c r="BY14" i="32"/>
  <c r="BX14" i="32"/>
  <c r="BW14" i="32"/>
  <c r="BV14" i="32"/>
  <c r="BU14" i="32"/>
  <c r="BT14" i="32"/>
  <c r="BS14" i="32"/>
  <c r="BR14" i="32"/>
  <c r="BQ14" i="32"/>
  <c r="BZ13" i="32"/>
  <c r="BY13" i="32"/>
  <c r="BX13" i="32"/>
  <c r="BW13" i="32"/>
  <c r="BV13" i="32"/>
  <c r="BU13" i="32"/>
  <c r="BT13" i="32"/>
  <c r="BS13" i="32"/>
  <c r="BR13" i="32"/>
  <c r="BQ13" i="32"/>
  <c r="BZ12" i="32"/>
  <c r="BY12" i="32"/>
  <c r="BX12" i="32"/>
  <c r="BW12" i="32"/>
  <c r="BV12" i="32"/>
  <c r="BU12" i="32"/>
  <c r="BT12" i="32"/>
  <c r="BS12" i="32"/>
  <c r="BR12" i="32"/>
  <c r="BQ12" i="32"/>
  <c r="BZ11" i="32"/>
  <c r="BY11" i="32"/>
  <c r="BX11" i="32"/>
  <c r="BW11" i="32"/>
  <c r="BV11" i="32"/>
  <c r="BU11" i="32"/>
  <c r="BT11" i="32"/>
  <c r="BS11" i="32"/>
  <c r="BR11" i="32"/>
  <c r="BQ11" i="32"/>
  <c r="BZ10" i="32"/>
  <c r="BY10" i="32"/>
  <c r="BX10" i="32"/>
  <c r="BW10" i="32"/>
  <c r="BV10" i="32"/>
  <c r="BU10" i="32"/>
  <c r="BT10" i="32"/>
  <c r="BS10" i="32"/>
  <c r="BR10" i="32"/>
  <c r="BQ10" i="32"/>
  <c r="BZ9" i="32"/>
  <c r="BY9" i="32"/>
  <c r="BX9" i="32"/>
  <c r="BW9" i="32"/>
  <c r="BV9" i="32"/>
  <c r="BU9" i="32"/>
  <c r="BT9" i="32"/>
  <c r="BS9" i="32"/>
  <c r="BR9" i="32"/>
  <c r="BQ9" i="32"/>
  <c r="BZ8" i="32"/>
  <c r="BY8" i="32"/>
  <c r="BX8" i="32"/>
  <c r="BW8" i="32"/>
  <c r="BV8" i="32"/>
  <c r="BU8" i="32"/>
  <c r="BT8" i="32"/>
  <c r="BS8" i="32"/>
  <c r="BR8" i="32"/>
  <c r="BQ8" i="32"/>
  <c r="BZ7" i="32"/>
  <c r="BY7" i="32"/>
  <c r="BX7" i="32"/>
  <c r="BW7" i="32"/>
  <c r="BV7" i="32"/>
  <c r="BU7" i="32"/>
  <c r="BT7" i="32"/>
  <c r="BS7" i="32"/>
  <c r="BR7" i="32"/>
  <c r="BQ7" i="32"/>
  <c r="BZ6" i="32"/>
  <c r="BY6" i="32"/>
  <c r="BX6" i="32"/>
  <c r="BW6" i="32"/>
  <c r="BV6" i="32"/>
  <c r="BU6" i="32"/>
  <c r="BT6" i="32"/>
  <c r="BS6" i="32"/>
  <c r="BR6" i="32"/>
  <c r="BQ6" i="32"/>
  <c r="BZ5" i="32"/>
  <c r="BY5" i="32"/>
  <c r="BX5" i="32"/>
  <c r="BW5" i="32"/>
  <c r="BV5" i="32"/>
  <c r="BU5" i="32"/>
  <c r="BT5" i="32"/>
  <c r="BS5" i="32"/>
  <c r="BR5" i="32"/>
  <c r="BQ5" i="32"/>
  <c r="BZ4" i="32"/>
  <c r="BY4" i="32"/>
  <c r="BX4" i="32"/>
  <c r="BW4" i="32"/>
  <c r="BV4" i="32"/>
  <c r="BU4" i="32"/>
  <c r="BT4" i="32"/>
  <c r="BS4" i="32"/>
  <c r="BR4" i="32"/>
  <c r="BQ4" i="32"/>
  <c r="BO42" i="32"/>
  <c r="BN42" i="32"/>
  <c r="BM42" i="32"/>
  <c r="BL42" i="32"/>
  <c r="BK42" i="32"/>
  <c r="BJ42" i="32"/>
  <c r="BI42" i="32"/>
  <c r="BH42" i="32"/>
  <c r="BG42" i="32"/>
  <c r="BF42" i="32"/>
  <c r="BO41" i="32"/>
  <c r="BN41" i="32"/>
  <c r="BM41" i="32"/>
  <c r="BL41" i="32"/>
  <c r="BK41" i="32"/>
  <c r="BJ41" i="32"/>
  <c r="BI41" i="32"/>
  <c r="BH41" i="32"/>
  <c r="BG41" i="32"/>
  <c r="BF41" i="32"/>
  <c r="BO40" i="32"/>
  <c r="BN40" i="32"/>
  <c r="BM40" i="32"/>
  <c r="BL40" i="32"/>
  <c r="BK40" i="32"/>
  <c r="BJ40" i="32"/>
  <c r="BI40" i="32"/>
  <c r="BH40" i="32"/>
  <c r="BG40" i="32"/>
  <c r="BF40" i="32"/>
  <c r="BO39" i="32"/>
  <c r="BN39" i="32"/>
  <c r="BM39" i="32"/>
  <c r="BL39" i="32"/>
  <c r="BK39" i="32"/>
  <c r="BJ39" i="32"/>
  <c r="BI39" i="32"/>
  <c r="BH39" i="32"/>
  <c r="BG39" i="32"/>
  <c r="BF39" i="32"/>
  <c r="BO38" i="32"/>
  <c r="BN38" i="32"/>
  <c r="BM38" i="32"/>
  <c r="BL38" i="32"/>
  <c r="BK38" i="32"/>
  <c r="BJ38" i="32"/>
  <c r="BI38" i="32"/>
  <c r="BH38" i="32"/>
  <c r="BG38" i="32"/>
  <c r="BF38" i="32"/>
  <c r="BO37" i="32"/>
  <c r="BN37" i="32"/>
  <c r="BM37" i="32"/>
  <c r="BL37" i="32"/>
  <c r="BK37" i="32"/>
  <c r="BJ37" i="32"/>
  <c r="BI37" i="32"/>
  <c r="BH37" i="32"/>
  <c r="BG37" i="32"/>
  <c r="BF37" i="32"/>
  <c r="BO36" i="32"/>
  <c r="BN36" i="32"/>
  <c r="BM36" i="32"/>
  <c r="BL36" i="32"/>
  <c r="BK36" i="32"/>
  <c r="BJ36" i="32"/>
  <c r="BI36" i="32"/>
  <c r="BH36" i="32"/>
  <c r="BG36" i="32"/>
  <c r="BF36" i="32"/>
  <c r="BO35" i="32"/>
  <c r="BN35" i="32"/>
  <c r="BM35" i="32"/>
  <c r="BL35" i="32"/>
  <c r="BK35" i="32"/>
  <c r="BJ35" i="32"/>
  <c r="BI35" i="32"/>
  <c r="BH35" i="32"/>
  <c r="BG35" i="32"/>
  <c r="BF35" i="32"/>
  <c r="BO34" i="32"/>
  <c r="BN34" i="32"/>
  <c r="BM34" i="32"/>
  <c r="BL34" i="32"/>
  <c r="BK34" i="32"/>
  <c r="BJ34" i="32"/>
  <c r="BI34" i="32"/>
  <c r="BH34" i="32"/>
  <c r="BG34" i="32"/>
  <c r="BF34" i="32"/>
  <c r="BO33" i="32"/>
  <c r="BN33" i="32"/>
  <c r="BM33" i="32"/>
  <c r="BL33" i="32"/>
  <c r="BK33" i="32"/>
  <c r="BJ33" i="32"/>
  <c r="BI33" i="32"/>
  <c r="BH33" i="32"/>
  <c r="BG33" i="32"/>
  <c r="BF33" i="32"/>
  <c r="BO32" i="32"/>
  <c r="BN32" i="32"/>
  <c r="BM32" i="32"/>
  <c r="BL32" i="32"/>
  <c r="BK32" i="32"/>
  <c r="BJ32" i="32"/>
  <c r="BI32" i="32"/>
  <c r="BH32" i="32"/>
  <c r="BG32" i="32"/>
  <c r="BF32" i="32"/>
  <c r="BO31" i="32"/>
  <c r="BN31" i="32"/>
  <c r="BM31" i="32"/>
  <c r="BL31" i="32"/>
  <c r="BK31" i="32"/>
  <c r="BJ31" i="32"/>
  <c r="BI31" i="32"/>
  <c r="BH31" i="32"/>
  <c r="BG31" i="32"/>
  <c r="BF31" i="32"/>
  <c r="BO30" i="32"/>
  <c r="BN30" i="32"/>
  <c r="BM30" i="32"/>
  <c r="BL30" i="32"/>
  <c r="BK30" i="32"/>
  <c r="BJ30" i="32"/>
  <c r="BI30" i="32"/>
  <c r="BH30" i="32"/>
  <c r="BG30" i="32"/>
  <c r="BF30" i="32"/>
  <c r="BO29" i="32"/>
  <c r="BN29" i="32"/>
  <c r="BM29" i="32"/>
  <c r="BL29" i="32"/>
  <c r="BK29" i="32"/>
  <c r="BJ29" i="32"/>
  <c r="BI29" i="32"/>
  <c r="BH29" i="32"/>
  <c r="BG29" i="32"/>
  <c r="BF29" i="32"/>
  <c r="BO28" i="32"/>
  <c r="BN28" i="32"/>
  <c r="BM28" i="32"/>
  <c r="BL28" i="32"/>
  <c r="BK28" i="32"/>
  <c r="BJ28" i="32"/>
  <c r="BI28" i="32"/>
  <c r="BH28" i="32"/>
  <c r="BG28" i="32"/>
  <c r="BF28" i="32"/>
  <c r="BO27" i="32"/>
  <c r="BN27" i="32"/>
  <c r="BM27" i="32"/>
  <c r="BL27" i="32"/>
  <c r="BK27" i="32"/>
  <c r="BJ27" i="32"/>
  <c r="BI27" i="32"/>
  <c r="BH27" i="32"/>
  <c r="BG27" i="32"/>
  <c r="BF27" i="32"/>
  <c r="BO26" i="32"/>
  <c r="BN26" i="32"/>
  <c r="BM26" i="32"/>
  <c r="BL26" i="32"/>
  <c r="BK26" i="32"/>
  <c r="BJ26" i="32"/>
  <c r="BI26" i="32"/>
  <c r="BH26" i="32"/>
  <c r="BG26" i="32"/>
  <c r="BF26" i="32"/>
  <c r="BO25" i="32"/>
  <c r="BN25" i="32"/>
  <c r="BM25" i="32"/>
  <c r="BL25" i="32"/>
  <c r="BK25" i="32"/>
  <c r="BJ25" i="32"/>
  <c r="BI25" i="32"/>
  <c r="BH25" i="32"/>
  <c r="BG25" i="32"/>
  <c r="BF25" i="32"/>
  <c r="BO24" i="32"/>
  <c r="BN24" i="32"/>
  <c r="BM24" i="32"/>
  <c r="BL24" i="32"/>
  <c r="BK24" i="32"/>
  <c r="BJ24" i="32"/>
  <c r="BI24" i="32"/>
  <c r="BH24" i="32"/>
  <c r="BG24" i="32"/>
  <c r="BF24" i="32"/>
  <c r="BO23" i="32"/>
  <c r="BN23" i="32"/>
  <c r="BM23" i="32"/>
  <c r="BL23" i="32"/>
  <c r="BK23" i="32"/>
  <c r="BJ23" i="32"/>
  <c r="BI23" i="32"/>
  <c r="BH23" i="32"/>
  <c r="BG23" i="32"/>
  <c r="BF23" i="32"/>
  <c r="BO22" i="32"/>
  <c r="BN22" i="32"/>
  <c r="BM22" i="32"/>
  <c r="BL22" i="32"/>
  <c r="BK22" i="32"/>
  <c r="BJ22" i="32"/>
  <c r="BI22" i="32"/>
  <c r="BH22" i="32"/>
  <c r="BG22" i="32"/>
  <c r="BF22" i="32"/>
  <c r="BO21" i="32"/>
  <c r="BN21" i="32"/>
  <c r="BM21" i="32"/>
  <c r="BL21" i="32"/>
  <c r="BK21" i="32"/>
  <c r="BJ21" i="32"/>
  <c r="BI21" i="32"/>
  <c r="BH21" i="32"/>
  <c r="BG21" i="32"/>
  <c r="BF21" i="32"/>
  <c r="BO20" i="32"/>
  <c r="BN20" i="32"/>
  <c r="BM20" i="32"/>
  <c r="BL20" i="32"/>
  <c r="BK20" i="32"/>
  <c r="BJ20" i="32"/>
  <c r="BI20" i="32"/>
  <c r="BH20" i="32"/>
  <c r="BG20" i="32"/>
  <c r="BF20" i="32"/>
  <c r="BO19" i="32"/>
  <c r="BN19" i="32"/>
  <c r="BM19" i="32"/>
  <c r="BL19" i="32"/>
  <c r="BK19" i="32"/>
  <c r="BJ19" i="32"/>
  <c r="BI19" i="32"/>
  <c r="BH19" i="32"/>
  <c r="BG19" i="32"/>
  <c r="BF19" i="32"/>
  <c r="BO18" i="32"/>
  <c r="BN18" i="32"/>
  <c r="BM18" i="32"/>
  <c r="BL18" i="32"/>
  <c r="BK18" i="32"/>
  <c r="BJ18" i="32"/>
  <c r="BI18" i="32"/>
  <c r="BH18" i="32"/>
  <c r="BG18" i="32"/>
  <c r="BF18" i="32"/>
  <c r="BO17" i="32"/>
  <c r="BN17" i="32"/>
  <c r="BM17" i="32"/>
  <c r="BL17" i="32"/>
  <c r="BK17" i="32"/>
  <c r="BJ17" i="32"/>
  <c r="BI17" i="32"/>
  <c r="BH17" i="32"/>
  <c r="BG17" i="32"/>
  <c r="BF17" i="32"/>
  <c r="BO16" i="32"/>
  <c r="BN16" i="32"/>
  <c r="BM16" i="32"/>
  <c r="BL16" i="32"/>
  <c r="BK16" i="32"/>
  <c r="BJ16" i="32"/>
  <c r="BI16" i="32"/>
  <c r="BH16" i="32"/>
  <c r="BG16" i="32"/>
  <c r="BF16" i="32"/>
  <c r="BO15" i="32"/>
  <c r="BN15" i="32"/>
  <c r="BM15" i="32"/>
  <c r="BL15" i="32"/>
  <c r="BK15" i="32"/>
  <c r="BJ15" i="32"/>
  <c r="BI15" i="32"/>
  <c r="BH15" i="32"/>
  <c r="BG15" i="32"/>
  <c r="BF15" i="32"/>
  <c r="BO14" i="32"/>
  <c r="BN14" i="32"/>
  <c r="BM14" i="32"/>
  <c r="BL14" i="32"/>
  <c r="BK14" i="32"/>
  <c r="BJ14" i="32"/>
  <c r="BI14" i="32"/>
  <c r="BH14" i="32"/>
  <c r="BG14" i="32"/>
  <c r="BF14" i="32"/>
  <c r="BO13" i="32"/>
  <c r="BN13" i="32"/>
  <c r="BM13" i="32"/>
  <c r="BL13" i="32"/>
  <c r="BK13" i="32"/>
  <c r="BJ13" i="32"/>
  <c r="BI13" i="32"/>
  <c r="BH13" i="32"/>
  <c r="BG13" i="32"/>
  <c r="BF13" i="32"/>
  <c r="BO12" i="32"/>
  <c r="BN12" i="32"/>
  <c r="BM12" i="32"/>
  <c r="BL12" i="32"/>
  <c r="BK12" i="32"/>
  <c r="BJ12" i="32"/>
  <c r="BI12" i="32"/>
  <c r="BH12" i="32"/>
  <c r="BG12" i="32"/>
  <c r="BF12" i="32"/>
  <c r="BO11" i="32"/>
  <c r="BN11" i="32"/>
  <c r="BM11" i="32"/>
  <c r="BL11" i="32"/>
  <c r="BK11" i="32"/>
  <c r="BJ11" i="32"/>
  <c r="BI11" i="32"/>
  <c r="BH11" i="32"/>
  <c r="BG11" i="32"/>
  <c r="BF11" i="32"/>
  <c r="BO10" i="32"/>
  <c r="BN10" i="32"/>
  <c r="BM10" i="32"/>
  <c r="BL10" i="32"/>
  <c r="BK10" i="32"/>
  <c r="BJ10" i="32"/>
  <c r="BI10" i="32"/>
  <c r="BH10" i="32"/>
  <c r="BG10" i="32"/>
  <c r="BF10" i="32"/>
  <c r="BO9" i="32"/>
  <c r="BN9" i="32"/>
  <c r="BM9" i="32"/>
  <c r="BL9" i="32"/>
  <c r="BK9" i="32"/>
  <c r="BJ9" i="32"/>
  <c r="BI9" i="32"/>
  <c r="BH9" i="32"/>
  <c r="BG9" i="32"/>
  <c r="BF9" i="32"/>
  <c r="BO8" i="32"/>
  <c r="BN8" i="32"/>
  <c r="BM8" i="32"/>
  <c r="BL8" i="32"/>
  <c r="BK8" i="32"/>
  <c r="BJ8" i="32"/>
  <c r="BI8" i="32"/>
  <c r="BH8" i="32"/>
  <c r="BG8" i="32"/>
  <c r="BF8" i="32"/>
  <c r="BO7" i="32"/>
  <c r="BN7" i="32"/>
  <c r="BM7" i="32"/>
  <c r="BL7" i="32"/>
  <c r="BK7" i="32"/>
  <c r="BJ7" i="32"/>
  <c r="BI7" i="32"/>
  <c r="BH7" i="32"/>
  <c r="BG7" i="32"/>
  <c r="BF7" i="32"/>
  <c r="BO6" i="32"/>
  <c r="BN6" i="32"/>
  <c r="BM6" i="32"/>
  <c r="BL6" i="32"/>
  <c r="BK6" i="32"/>
  <c r="BJ6" i="32"/>
  <c r="BI6" i="32"/>
  <c r="BH6" i="32"/>
  <c r="BG6" i="32"/>
  <c r="BF6" i="32"/>
  <c r="BO5" i="32"/>
  <c r="BN5" i="32"/>
  <c r="BM5" i="32"/>
  <c r="BL5" i="32"/>
  <c r="BK5" i="32"/>
  <c r="BJ5" i="32"/>
  <c r="BI5" i="32"/>
  <c r="BH5" i="32"/>
  <c r="BG5" i="32"/>
  <c r="BF5" i="32"/>
  <c r="BO4" i="32"/>
  <c r="BN4" i="32"/>
  <c r="BM4" i="32"/>
  <c r="BL4" i="32"/>
  <c r="BK4" i="32"/>
  <c r="BJ4" i="32"/>
  <c r="BI4" i="32"/>
  <c r="BH4" i="32"/>
  <c r="BG4" i="32"/>
  <c r="BF4" i="32"/>
  <c r="BD42" i="32"/>
  <c r="BC42" i="32"/>
  <c r="BB42" i="32"/>
  <c r="BA42" i="32"/>
  <c r="AZ42" i="32"/>
  <c r="AY42" i="32"/>
  <c r="AX42" i="32"/>
  <c r="AW42" i="32"/>
  <c r="AV42" i="32"/>
  <c r="AU42" i="32"/>
  <c r="BD41" i="32"/>
  <c r="BC41" i="32"/>
  <c r="BB41" i="32"/>
  <c r="BA41" i="32"/>
  <c r="AZ41" i="32"/>
  <c r="AY41" i="32"/>
  <c r="AX41" i="32"/>
  <c r="AW41" i="32"/>
  <c r="AV41" i="32"/>
  <c r="AU41" i="32"/>
  <c r="BD40" i="32"/>
  <c r="BC40" i="32"/>
  <c r="BB40" i="32"/>
  <c r="BA40" i="32"/>
  <c r="AZ40" i="32"/>
  <c r="AY40" i="32"/>
  <c r="AX40" i="32"/>
  <c r="AW40" i="32"/>
  <c r="AV40" i="32"/>
  <c r="AU40" i="32"/>
  <c r="BD39" i="32"/>
  <c r="BC39" i="32"/>
  <c r="BB39" i="32"/>
  <c r="BA39" i="32"/>
  <c r="AZ39" i="32"/>
  <c r="AY39" i="32"/>
  <c r="AX39" i="32"/>
  <c r="AW39" i="32"/>
  <c r="AV39" i="32"/>
  <c r="AU39" i="32"/>
  <c r="BD38" i="32"/>
  <c r="BC38" i="32"/>
  <c r="BB38" i="32"/>
  <c r="BA38" i="32"/>
  <c r="AZ38" i="32"/>
  <c r="AY38" i="32"/>
  <c r="AX38" i="32"/>
  <c r="AW38" i="32"/>
  <c r="AV38" i="32"/>
  <c r="AU38" i="32"/>
  <c r="BD37" i="32"/>
  <c r="BC37" i="32"/>
  <c r="BB37" i="32"/>
  <c r="BA37" i="32"/>
  <c r="AZ37" i="32"/>
  <c r="AY37" i="32"/>
  <c r="AX37" i="32"/>
  <c r="AW37" i="32"/>
  <c r="AV37" i="32"/>
  <c r="AU37" i="32"/>
  <c r="BD36" i="32"/>
  <c r="BC36" i="32"/>
  <c r="BB36" i="32"/>
  <c r="BA36" i="32"/>
  <c r="AZ36" i="32"/>
  <c r="AY36" i="32"/>
  <c r="AX36" i="32"/>
  <c r="AW36" i="32"/>
  <c r="AV36" i="32"/>
  <c r="AU36" i="32"/>
  <c r="BD35" i="32"/>
  <c r="BC35" i="32"/>
  <c r="BB35" i="32"/>
  <c r="BA35" i="32"/>
  <c r="AZ35" i="32"/>
  <c r="AY35" i="32"/>
  <c r="AX35" i="32"/>
  <c r="AW35" i="32"/>
  <c r="AV35" i="32"/>
  <c r="AU35" i="32"/>
  <c r="BD34" i="32"/>
  <c r="BC34" i="32"/>
  <c r="BB34" i="32"/>
  <c r="BA34" i="32"/>
  <c r="AZ34" i="32"/>
  <c r="AY34" i="32"/>
  <c r="AX34" i="32"/>
  <c r="AW34" i="32"/>
  <c r="AV34" i="32"/>
  <c r="AU34" i="32"/>
  <c r="BD33" i="32"/>
  <c r="BC33" i="32"/>
  <c r="BB33" i="32"/>
  <c r="BA33" i="32"/>
  <c r="AZ33" i="32"/>
  <c r="AY33" i="32"/>
  <c r="AX33" i="32"/>
  <c r="AW33" i="32"/>
  <c r="AV33" i="32"/>
  <c r="AU33" i="32"/>
  <c r="BD32" i="32"/>
  <c r="BC32" i="32"/>
  <c r="BB32" i="32"/>
  <c r="BA32" i="32"/>
  <c r="AZ32" i="32"/>
  <c r="AY32" i="32"/>
  <c r="AX32" i="32"/>
  <c r="AW32" i="32"/>
  <c r="AV32" i="32"/>
  <c r="AU32" i="32"/>
  <c r="BD31" i="32"/>
  <c r="BC31" i="32"/>
  <c r="BB31" i="32"/>
  <c r="BA31" i="32"/>
  <c r="AZ31" i="32"/>
  <c r="AY31" i="32"/>
  <c r="AX31" i="32"/>
  <c r="AW31" i="32"/>
  <c r="AV31" i="32"/>
  <c r="AU31" i="32"/>
  <c r="BD30" i="32"/>
  <c r="BC30" i="32"/>
  <c r="BB30" i="32"/>
  <c r="BA30" i="32"/>
  <c r="AZ30" i="32"/>
  <c r="AY30" i="32"/>
  <c r="AX30" i="32"/>
  <c r="AW30" i="32"/>
  <c r="AV30" i="32"/>
  <c r="AU30" i="32"/>
  <c r="BD29" i="32"/>
  <c r="BC29" i="32"/>
  <c r="BB29" i="32"/>
  <c r="BA29" i="32"/>
  <c r="AZ29" i="32"/>
  <c r="AY29" i="32"/>
  <c r="AX29" i="32"/>
  <c r="AW29" i="32"/>
  <c r="AV29" i="32"/>
  <c r="AU29" i="32"/>
  <c r="BD28" i="32"/>
  <c r="BC28" i="32"/>
  <c r="BB28" i="32"/>
  <c r="BA28" i="32"/>
  <c r="AZ28" i="32"/>
  <c r="AY28" i="32"/>
  <c r="AX28" i="32"/>
  <c r="AW28" i="32"/>
  <c r="AV28" i="32"/>
  <c r="AU28" i="32"/>
  <c r="BD27" i="32"/>
  <c r="BC27" i="32"/>
  <c r="BB27" i="32"/>
  <c r="BA27" i="32"/>
  <c r="AZ27" i="32"/>
  <c r="AY27" i="32"/>
  <c r="AX27" i="32"/>
  <c r="AW27" i="32"/>
  <c r="AV27" i="32"/>
  <c r="AU27" i="32"/>
  <c r="BD26" i="32"/>
  <c r="BC26" i="32"/>
  <c r="BB26" i="32"/>
  <c r="BA26" i="32"/>
  <c r="AZ26" i="32"/>
  <c r="AY26" i="32"/>
  <c r="AX26" i="32"/>
  <c r="AW26" i="32"/>
  <c r="AV26" i="32"/>
  <c r="AU26" i="32"/>
  <c r="BD25" i="32"/>
  <c r="BC25" i="32"/>
  <c r="BB25" i="32"/>
  <c r="BA25" i="32"/>
  <c r="AZ25" i="32"/>
  <c r="AY25" i="32"/>
  <c r="AX25" i="32"/>
  <c r="AW25" i="32"/>
  <c r="AV25" i="32"/>
  <c r="AU25" i="32"/>
  <c r="BD24" i="32"/>
  <c r="BC24" i="32"/>
  <c r="BB24" i="32"/>
  <c r="BA24" i="32"/>
  <c r="AZ24" i="32"/>
  <c r="AY24" i="32"/>
  <c r="AX24" i="32"/>
  <c r="AW24" i="32"/>
  <c r="AV24" i="32"/>
  <c r="AU24" i="32"/>
  <c r="BD23" i="32"/>
  <c r="BC23" i="32"/>
  <c r="BB23" i="32"/>
  <c r="BA23" i="32"/>
  <c r="AZ23" i="32"/>
  <c r="AY23" i="32"/>
  <c r="AX23" i="32"/>
  <c r="AW23" i="32"/>
  <c r="AV23" i="32"/>
  <c r="AU23" i="32"/>
  <c r="BD22" i="32"/>
  <c r="BC22" i="32"/>
  <c r="BB22" i="32"/>
  <c r="BA22" i="32"/>
  <c r="AZ22" i="32"/>
  <c r="AY22" i="32"/>
  <c r="AX22" i="32"/>
  <c r="AW22" i="32"/>
  <c r="AV22" i="32"/>
  <c r="AU22" i="32"/>
  <c r="BD21" i="32"/>
  <c r="BC21" i="32"/>
  <c r="BB21" i="32"/>
  <c r="BA21" i="32"/>
  <c r="AZ21" i="32"/>
  <c r="AY21" i="32"/>
  <c r="AX21" i="32"/>
  <c r="AW21" i="32"/>
  <c r="AV21" i="32"/>
  <c r="AU21" i="32"/>
  <c r="BD20" i="32"/>
  <c r="BC20" i="32"/>
  <c r="BB20" i="32"/>
  <c r="BA20" i="32"/>
  <c r="AZ20" i="32"/>
  <c r="AY20" i="32"/>
  <c r="AX20" i="32"/>
  <c r="AW20" i="32"/>
  <c r="AV20" i="32"/>
  <c r="AU20" i="32"/>
  <c r="BD19" i="32"/>
  <c r="BC19" i="32"/>
  <c r="BB19" i="32"/>
  <c r="BA19" i="32"/>
  <c r="AZ19" i="32"/>
  <c r="AY19" i="32"/>
  <c r="AX19" i="32"/>
  <c r="AW19" i="32"/>
  <c r="AV19" i="32"/>
  <c r="AU19" i="32"/>
  <c r="BD18" i="32"/>
  <c r="BC18" i="32"/>
  <c r="BB18" i="32"/>
  <c r="BA18" i="32"/>
  <c r="AZ18" i="32"/>
  <c r="AY18" i="32"/>
  <c r="AX18" i="32"/>
  <c r="AW18" i="32"/>
  <c r="AV18" i="32"/>
  <c r="AU18" i="32"/>
  <c r="BD17" i="32"/>
  <c r="BC17" i="32"/>
  <c r="BB17" i="32"/>
  <c r="BA17" i="32"/>
  <c r="AZ17" i="32"/>
  <c r="AY17" i="32"/>
  <c r="AX17" i="32"/>
  <c r="AW17" i="32"/>
  <c r="AV17" i="32"/>
  <c r="AU17" i="32"/>
  <c r="BD16" i="32"/>
  <c r="BC16" i="32"/>
  <c r="BB16" i="32"/>
  <c r="BA16" i="32"/>
  <c r="AZ16" i="32"/>
  <c r="AY16" i="32"/>
  <c r="AX16" i="32"/>
  <c r="AW16" i="32"/>
  <c r="AV16" i="32"/>
  <c r="AU16" i="32"/>
  <c r="BD15" i="32"/>
  <c r="BC15" i="32"/>
  <c r="BB15" i="32"/>
  <c r="BA15" i="32"/>
  <c r="AZ15" i="32"/>
  <c r="AY15" i="32"/>
  <c r="AX15" i="32"/>
  <c r="AW15" i="32"/>
  <c r="AV15" i="32"/>
  <c r="AU15" i="32"/>
  <c r="BD14" i="32"/>
  <c r="BC14" i="32"/>
  <c r="BB14" i="32"/>
  <c r="BA14" i="32"/>
  <c r="AZ14" i="32"/>
  <c r="AY14" i="32"/>
  <c r="AX14" i="32"/>
  <c r="AW14" i="32"/>
  <c r="AV14" i="32"/>
  <c r="AU14" i="32"/>
  <c r="BD13" i="32"/>
  <c r="BC13" i="32"/>
  <c r="BB13" i="32"/>
  <c r="BA13" i="32"/>
  <c r="AZ13" i="32"/>
  <c r="AY13" i="32"/>
  <c r="AX13" i="32"/>
  <c r="AW13" i="32"/>
  <c r="AV13" i="32"/>
  <c r="AU13" i="32"/>
  <c r="BD12" i="32"/>
  <c r="BC12" i="32"/>
  <c r="BB12" i="32"/>
  <c r="BA12" i="32"/>
  <c r="AZ12" i="32"/>
  <c r="AY12" i="32"/>
  <c r="AX12" i="32"/>
  <c r="AW12" i="32"/>
  <c r="AV12" i="32"/>
  <c r="AU12" i="32"/>
  <c r="BD11" i="32"/>
  <c r="BC11" i="32"/>
  <c r="BB11" i="32"/>
  <c r="BA11" i="32"/>
  <c r="AZ11" i="32"/>
  <c r="AY11" i="32"/>
  <c r="AX11" i="32"/>
  <c r="AW11" i="32"/>
  <c r="AV11" i="32"/>
  <c r="AU11" i="32"/>
  <c r="BD10" i="32"/>
  <c r="BC10" i="32"/>
  <c r="BB10" i="32"/>
  <c r="BA10" i="32"/>
  <c r="AZ10" i="32"/>
  <c r="AY10" i="32"/>
  <c r="AX10" i="32"/>
  <c r="AW10" i="32"/>
  <c r="AV10" i="32"/>
  <c r="AU10" i="32"/>
  <c r="BD9" i="32"/>
  <c r="BC9" i="32"/>
  <c r="BB9" i="32"/>
  <c r="BA9" i="32"/>
  <c r="AZ9" i="32"/>
  <c r="AY9" i="32"/>
  <c r="AX9" i="32"/>
  <c r="AW9" i="32"/>
  <c r="AV9" i="32"/>
  <c r="AU9" i="32"/>
  <c r="BD8" i="32"/>
  <c r="BC8" i="32"/>
  <c r="BB8" i="32"/>
  <c r="BA8" i="32"/>
  <c r="AZ8" i="32"/>
  <c r="AY8" i="32"/>
  <c r="AX8" i="32"/>
  <c r="AW8" i="32"/>
  <c r="AV8" i="32"/>
  <c r="AU8" i="32"/>
  <c r="BD7" i="32"/>
  <c r="BC7" i="32"/>
  <c r="BB7" i="32"/>
  <c r="BA7" i="32"/>
  <c r="AZ7" i="32"/>
  <c r="AY7" i="32"/>
  <c r="AX7" i="32"/>
  <c r="AW7" i="32"/>
  <c r="AV7" i="32"/>
  <c r="AU7" i="32"/>
  <c r="BD6" i="32"/>
  <c r="BC6" i="32"/>
  <c r="BB6" i="32"/>
  <c r="BA6" i="32"/>
  <c r="AZ6" i="32"/>
  <c r="AY6" i="32"/>
  <c r="AX6" i="32"/>
  <c r="AW6" i="32"/>
  <c r="AV6" i="32"/>
  <c r="AU6" i="32"/>
  <c r="BD5" i="32"/>
  <c r="BC5" i="32"/>
  <c r="BB5" i="32"/>
  <c r="BA5" i="32"/>
  <c r="AZ5" i="32"/>
  <c r="AY5" i="32"/>
  <c r="AX5" i="32"/>
  <c r="AW5" i="32"/>
  <c r="AV5" i="32"/>
  <c r="AU5" i="32"/>
  <c r="BD4" i="32"/>
  <c r="BC4" i="32"/>
  <c r="BB4" i="32"/>
  <c r="BA4" i="32"/>
  <c r="AZ4" i="32"/>
  <c r="AY4" i="32"/>
  <c r="AX4" i="32"/>
  <c r="AW4" i="32"/>
  <c r="AV4" i="32"/>
  <c r="AU4" i="32"/>
  <c r="AS42" i="32"/>
  <c r="AR42" i="32"/>
  <c r="AQ42" i="32"/>
  <c r="AP42" i="32"/>
  <c r="AO42" i="32"/>
  <c r="AN42" i="32"/>
  <c r="AM42" i="32"/>
  <c r="AL42" i="32"/>
  <c r="AK42" i="32"/>
  <c r="AJ42" i="32"/>
  <c r="AS41" i="32"/>
  <c r="AR41" i="32"/>
  <c r="AQ41" i="32"/>
  <c r="AP41" i="32"/>
  <c r="AO41" i="32"/>
  <c r="AN41" i="32"/>
  <c r="AM41" i="32"/>
  <c r="AL41" i="32"/>
  <c r="AK41" i="32"/>
  <c r="AJ41" i="32"/>
  <c r="AS40" i="32"/>
  <c r="AR40" i="32"/>
  <c r="AQ40" i="32"/>
  <c r="AP40" i="32"/>
  <c r="AO40" i="32"/>
  <c r="AN40" i="32"/>
  <c r="AM40" i="32"/>
  <c r="AL40" i="32"/>
  <c r="AK40" i="32"/>
  <c r="AJ40" i="32"/>
  <c r="AS39" i="32"/>
  <c r="AR39" i="32"/>
  <c r="AQ39" i="32"/>
  <c r="AP39" i="32"/>
  <c r="AO39" i="32"/>
  <c r="AN39" i="32"/>
  <c r="AM39" i="32"/>
  <c r="AL39" i="32"/>
  <c r="AK39" i="32"/>
  <c r="AJ39" i="32"/>
  <c r="AS38" i="32"/>
  <c r="AR38" i="32"/>
  <c r="AQ38" i="32"/>
  <c r="AP38" i="32"/>
  <c r="AO38" i="32"/>
  <c r="AN38" i="32"/>
  <c r="AM38" i="32"/>
  <c r="AL38" i="32"/>
  <c r="AK38" i="32"/>
  <c r="AJ38" i="32"/>
  <c r="AS37" i="32"/>
  <c r="AR37" i="32"/>
  <c r="AQ37" i="32"/>
  <c r="AP37" i="32"/>
  <c r="AO37" i="32"/>
  <c r="AN37" i="32"/>
  <c r="AM37" i="32"/>
  <c r="AL37" i="32"/>
  <c r="AK37" i="32"/>
  <c r="AJ37" i="32"/>
  <c r="AS36" i="32"/>
  <c r="AR36" i="32"/>
  <c r="AQ36" i="32"/>
  <c r="AP36" i="32"/>
  <c r="AO36" i="32"/>
  <c r="AN36" i="32"/>
  <c r="AM36" i="32"/>
  <c r="AL36" i="32"/>
  <c r="AK36" i="32"/>
  <c r="AJ36" i="32"/>
  <c r="AS35" i="32"/>
  <c r="AR35" i="32"/>
  <c r="AQ35" i="32"/>
  <c r="AP35" i="32"/>
  <c r="AO35" i="32"/>
  <c r="AN35" i="32"/>
  <c r="AM35" i="32"/>
  <c r="AL35" i="32"/>
  <c r="AK35" i="32"/>
  <c r="AJ35" i="32"/>
  <c r="AS34" i="32"/>
  <c r="AR34" i="32"/>
  <c r="AQ34" i="32"/>
  <c r="AP34" i="32"/>
  <c r="AO34" i="32"/>
  <c r="AN34" i="32"/>
  <c r="AM34" i="32"/>
  <c r="AL34" i="32"/>
  <c r="AK34" i="32"/>
  <c r="AJ34" i="32"/>
  <c r="AS33" i="32"/>
  <c r="AR33" i="32"/>
  <c r="AQ33" i="32"/>
  <c r="AP33" i="32"/>
  <c r="AO33" i="32"/>
  <c r="AN33" i="32"/>
  <c r="AM33" i="32"/>
  <c r="AL33" i="32"/>
  <c r="AK33" i="32"/>
  <c r="AJ33" i="32"/>
  <c r="AS32" i="32"/>
  <c r="AR32" i="32"/>
  <c r="AQ32" i="32"/>
  <c r="AP32" i="32"/>
  <c r="AO32" i="32"/>
  <c r="AN32" i="32"/>
  <c r="AM32" i="32"/>
  <c r="AL32" i="32"/>
  <c r="AK32" i="32"/>
  <c r="AJ32" i="32"/>
  <c r="AS31" i="32"/>
  <c r="AR31" i="32"/>
  <c r="AQ31" i="32"/>
  <c r="AP31" i="32"/>
  <c r="AO31" i="32"/>
  <c r="AN31" i="32"/>
  <c r="AM31" i="32"/>
  <c r="AL31" i="32"/>
  <c r="AK31" i="32"/>
  <c r="AJ31" i="32"/>
  <c r="AS30" i="32"/>
  <c r="AR30" i="32"/>
  <c r="AQ30" i="32"/>
  <c r="AP30" i="32"/>
  <c r="AO30" i="32"/>
  <c r="AN30" i="32"/>
  <c r="AM30" i="32"/>
  <c r="AL30" i="32"/>
  <c r="AK30" i="32"/>
  <c r="AJ30" i="32"/>
  <c r="AS29" i="32"/>
  <c r="AR29" i="32"/>
  <c r="AQ29" i="32"/>
  <c r="AP29" i="32"/>
  <c r="AO29" i="32"/>
  <c r="AN29" i="32"/>
  <c r="AM29" i="32"/>
  <c r="AL29" i="32"/>
  <c r="AK29" i="32"/>
  <c r="AJ29" i="32"/>
  <c r="AS28" i="32"/>
  <c r="AR28" i="32"/>
  <c r="AQ28" i="32"/>
  <c r="AP28" i="32"/>
  <c r="AO28" i="32"/>
  <c r="AN28" i="32"/>
  <c r="AM28" i="32"/>
  <c r="AL28" i="32"/>
  <c r="AK28" i="32"/>
  <c r="AJ28" i="32"/>
  <c r="AS27" i="32"/>
  <c r="AR27" i="32"/>
  <c r="AQ27" i="32"/>
  <c r="AP27" i="32"/>
  <c r="AO27" i="32"/>
  <c r="AN27" i="32"/>
  <c r="AM27" i="32"/>
  <c r="AL27" i="32"/>
  <c r="AK27" i="32"/>
  <c r="AJ27" i="32"/>
  <c r="AS26" i="32"/>
  <c r="AR26" i="32"/>
  <c r="AQ26" i="32"/>
  <c r="AP26" i="32"/>
  <c r="AO26" i="32"/>
  <c r="AN26" i="32"/>
  <c r="AM26" i="32"/>
  <c r="AL26" i="32"/>
  <c r="AK26" i="32"/>
  <c r="AJ26" i="32"/>
  <c r="AS25" i="32"/>
  <c r="AR25" i="32"/>
  <c r="AQ25" i="32"/>
  <c r="AP25" i="32"/>
  <c r="AO25" i="32"/>
  <c r="AN25" i="32"/>
  <c r="AM25" i="32"/>
  <c r="AL25" i="32"/>
  <c r="AK25" i="32"/>
  <c r="AJ25" i="32"/>
  <c r="AS24" i="32"/>
  <c r="AR24" i="32"/>
  <c r="AQ24" i="32"/>
  <c r="AP24" i="32"/>
  <c r="AO24" i="32"/>
  <c r="AN24" i="32"/>
  <c r="AM24" i="32"/>
  <c r="AL24" i="32"/>
  <c r="AK24" i="32"/>
  <c r="AJ24" i="32"/>
  <c r="AS23" i="32"/>
  <c r="AR23" i="32"/>
  <c r="AQ23" i="32"/>
  <c r="AP23" i="32"/>
  <c r="AO23" i="32"/>
  <c r="AN23" i="32"/>
  <c r="AM23" i="32"/>
  <c r="AL23" i="32"/>
  <c r="AK23" i="32"/>
  <c r="AJ23" i="32"/>
  <c r="AS22" i="32"/>
  <c r="AR22" i="32"/>
  <c r="AQ22" i="32"/>
  <c r="AP22" i="32"/>
  <c r="AO22" i="32"/>
  <c r="AN22" i="32"/>
  <c r="AM22" i="32"/>
  <c r="AL22" i="32"/>
  <c r="AK22" i="32"/>
  <c r="AJ22" i="32"/>
  <c r="AS21" i="32"/>
  <c r="AR21" i="32"/>
  <c r="AQ21" i="32"/>
  <c r="AP21" i="32"/>
  <c r="AO21" i="32"/>
  <c r="AN21" i="32"/>
  <c r="AM21" i="32"/>
  <c r="AL21" i="32"/>
  <c r="AK21" i="32"/>
  <c r="AJ21" i="32"/>
  <c r="AS20" i="32"/>
  <c r="AR20" i="32"/>
  <c r="AQ20" i="32"/>
  <c r="AP20" i="32"/>
  <c r="AO20" i="32"/>
  <c r="AN20" i="32"/>
  <c r="AM20" i="32"/>
  <c r="AL20" i="32"/>
  <c r="AK20" i="32"/>
  <c r="AJ20" i="32"/>
  <c r="AS19" i="32"/>
  <c r="AR19" i="32"/>
  <c r="AQ19" i="32"/>
  <c r="AP19" i="32"/>
  <c r="AO19" i="32"/>
  <c r="AN19" i="32"/>
  <c r="AM19" i="32"/>
  <c r="AL19" i="32"/>
  <c r="AK19" i="32"/>
  <c r="AJ19" i="32"/>
  <c r="AS18" i="32"/>
  <c r="AR18" i="32"/>
  <c r="AQ18" i="32"/>
  <c r="AP18" i="32"/>
  <c r="AO18" i="32"/>
  <c r="AN18" i="32"/>
  <c r="AM18" i="32"/>
  <c r="AL18" i="32"/>
  <c r="AK18" i="32"/>
  <c r="AJ18" i="32"/>
  <c r="AS17" i="32"/>
  <c r="AR17" i="32"/>
  <c r="AQ17" i="32"/>
  <c r="AP17" i="32"/>
  <c r="AO17" i="32"/>
  <c r="AN17" i="32"/>
  <c r="AM17" i="32"/>
  <c r="AL17" i="32"/>
  <c r="AK17" i="32"/>
  <c r="AJ17" i="32"/>
  <c r="AS16" i="32"/>
  <c r="AR16" i="32"/>
  <c r="AQ16" i="32"/>
  <c r="AP16" i="32"/>
  <c r="AO16" i="32"/>
  <c r="AN16" i="32"/>
  <c r="AM16" i="32"/>
  <c r="AL16" i="32"/>
  <c r="AK16" i="32"/>
  <c r="AJ16" i="32"/>
  <c r="AS15" i="32"/>
  <c r="AR15" i="32"/>
  <c r="AQ15" i="32"/>
  <c r="AP15" i="32"/>
  <c r="AO15" i="32"/>
  <c r="AN15" i="32"/>
  <c r="AM15" i="32"/>
  <c r="AL15" i="32"/>
  <c r="AK15" i="32"/>
  <c r="AJ15" i="32"/>
  <c r="AS14" i="32"/>
  <c r="AR14" i="32"/>
  <c r="AQ14" i="32"/>
  <c r="AP14" i="32"/>
  <c r="AO14" i="32"/>
  <c r="AN14" i="32"/>
  <c r="AM14" i="32"/>
  <c r="AL14" i="32"/>
  <c r="AK14" i="32"/>
  <c r="AJ14" i="32"/>
  <c r="AS13" i="32"/>
  <c r="AR13" i="32"/>
  <c r="AQ13" i="32"/>
  <c r="AP13" i="32"/>
  <c r="AO13" i="32"/>
  <c r="AN13" i="32"/>
  <c r="AM13" i="32"/>
  <c r="AL13" i="32"/>
  <c r="AK13" i="32"/>
  <c r="AJ13" i="32"/>
  <c r="AS12" i="32"/>
  <c r="AR12" i="32"/>
  <c r="AQ12" i="32"/>
  <c r="AP12" i="32"/>
  <c r="AO12" i="32"/>
  <c r="AN12" i="32"/>
  <c r="AM12" i="32"/>
  <c r="AL12" i="32"/>
  <c r="AK12" i="32"/>
  <c r="AJ12" i="32"/>
  <c r="AS11" i="32"/>
  <c r="AR11" i="32"/>
  <c r="AQ11" i="32"/>
  <c r="AP11" i="32"/>
  <c r="AO11" i="32"/>
  <c r="AN11" i="32"/>
  <c r="AM11" i="32"/>
  <c r="AL11" i="32"/>
  <c r="AK11" i="32"/>
  <c r="AJ11" i="32"/>
  <c r="AS10" i="32"/>
  <c r="AR10" i="32"/>
  <c r="AQ10" i="32"/>
  <c r="AP10" i="32"/>
  <c r="AO10" i="32"/>
  <c r="AN10" i="32"/>
  <c r="AM10" i="32"/>
  <c r="AL10" i="32"/>
  <c r="AK10" i="32"/>
  <c r="AJ10" i="32"/>
  <c r="AS9" i="32"/>
  <c r="AR9" i="32"/>
  <c r="AQ9" i="32"/>
  <c r="AP9" i="32"/>
  <c r="AO9" i="32"/>
  <c r="AN9" i="32"/>
  <c r="AM9" i="32"/>
  <c r="AL9" i="32"/>
  <c r="AK9" i="32"/>
  <c r="AJ9" i="32"/>
  <c r="AS8" i="32"/>
  <c r="AR8" i="32"/>
  <c r="AQ8" i="32"/>
  <c r="AP8" i="32"/>
  <c r="AO8" i="32"/>
  <c r="AN8" i="32"/>
  <c r="AM8" i="32"/>
  <c r="AL8" i="32"/>
  <c r="AK8" i="32"/>
  <c r="AJ8" i="32"/>
  <c r="AS7" i="32"/>
  <c r="AR7" i="32"/>
  <c r="AQ7" i="32"/>
  <c r="AP7" i="32"/>
  <c r="AO7" i="32"/>
  <c r="AN7" i="32"/>
  <c r="AM7" i="32"/>
  <c r="AL7" i="32"/>
  <c r="AK7" i="32"/>
  <c r="AJ7" i="32"/>
  <c r="AS6" i="32"/>
  <c r="AR6" i="32"/>
  <c r="AQ6" i="32"/>
  <c r="AP6" i="32"/>
  <c r="AO6" i="32"/>
  <c r="AN6" i="32"/>
  <c r="AM6" i="32"/>
  <c r="AL6" i="32"/>
  <c r="AK6" i="32"/>
  <c r="AJ6" i="32"/>
  <c r="AS5" i="32"/>
  <c r="AR5" i="32"/>
  <c r="AQ5" i="32"/>
  <c r="AP5" i="32"/>
  <c r="AO5" i="32"/>
  <c r="AN5" i="32"/>
  <c r="AM5" i="32"/>
  <c r="AL5" i="32"/>
  <c r="AK5" i="32"/>
  <c r="AJ5" i="32"/>
  <c r="AS4" i="32"/>
  <c r="AR4" i="32"/>
  <c r="AQ4" i="32"/>
  <c r="AP4" i="32"/>
  <c r="AO4" i="32"/>
  <c r="AN4" i="32"/>
  <c r="AM4" i="32"/>
  <c r="AL4" i="32"/>
  <c r="AK4" i="32"/>
  <c r="AJ4" i="32"/>
  <c r="AH42" i="32"/>
  <c r="AG42" i="32"/>
  <c r="AF42" i="32"/>
  <c r="AE42" i="32"/>
  <c r="AD42" i="32"/>
  <c r="AC42" i="32"/>
  <c r="AB42" i="32"/>
  <c r="AA42" i="32"/>
  <c r="Z42" i="32"/>
  <c r="Y42" i="32"/>
  <c r="AH41" i="32"/>
  <c r="AG41" i="32"/>
  <c r="AF41" i="32"/>
  <c r="AE41" i="32"/>
  <c r="AD41" i="32"/>
  <c r="AC41" i="32"/>
  <c r="AB41" i="32"/>
  <c r="AA41" i="32"/>
  <c r="Z41" i="32"/>
  <c r="Y41" i="32"/>
  <c r="AH40" i="32"/>
  <c r="AG40" i="32"/>
  <c r="AF40" i="32"/>
  <c r="AE40" i="32"/>
  <c r="AD40" i="32"/>
  <c r="AC40" i="32"/>
  <c r="AB40" i="32"/>
  <c r="AA40" i="32"/>
  <c r="Z40" i="32"/>
  <c r="Y40" i="32"/>
  <c r="AH39" i="32"/>
  <c r="AG39" i="32"/>
  <c r="AF39" i="32"/>
  <c r="AE39" i="32"/>
  <c r="AD39" i="32"/>
  <c r="AC39" i="32"/>
  <c r="AB39" i="32"/>
  <c r="AA39" i="32"/>
  <c r="Z39" i="32"/>
  <c r="Y39" i="32"/>
  <c r="AH38" i="32"/>
  <c r="AG38" i="32"/>
  <c r="AF38" i="32"/>
  <c r="AE38" i="32"/>
  <c r="AD38" i="32"/>
  <c r="AC38" i="32"/>
  <c r="AB38" i="32"/>
  <c r="AA38" i="32"/>
  <c r="Z38" i="32"/>
  <c r="Y38" i="32"/>
  <c r="AH37" i="32"/>
  <c r="AG37" i="32"/>
  <c r="AF37" i="32"/>
  <c r="AE37" i="32"/>
  <c r="AD37" i="32"/>
  <c r="AC37" i="32"/>
  <c r="AB37" i="32"/>
  <c r="AA37" i="32"/>
  <c r="Z37" i="32"/>
  <c r="Y37" i="32"/>
  <c r="AH36" i="32"/>
  <c r="AG36" i="32"/>
  <c r="AF36" i="32"/>
  <c r="AE36" i="32"/>
  <c r="AD36" i="32"/>
  <c r="AC36" i="32"/>
  <c r="AB36" i="32"/>
  <c r="AA36" i="32"/>
  <c r="Z36" i="32"/>
  <c r="Y36" i="32"/>
  <c r="AH35" i="32"/>
  <c r="AG35" i="32"/>
  <c r="AF35" i="32"/>
  <c r="AE35" i="32"/>
  <c r="AD35" i="32"/>
  <c r="AC35" i="32"/>
  <c r="AB35" i="32"/>
  <c r="AA35" i="32"/>
  <c r="Z35" i="32"/>
  <c r="Y35" i="32"/>
  <c r="AH34" i="32"/>
  <c r="AG34" i="32"/>
  <c r="AF34" i="32"/>
  <c r="AE34" i="32"/>
  <c r="AD34" i="32"/>
  <c r="AC34" i="32"/>
  <c r="AB34" i="32"/>
  <c r="AA34" i="32"/>
  <c r="Z34" i="32"/>
  <c r="Y34" i="32"/>
  <c r="AH33" i="32"/>
  <c r="AG33" i="32"/>
  <c r="AF33" i="32"/>
  <c r="AE33" i="32"/>
  <c r="AD33" i="32"/>
  <c r="AC33" i="32"/>
  <c r="AB33" i="32"/>
  <c r="AA33" i="32"/>
  <c r="Z33" i="32"/>
  <c r="Y33" i="32"/>
  <c r="AH32" i="32"/>
  <c r="AG32" i="32"/>
  <c r="AF32" i="32"/>
  <c r="AE32" i="32"/>
  <c r="AD32" i="32"/>
  <c r="AC32" i="32"/>
  <c r="AB32" i="32"/>
  <c r="AA32" i="32"/>
  <c r="Z32" i="32"/>
  <c r="Y32" i="32"/>
  <c r="AH31" i="32"/>
  <c r="AG31" i="32"/>
  <c r="AF31" i="32"/>
  <c r="AE31" i="32"/>
  <c r="AD31" i="32"/>
  <c r="AC31" i="32"/>
  <c r="AB31" i="32"/>
  <c r="AA31" i="32"/>
  <c r="Z31" i="32"/>
  <c r="Y31" i="32"/>
  <c r="AH30" i="32"/>
  <c r="AG30" i="32"/>
  <c r="AF30" i="32"/>
  <c r="AE30" i="32"/>
  <c r="AD30" i="32"/>
  <c r="AC30" i="32"/>
  <c r="AB30" i="32"/>
  <c r="AA30" i="32"/>
  <c r="Z30" i="32"/>
  <c r="Y30" i="32"/>
  <c r="AH29" i="32"/>
  <c r="AG29" i="32"/>
  <c r="AF29" i="32"/>
  <c r="AE29" i="32"/>
  <c r="AD29" i="32"/>
  <c r="AC29" i="32"/>
  <c r="AB29" i="32"/>
  <c r="AA29" i="32"/>
  <c r="Z29" i="32"/>
  <c r="Y29" i="32"/>
  <c r="AH28" i="32"/>
  <c r="AG28" i="32"/>
  <c r="AF28" i="32"/>
  <c r="AE28" i="32"/>
  <c r="AD28" i="32"/>
  <c r="AC28" i="32"/>
  <c r="AB28" i="32"/>
  <c r="AA28" i="32"/>
  <c r="Z28" i="32"/>
  <c r="Y28" i="32"/>
  <c r="AH27" i="32"/>
  <c r="AG27" i="32"/>
  <c r="AF27" i="32"/>
  <c r="AE27" i="32"/>
  <c r="AD27" i="32"/>
  <c r="AC27" i="32"/>
  <c r="AB27" i="32"/>
  <c r="AA27" i="32"/>
  <c r="Z27" i="32"/>
  <c r="Y27" i="32"/>
  <c r="AH26" i="32"/>
  <c r="AG26" i="32"/>
  <c r="AF26" i="32"/>
  <c r="AE26" i="32"/>
  <c r="AD26" i="32"/>
  <c r="AC26" i="32"/>
  <c r="AB26" i="32"/>
  <c r="AA26" i="32"/>
  <c r="Z26" i="32"/>
  <c r="Y26" i="32"/>
  <c r="AH25" i="32"/>
  <c r="AG25" i="32"/>
  <c r="AF25" i="32"/>
  <c r="AE25" i="32"/>
  <c r="AD25" i="32"/>
  <c r="AC25" i="32"/>
  <c r="AB25" i="32"/>
  <c r="AA25" i="32"/>
  <c r="Z25" i="32"/>
  <c r="Y25" i="32"/>
  <c r="AH24" i="32"/>
  <c r="AG24" i="32"/>
  <c r="AF24" i="32"/>
  <c r="AE24" i="32"/>
  <c r="AD24" i="32"/>
  <c r="AC24" i="32"/>
  <c r="AB24" i="32"/>
  <c r="AA24" i="32"/>
  <c r="Z24" i="32"/>
  <c r="Y24" i="32"/>
  <c r="AH23" i="32"/>
  <c r="AG23" i="32"/>
  <c r="AF23" i="32"/>
  <c r="AE23" i="32"/>
  <c r="AD23" i="32"/>
  <c r="AC23" i="32"/>
  <c r="AB23" i="32"/>
  <c r="AA23" i="32"/>
  <c r="Z23" i="32"/>
  <c r="Y23" i="32"/>
  <c r="AH22" i="32"/>
  <c r="AG22" i="32"/>
  <c r="AF22" i="32"/>
  <c r="AE22" i="32"/>
  <c r="AD22" i="32"/>
  <c r="AC22" i="32"/>
  <c r="AB22" i="32"/>
  <c r="AA22" i="32"/>
  <c r="Z22" i="32"/>
  <c r="Y22" i="32"/>
  <c r="AH21" i="32"/>
  <c r="AG21" i="32"/>
  <c r="AF21" i="32"/>
  <c r="AE21" i="32"/>
  <c r="AD21" i="32"/>
  <c r="AC21" i="32"/>
  <c r="AB21" i="32"/>
  <c r="AA21" i="32"/>
  <c r="Z21" i="32"/>
  <c r="Y21" i="32"/>
  <c r="AH20" i="32"/>
  <c r="AG20" i="32"/>
  <c r="AF20" i="32"/>
  <c r="AE20" i="32"/>
  <c r="AD20" i="32"/>
  <c r="AC20" i="32"/>
  <c r="AB20" i="32"/>
  <c r="AA20" i="32"/>
  <c r="Z20" i="32"/>
  <c r="Y20" i="32"/>
  <c r="AH19" i="32"/>
  <c r="AG19" i="32"/>
  <c r="AF19" i="32"/>
  <c r="AE19" i="32"/>
  <c r="AD19" i="32"/>
  <c r="AC19" i="32"/>
  <c r="AB19" i="32"/>
  <c r="AA19" i="32"/>
  <c r="Z19" i="32"/>
  <c r="Y19" i="32"/>
  <c r="AH18" i="32"/>
  <c r="AG18" i="32"/>
  <c r="AF18" i="32"/>
  <c r="AE18" i="32"/>
  <c r="AD18" i="32"/>
  <c r="AC18" i="32"/>
  <c r="AB18" i="32"/>
  <c r="AA18" i="32"/>
  <c r="Z18" i="32"/>
  <c r="Y18" i="32"/>
  <c r="AH17" i="32"/>
  <c r="AG17" i="32"/>
  <c r="AF17" i="32"/>
  <c r="AE17" i="32"/>
  <c r="AD17" i="32"/>
  <c r="AC17" i="32"/>
  <c r="AB17" i="32"/>
  <c r="AA17" i="32"/>
  <c r="Z17" i="32"/>
  <c r="Y17" i="32"/>
  <c r="AH16" i="32"/>
  <c r="AG16" i="32"/>
  <c r="AF16" i="32"/>
  <c r="AE16" i="32"/>
  <c r="AD16" i="32"/>
  <c r="AC16" i="32"/>
  <c r="AB16" i="32"/>
  <c r="AA16" i="32"/>
  <c r="Z16" i="32"/>
  <c r="Y16" i="32"/>
  <c r="AH15" i="32"/>
  <c r="AG15" i="32"/>
  <c r="AF15" i="32"/>
  <c r="AE15" i="32"/>
  <c r="AD15" i="32"/>
  <c r="AC15" i="32"/>
  <c r="AB15" i="32"/>
  <c r="AA15" i="32"/>
  <c r="Z15" i="32"/>
  <c r="Y15" i="32"/>
  <c r="AH14" i="32"/>
  <c r="AG14" i="32"/>
  <c r="AF14" i="32"/>
  <c r="AE14" i="32"/>
  <c r="AD14" i="32"/>
  <c r="AC14" i="32"/>
  <c r="AB14" i="32"/>
  <c r="AA14" i="32"/>
  <c r="Z14" i="32"/>
  <c r="Y14" i="32"/>
  <c r="AH13" i="32"/>
  <c r="AG13" i="32"/>
  <c r="AF13" i="32"/>
  <c r="AE13" i="32"/>
  <c r="AD13" i="32"/>
  <c r="AC13" i="32"/>
  <c r="AB13" i="32"/>
  <c r="AA13" i="32"/>
  <c r="Z13" i="32"/>
  <c r="Y13" i="32"/>
  <c r="AH12" i="32"/>
  <c r="AG12" i="32"/>
  <c r="AF12" i="32"/>
  <c r="AE12" i="32"/>
  <c r="AD12" i="32"/>
  <c r="AC12" i="32"/>
  <c r="AB12" i="32"/>
  <c r="AA12" i="32"/>
  <c r="Z12" i="32"/>
  <c r="Y12" i="32"/>
  <c r="AH11" i="32"/>
  <c r="AG11" i="32"/>
  <c r="AF11" i="32"/>
  <c r="AE11" i="32"/>
  <c r="AD11" i="32"/>
  <c r="AC11" i="32"/>
  <c r="AB11" i="32"/>
  <c r="AA11" i="32"/>
  <c r="Z11" i="32"/>
  <c r="Y11" i="32"/>
  <c r="AH10" i="32"/>
  <c r="AG10" i="32"/>
  <c r="AF10" i="32"/>
  <c r="AE10" i="32"/>
  <c r="AD10" i="32"/>
  <c r="AC10" i="32"/>
  <c r="AB10" i="32"/>
  <c r="AA10" i="32"/>
  <c r="Z10" i="32"/>
  <c r="Y10" i="32"/>
  <c r="AH9" i="32"/>
  <c r="AG9" i="32"/>
  <c r="AF9" i="32"/>
  <c r="AE9" i="32"/>
  <c r="AD9" i="32"/>
  <c r="AC9" i="32"/>
  <c r="AB9" i="32"/>
  <c r="AA9" i="32"/>
  <c r="Z9" i="32"/>
  <c r="Y9" i="32"/>
  <c r="AH8" i="32"/>
  <c r="AG8" i="32"/>
  <c r="AF8" i="32"/>
  <c r="AE8" i="32"/>
  <c r="AD8" i="32"/>
  <c r="AC8" i="32"/>
  <c r="AB8" i="32"/>
  <c r="AA8" i="32"/>
  <c r="Z8" i="32"/>
  <c r="Y8" i="32"/>
  <c r="AH7" i="32"/>
  <c r="AG7" i="32"/>
  <c r="AF7" i="32"/>
  <c r="AE7" i="32"/>
  <c r="AD7" i="32"/>
  <c r="AC7" i="32"/>
  <c r="AB7" i="32"/>
  <c r="AA7" i="32"/>
  <c r="Z7" i="32"/>
  <c r="Y7" i="32"/>
  <c r="AH6" i="32"/>
  <c r="AG6" i="32"/>
  <c r="AF6" i="32"/>
  <c r="AE6" i="32"/>
  <c r="AD6" i="32"/>
  <c r="AC6" i="32"/>
  <c r="AB6" i="32"/>
  <c r="AA6" i="32"/>
  <c r="Z6" i="32"/>
  <c r="Y6" i="32"/>
  <c r="AH5" i="32"/>
  <c r="AG5" i="32"/>
  <c r="AF5" i="32"/>
  <c r="AE5" i="32"/>
  <c r="AD5" i="32"/>
  <c r="AC5" i="32"/>
  <c r="AB5" i="32"/>
  <c r="AA5" i="32"/>
  <c r="Z5" i="32"/>
  <c r="Y5" i="32"/>
  <c r="AH4" i="32"/>
  <c r="AG4" i="32"/>
  <c r="AF4" i="32"/>
  <c r="AE4" i="32"/>
  <c r="AD4" i="32"/>
  <c r="AC4" i="32"/>
  <c r="AB4" i="32"/>
  <c r="AA4" i="32"/>
  <c r="Z4" i="32"/>
  <c r="Y4" i="32"/>
  <c r="W42" i="32"/>
  <c r="V42" i="32"/>
  <c r="U42" i="32"/>
  <c r="T42" i="32"/>
  <c r="S42" i="32"/>
  <c r="R42" i="32"/>
  <c r="Q42" i="32"/>
  <c r="P42" i="32"/>
  <c r="O42" i="32"/>
  <c r="N42" i="32"/>
  <c r="W41" i="32"/>
  <c r="V41" i="32"/>
  <c r="U41" i="32"/>
  <c r="T41" i="32"/>
  <c r="S41" i="32"/>
  <c r="R41" i="32"/>
  <c r="Q41" i="32"/>
  <c r="P41" i="32"/>
  <c r="O41" i="32"/>
  <c r="N41" i="32"/>
  <c r="W40" i="32"/>
  <c r="V40" i="32"/>
  <c r="U40" i="32"/>
  <c r="T40" i="32"/>
  <c r="S40" i="32"/>
  <c r="R40" i="32"/>
  <c r="Q40" i="32"/>
  <c r="P40" i="32"/>
  <c r="O40" i="32"/>
  <c r="N40" i="32"/>
  <c r="W39" i="32"/>
  <c r="V39" i="32"/>
  <c r="U39" i="32"/>
  <c r="T39" i="32"/>
  <c r="S39" i="32"/>
  <c r="R39" i="32"/>
  <c r="Q39" i="32"/>
  <c r="P39" i="32"/>
  <c r="O39" i="32"/>
  <c r="N39" i="32"/>
  <c r="W38" i="32"/>
  <c r="V38" i="32"/>
  <c r="U38" i="32"/>
  <c r="T38" i="32"/>
  <c r="S38" i="32"/>
  <c r="R38" i="32"/>
  <c r="Q38" i="32"/>
  <c r="P38" i="32"/>
  <c r="O38" i="32"/>
  <c r="N38" i="32"/>
  <c r="W37" i="32"/>
  <c r="V37" i="32"/>
  <c r="U37" i="32"/>
  <c r="T37" i="32"/>
  <c r="S37" i="32"/>
  <c r="R37" i="32"/>
  <c r="Q37" i="32"/>
  <c r="P37" i="32"/>
  <c r="O37" i="32"/>
  <c r="N37" i="32"/>
  <c r="W36" i="32"/>
  <c r="V36" i="32"/>
  <c r="U36" i="32"/>
  <c r="T36" i="32"/>
  <c r="S36" i="32"/>
  <c r="R36" i="32"/>
  <c r="Q36" i="32"/>
  <c r="P36" i="32"/>
  <c r="O36" i="32"/>
  <c r="N36" i="32"/>
  <c r="W35" i="32"/>
  <c r="V35" i="32"/>
  <c r="U35" i="32"/>
  <c r="T35" i="32"/>
  <c r="S35" i="32"/>
  <c r="R35" i="32"/>
  <c r="Q35" i="32"/>
  <c r="P35" i="32"/>
  <c r="O35" i="32"/>
  <c r="N35" i="32"/>
  <c r="W34" i="32"/>
  <c r="V34" i="32"/>
  <c r="U34" i="32"/>
  <c r="T34" i="32"/>
  <c r="S34" i="32"/>
  <c r="R34" i="32"/>
  <c r="R77" i="32" s="1"/>
  <c r="Q34" i="32"/>
  <c r="P34" i="32"/>
  <c r="O34" i="32"/>
  <c r="N34" i="32"/>
  <c r="W33" i="32"/>
  <c r="V33" i="32"/>
  <c r="U33" i="32"/>
  <c r="T33" i="32"/>
  <c r="S33" i="32"/>
  <c r="R33" i="32"/>
  <c r="Q33" i="32"/>
  <c r="P33" i="32"/>
  <c r="O33" i="32"/>
  <c r="N33" i="32"/>
  <c r="W32" i="32"/>
  <c r="V32" i="32"/>
  <c r="U32" i="32"/>
  <c r="T32" i="32"/>
  <c r="S32" i="32"/>
  <c r="R32" i="32"/>
  <c r="Q32" i="32"/>
  <c r="P32" i="32"/>
  <c r="O32" i="32"/>
  <c r="N32" i="32"/>
  <c r="W31" i="32"/>
  <c r="V31" i="32"/>
  <c r="U31" i="32"/>
  <c r="T31" i="32"/>
  <c r="S31" i="32"/>
  <c r="R31" i="32"/>
  <c r="Q31" i="32"/>
  <c r="P31" i="32"/>
  <c r="O31" i="32"/>
  <c r="N31" i="32"/>
  <c r="W30" i="32"/>
  <c r="V30" i="32"/>
  <c r="U30" i="32"/>
  <c r="T30" i="32"/>
  <c r="S30" i="32"/>
  <c r="R30" i="32"/>
  <c r="Q30" i="32"/>
  <c r="P30" i="32"/>
  <c r="O30" i="32"/>
  <c r="N30" i="32"/>
  <c r="W29" i="32"/>
  <c r="V29" i="32"/>
  <c r="U29" i="32"/>
  <c r="T29" i="32"/>
  <c r="S29" i="32"/>
  <c r="R29" i="32"/>
  <c r="Q29" i="32"/>
  <c r="P29" i="32"/>
  <c r="O29" i="32"/>
  <c r="N29" i="32"/>
  <c r="W28" i="32"/>
  <c r="V28" i="32"/>
  <c r="U28" i="32"/>
  <c r="T28" i="32"/>
  <c r="S28" i="32"/>
  <c r="R28" i="32"/>
  <c r="Q28" i="32"/>
  <c r="P28" i="32"/>
  <c r="O28" i="32"/>
  <c r="N28" i="32"/>
  <c r="W27" i="32"/>
  <c r="V27" i="32"/>
  <c r="U27" i="32"/>
  <c r="T27" i="32"/>
  <c r="S27" i="32"/>
  <c r="R27" i="32"/>
  <c r="Q27" i="32"/>
  <c r="P27" i="32"/>
  <c r="O27" i="32"/>
  <c r="N27" i="32"/>
  <c r="W26" i="32"/>
  <c r="V26" i="32"/>
  <c r="U26" i="32"/>
  <c r="T26" i="32"/>
  <c r="S26" i="32"/>
  <c r="R26" i="32"/>
  <c r="Q26" i="32"/>
  <c r="P26" i="32"/>
  <c r="O26" i="32"/>
  <c r="N26" i="32"/>
  <c r="W25" i="32"/>
  <c r="V25" i="32"/>
  <c r="U25" i="32"/>
  <c r="T25" i="32"/>
  <c r="S25" i="32"/>
  <c r="R25" i="32"/>
  <c r="Q25" i="32"/>
  <c r="P25" i="32"/>
  <c r="O25" i="32"/>
  <c r="N25" i="32"/>
  <c r="W24" i="32"/>
  <c r="V24" i="32"/>
  <c r="U24" i="32"/>
  <c r="T24" i="32"/>
  <c r="S24" i="32"/>
  <c r="R24" i="32"/>
  <c r="Q24" i="32"/>
  <c r="P24" i="32"/>
  <c r="O24" i="32"/>
  <c r="N24" i="32"/>
  <c r="W23" i="32"/>
  <c r="V23" i="32"/>
  <c r="U23" i="32"/>
  <c r="T23" i="32"/>
  <c r="S23" i="32"/>
  <c r="R23" i="32"/>
  <c r="Q23" i="32"/>
  <c r="P23" i="32"/>
  <c r="O23" i="32"/>
  <c r="N23" i="32"/>
  <c r="W22" i="32"/>
  <c r="V22" i="32"/>
  <c r="U22" i="32"/>
  <c r="T22" i="32"/>
  <c r="S22" i="32"/>
  <c r="R22" i="32"/>
  <c r="Q22" i="32"/>
  <c r="P22" i="32"/>
  <c r="O22" i="32"/>
  <c r="N22" i="32"/>
  <c r="W21" i="32"/>
  <c r="V21" i="32"/>
  <c r="U21" i="32"/>
  <c r="T21" i="32"/>
  <c r="S21" i="32"/>
  <c r="R21" i="32"/>
  <c r="Q21" i="32"/>
  <c r="P21" i="32"/>
  <c r="O21" i="32"/>
  <c r="N21" i="32"/>
  <c r="W20" i="32"/>
  <c r="V20" i="32"/>
  <c r="U20" i="32"/>
  <c r="T20" i="32"/>
  <c r="S20" i="32"/>
  <c r="R20" i="32"/>
  <c r="Q20" i="32"/>
  <c r="P20" i="32"/>
  <c r="O20" i="32"/>
  <c r="N20" i="32"/>
  <c r="W19" i="32"/>
  <c r="V19" i="32"/>
  <c r="U19" i="32"/>
  <c r="T19" i="32"/>
  <c r="S19" i="32"/>
  <c r="R19" i="32"/>
  <c r="Q19" i="32"/>
  <c r="P19" i="32"/>
  <c r="O19" i="32"/>
  <c r="N19" i="32"/>
  <c r="W18" i="32"/>
  <c r="V18" i="32"/>
  <c r="U18" i="32"/>
  <c r="T18" i="32"/>
  <c r="S18" i="32"/>
  <c r="R18" i="32"/>
  <c r="Q18" i="32"/>
  <c r="P18" i="32"/>
  <c r="O18" i="32"/>
  <c r="N18" i="32"/>
  <c r="W17" i="32"/>
  <c r="V17" i="32"/>
  <c r="U17" i="32"/>
  <c r="T17" i="32"/>
  <c r="S17" i="32"/>
  <c r="R17" i="32"/>
  <c r="Q17" i="32"/>
  <c r="P17" i="32"/>
  <c r="O17" i="32"/>
  <c r="N17" i="32"/>
  <c r="W16" i="32"/>
  <c r="V16" i="32"/>
  <c r="V59" i="32" s="1"/>
  <c r="U16" i="32"/>
  <c r="T16" i="32"/>
  <c r="S16" i="32"/>
  <c r="R16" i="32"/>
  <c r="Q16" i="32"/>
  <c r="P16" i="32"/>
  <c r="O16" i="32"/>
  <c r="N16" i="32"/>
  <c r="W15" i="32"/>
  <c r="V15" i="32"/>
  <c r="U15" i="32"/>
  <c r="T15" i="32"/>
  <c r="S15" i="32"/>
  <c r="R15" i="32"/>
  <c r="Q15" i="32"/>
  <c r="P15" i="32"/>
  <c r="O15" i="32"/>
  <c r="N15" i="32"/>
  <c r="W14" i="32"/>
  <c r="V14" i="32"/>
  <c r="U14" i="32"/>
  <c r="T14" i="32"/>
  <c r="S14" i="32"/>
  <c r="R14" i="32"/>
  <c r="Q14" i="32"/>
  <c r="P14" i="32"/>
  <c r="O14" i="32"/>
  <c r="N14" i="32"/>
  <c r="W13" i="32"/>
  <c r="V13" i="32"/>
  <c r="U13" i="32"/>
  <c r="T13" i="32"/>
  <c r="S13" i="32"/>
  <c r="R13" i="32"/>
  <c r="Q13" i="32"/>
  <c r="P13" i="32"/>
  <c r="O13" i="32"/>
  <c r="N13" i="32"/>
  <c r="W12" i="32"/>
  <c r="V12" i="32"/>
  <c r="U12" i="32"/>
  <c r="T12" i="32"/>
  <c r="S12" i="32"/>
  <c r="R12" i="32"/>
  <c r="Q12" i="32"/>
  <c r="P12" i="32"/>
  <c r="O12" i="32"/>
  <c r="N12" i="32"/>
  <c r="W11" i="32"/>
  <c r="V11" i="32"/>
  <c r="U11" i="32"/>
  <c r="T11" i="32"/>
  <c r="S11" i="32"/>
  <c r="R11" i="32"/>
  <c r="Q11" i="32"/>
  <c r="P11" i="32"/>
  <c r="O11" i="32"/>
  <c r="N11" i="32"/>
  <c r="W10" i="32"/>
  <c r="V10" i="32"/>
  <c r="U10" i="32"/>
  <c r="T10" i="32"/>
  <c r="S10" i="32"/>
  <c r="R10" i="32"/>
  <c r="Q10" i="32"/>
  <c r="P10" i="32"/>
  <c r="O10" i="32"/>
  <c r="N10" i="32"/>
  <c r="W9" i="32"/>
  <c r="V9" i="32"/>
  <c r="U9" i="32"/>
  <c r="T9" i="32"/>
  <c r="S9" i="32"/>
  <c r="R9" i="32"/>
  <c r="Q9" i="32"/>
  <c r="P9" i="32"/>
  <c r="O9" i="32"/>
  <c r="N9" i="32"/>
  <c r="W8" i="32"/>
  <c r="V8" i="32"/>
  <c r="U8" i="32"/>
  <c r="T8" i="32"/>
  <c r="S8" i="32"/>
  <c r="R8" i="32"/>
  <c r="Q8" i="32"/>
  <c r="P8" i="32"/>
  <c r="O8" i="32"/>
  <c r="N8" i="32"/>
  <c r="W7" i="32"/>
  <c r="V7" i="32"/>
  <c r="U7" i="32"/>
  <c r="T7" i="32"/>
  <c r="S7" i="32"/>
  <c r="R7" i="32"/>
  <c r="Q7" i="32"/>
  <c r="P7" i="32"/>
  <c r="O7" i="32"/>
  <c r="N7" i="32"/>
  <c r="W6" i="32"/>
  <c r="V6" i="32"/>
  <c r="U6" i="32"/>
  <c r="T6" i="32"/>
  <c r="S6" i="32"/>
  <c r="R6" i="32"/>
  <c r="Q6" i="32"/>
  <c r="P6" i="32"/>
  <c r="O6" i="32"/>
  <c r="N6" i="32"/>
  <c r="W5" i="32"/>
  <c r="V5" i="32"/>
  <c r="U5" i="32"/>
  <c r="T5" i="32"/>
  <c r="S5" i="32"/>
  <c r="R5" i="32"/>
  <c r="Q5" i="32"/>
  <c r="P5" i="32"/>
  <c r="O5" i="32"/>
  <c r="N5" i="32"/>
  <c r="W4" i="32"/>
  <c r="V4" i="32"/>
  <c r="U4" i="32"/>
  <c r="T4" i="32"/>
  <c r="S4" i="32"/>
  <c r="R4" i="32"/>
  <c r="Q4" i="32"/>
  <c r="P4" i="32"/>
  <c r="O4" i="32"/>
  <c r="N4" i="32"/>
  <c r="L5" i="32"/>
  <c r="L6" i="32"/>
  <c r="L7" i="32"/>
  <c r="L8" i="32"/>
  <c r="L9" i="32"/>
  <c r="L10" i="32"/>
  <c r="L11" i="32"/>
  <c r="L12" i="32"/>
  <c r="L13" i="32"/>
  <c r="L14" i="32"/>
  <c r="L15" i="32"/>
  <c r="L16" i="32"/>
  <c r="L59" i="32" s="1"/>
  <c r="L17" i="32"/>
  <c r="L18" i="32"/>
  <c r="L19" i="32"/>
  <c r="L20" i="32"/>
  <c r="L63" i="32" s="1"/>
  <c r="L21" i="32"/>
  <c r="L22" i="32"/>
  <c r="L23" i="32"/>
  <c r="L24" i="32"/>
  <c r="L25" i="32"/>
  <c r="L26" i="32"/>
  <c r="L27" i="32"/>
  <c r="L28" i="32"/>
  <c r="L71" i="32" s="1"/>
  <c r="L29" i="32"/>
  <c r="L30" i="32"/>
  <c r="L31" i="32"/>
  <c r="L32" i="32"/>
  <c r="L33" i="32"/>
  <c r="L34" i="32"/>
  <c r="L35" i="32"/>
  <c r="L36" i="32"/>
  <c r="L79" i="32" s="1"/>
  <c r="L37" i="32"/>
  <c r="L38" i="32"/>
  <c r="L39" i="32"/>
  <c r="L40" i="32"/>
  <c r="L41" i="32"/>
  <c r="L42" i="32"/>
  <c r="L4" i="32"/>
  <c r="D4" i="32"/>
  <c r="E4" i="32"/>
  <c r="F4" i="32"/>
  <c r="G4" i="32"/>
  <c r="H4" i="32"/>
  <c r="I4" i="32"/>
  <c r="I47" i="32" s="1"/>
  <c r="J4" i="32"/>
  <c r="J47" i="32"/>
  <c r="K4" i="32"/>
  <c r="K47" i="32" s="1"/>
  <c r="D5" i="32"/>
  <c r="E5" i="32"/>
  <c r="F5" i="32"/>
  <c r="G5" i="32"/>
  <c r="H5" i="32"/>
  <c r="I5" i="32"/>
  <c r="I48" i="32" s="1"/>
  <c r="J5" i="32"/>
  <c r="J48" i="32" s="1"/>
  <c r="K5" i="32"/>
  <c r="K48" i="32" s="1"/>
  <c r="D6" i="32"/>
  <c r="E6" i="32"/>
  <c r="F6" i="32"/>
  <c r="G6" i="32"/>
  <c r="G49" i="32" s="1"/>
  <c r="H6" i="32"/>
  <c r="I6" i="32"/>
  <c r="J6" i="32"/>
  <c r="J49" i="32" s="1"/>
  <c r="K6" i="32"/>
  <c r="K49" i="32" s="1"/>
  <c r="D7" i="32"/>
  <c r="E7" i="32"/>
  <c r="F7" i="32"/>
  <c r="G7" i="32"/>
  <c r="H7" i="32"/>
  <c r="H50" i="32" s="1"/>
  <c r="I7" i="32"/>
  <c r="I50" i="32" s="1"/>
  <c r="J7" i="32"/>
  <c r="J50" i="32" s="1"/>
  <c r="K7" i="32"/>
  <c r="K50" i="32" s="1"/>
  <c r="D8" i="32"/>
  <c r="E8" i="32"/>
  <c r="F8" i="32"/>
  <c r="G8" i="32"/>
  <c r="H8" i="32"/>
  <c r="H51" i="32" s="1"/>
  <c r="I8" i="32"/>
  <c r="I51" i="32" s="1"/>
  <c r="J8" i="32"/>
  <c r="J51" i="32" s="1"/>
  <c r="K8" i="32"/>
  <c r="K51" i="32" s="1"/>
  <c r="D9" i="32"/>
  <c r="E9" i="32"/>
  <c r="F9" i="32"/>
  <c r="G9" i="32"/>
  <c r="H9" i="32"/>
  <c r="H52" i="32" s="1"/>
  <c r="I9" i="32"/>
  <c r="I52" i="32" s="1"/>
  <c r="J9" i="32"/>
  <c r="J52" i="32" s="1"/>
  <c r="K9" i="32"/>
  <c r="K52" i="32" s="1"/>
  <c r="D10" i="32"/>
  <c r="E10" i="32"/>
  <c r="F10" i="32"/>
  <c r="G10" i="32"/>
  <c r="G53" i="32" s="1"/>
  <c r="H10" i="32"/>
  <c r="H53" i="32" s="1"/>
  <c r="I10" i="32"/>
  <c r="I53" i="32" s="1"/>
  <c r="J10" i="32"/>
  <c r="J53" i="32" s="1"/>
  <c r="K10" i="32"/>
  <c r="K53" i="32" s="1"/>
  <c r="D11" i="32"/>
  <c r="E11" i="32"/>
  <c r="F11" i="32"/>
  <c r="G11" i="32"/>
  <c r="H11" i="32"/>
  <c r="L54" i="32" s="1"/>
  <c r="I11" i="32"/>
  <c r="I54" i="32" s="1"/>
  <c r="J11" i="32"/>
  <c r="K11" i="32"/>
  <c r="K54" i="32" s="1"/>
  <c r="D12" i="32"/>
  <c r="E12" i="32"/>
  <c r="F12" i="32"/>
  <c r="G12" i="32"/>
  <c r="H12" i="32"/>
  <c r="H55" i="32" s="1"/>
  <c r="I12" i="32"/>
  <c r="J12" i="32"/>
  <c r="J55" i="32" s="1"/>
  <c r="K12" i="32"/>
  <c r="K55" i="32" s="1"/>
  <c r="D13" i="32"/>
  <c r="E13" i="32"/>
  <c r="F13" i="32"/>
  <c r="G13" i="32"/>
  <c r="H13" i="32"/>
  <c r="L56" i="32" s="1"/>
  <c r="I13" i="32"/>
  <c r="I56" i="32" s="1"/>
  <c r="J13" i="32"/>
  <c r="J56" i="32" s="1"/>
  <c r="K13" i="32"/>
  <c r="K56" i="32" s="1"/>
  <c r="D14" i="32"/>
  <c r="E14" i="32"/>
  <c r="F14" i="32"/>
  <c r="G14" i="32"/>
  <c r="H14" i="32"/>
  <c r="I14" i="32"/>
  <c r="I57" i="32" s="1"/>
  <c r="J14" i="32"/>
  <c r="J57" i="32" s="1"/>
  <c r="K14" i="32"/>
  <c r="K57" i="32" s="1"/>
  <c r="D15" i="32"/>
  <c r="E15" i="32"/>
  <c r="F15" i="32"/>
  <c r="G15" i="32"/>
  <c r="H15" i="32"/>
  <c r="H58" i="32" s="1"/>
  <c r="I15" i="32"/>
  <c r="I58" i="32" s="1"/>
  <c r="J15" i="32"/>
  <c r="J58" i="32" s="1"/>
  <c r="K15" i="32"/>
  <c r="K58" i="32" s="1"/>
  <c r="D16" i="32"/>
  <c r="E16" i="32"/>
  <c r="F16" i="32"/>
  <c r="G16" i="32"/>
  <c r="H16" i="32"/>
  <c r="I16" i="32"/>
  <c r="I59" i="32" s="1"/>
  <c r="J16" i="32"/>
  <c r="J59" i="32" s="1"/>
  <c r="K16" i="32"/>
  <c r="K59" i="32" s="1"/>
  <c r="D17" i="32"/>
  <c r="E17" i="32"/>
  <c r="F17" i="32"/>
  <c r="G17" i="32"/>
  <c r="H17" i="32"/>
  <c r="I17" i="32"/>
  <c r="I60" i="32" s="1"/>
  <c r="J17" i="32"/>
  <c r="J60" i="32" s="1"/>
  <c r="K17" i="32"/>
  <c r="K60" i="32" s="1"/>
  <c r="D18" i="32"/>
  <c r="E18" i="32"/>
  <c r="F18" i="32"/>
  <c r="G18" i="32"/>
  <c r="H18" i="32"/>
  <c r="I18" i="32"/>
  <c r="I61" i="32" s="1"/>
  <c r="J18" i="32"/>
  <c r="J61" i="32" s="1"/>
  <c r="K18" i="32"/>
  <c r="K61" i="32" s="1"/>
  <c r="D19" i="32"/>
  <c r="E19" i="32"/>
  <c r="F19" i="32"/>
  <c r="G19" i="32"/>
  <c r="H19" i="32"/>
  <c r="H62" i="32" s="1"/>
  <c r="I19" i="32"/>
  <c r="I62" i="32"/>
  <c r="J19" i="32"/>
  <c r="K19" i="32"/>
  <c r="D20" i="32"/>
  <c r="E20" i="32"/>
  <c r="F20" i="32"/>
  <c r="G20" i="32"/>
  <c r="H20" i="32"/>
  <c r="I20" i="32"/>
  <c r="I63" i="32" s="1"/>
  <c r="J20" i="32"/>
  <c r="J63" i="32" s="1"/>
  <c r="K20" i="32"/>
  <c r="D21" i="32"/>
  <c r="E21" i="32"/>
  <c r="F21" i="32"/>
  <c r="G21" i="32"/>
  <c r="H21" i="32"/>
  <c r="H64" i="32"/>
  <c r="I21" i="32"/>
  <c r="J21" i="32"/>
  <c r="K21" i="32"/>
  <c r="K64" i="32" s="1"/>
  <c r="D22" i="32"/>
  <c r="E22" i="32"/>
  <c r="F22" i="32"/>
  <c r="G22" i="32"/>
  <c r="H22" i="32"/>
  <c r="H65" i="32" s="1"/>
  <c r="I22" i="32"/>
  <c r="J22" i="32"/>
  <c r="J65" i="32"/>
  <c r="K22" i="32"/>
  <c r="D23" i="32"/>
  <c r="E23" i="32"/>
  <c r="F23" i="32"/>
  <c r="G23" i="32"/>
  <c r="H23" i="32"/>
  <c r="I23" i="32"/>
  <c r="I66" i="32" s="1"/>
  <c r="J23" i="32"/>
  <c r="J66" i="32" s="1"/>
  <c r="K23" i="32"/>
  <c r="K66" i="32" s="1"/>
  <c r="D24" i="32"/>
  <c r="E24" i="32"/>
  <c r="F24" i="32"/>
  <c r="G24" i="32"/>
  <c r="G67" i="32" s="1"/>
  <c r="H24" i="32"/>
  <c r="H67" i="32" s="1"/>
  <c r="I24" i="32"/>
  <c r="I67" i="32" s="1"/>
  <c r="J24" i="32"/>
  <c r="J67" i="32" s="1"/>
  <c r="K24" i="32"/>
  <c r="D25" i="32"/>
  <c r="E25" i="32"/>
  <c r="F25" i="32"/>
  <c r="G25" i="32"/>
  <c r="H25" i="32"/>
  <c r="H68" i="32" s="1"/>
  <c r="I25" i="32"/>
  <c r="J25" i="32"/>
  <c r="J68" i="32" s="1"/>
  <c r="K25" i="32"/>
  <c r="K68" i="32" s="1"/>
  <c r="D26" i="32"/>
  <c r="E26" i="32"/>
  <c r="F26" i="32"/>
  <c r="G26" i="32"/>
  <c r="H26" i="32"/>
  <c r="H69" i="32" s="1"/>
  <c r="I26" i="32"/>
  <c r="J26" i="32"/>
  <c r="K26" i="32"/>
  <c r="K69" i="32" s="1"/>
  <c r="D27" i="32"/>
  <c r="E27" i="32"/>
  <c r="F27" i="32"/>
  <c r="G27" i="32"/>
  <c r="H27" i="32"/>
  <c r="I27" i="32"/>
  <c r="J27" i="32"/>
  <c r="J70" i="32" s="1"/>
  <c r="K27" i="32"/>
  <c r="K70" i="32" s="1"/>
  <c r="D28" i="32"/>
  <c r="E28" i="32"/>
  <c r="F28" i="32"/>
  <c r="G28" i="32"/>
  <c r="H28" i="32"/>
  <c r="H71" i="32" s="1"/>
  <c r="I28" i="32"/>
  <c r="J28" i="32"/>
  <c r="J71" i="32" s="1"/>
  <c r="K28" i="32"/>
  <c r="K71" i="32" s="1"/>
  <c r="D29" i="32"/>
  <c r="E29" i="32"/>
  <c r="F29" i="32"/>
  <c r="G29" i="32"/>
  <c r="H29" i="32"/>
  <c r="H72" i="32" s="1"/>
  <c r="I29" i="32"/>
  <c r="J29" i="32"/>
  <c r="K29" i="32"/>
  <c r="D30" i="32"/>
  <c r="E30" i="32"/>
  <c r="F30" i="32"/>
  <c r="G30" i="32"/>
  <c r="H30" i="32"/>
  <c r="H73" i="32" s="1"/>
  <c r="I30" i="32"/>
  <c r="I73" i="32" s="1"/>
  <c r="J30" i="32"/>
  <c r="J73" i="32" s="1"/>
  <c r="K30" i="32"/>
  <c r="K73" i="32" s="1"/>
  <c r="D31" i="32"/>
  <c r="E31" i="32"/>
  <c r="F31" i="32"/>
  <c r="G31" i="32"/>
  <c r="G74" i="32" s="1"/>
  <c r="H31" i="32"/>
  <c r="H74" i="32" s="1"/>
  <c r="I31" i="32"/>
  <c r="I74" i="32" s="1"/>
  <c r="J31" i="32"/>
  <c r="J74" i="32" s="1"/>
  <c r="K31" i="32"/>
  <c r="D32" i="32"/>
  <c r="E32" i="32"/>
  <c r="F32" i="32"/>
  <c r="G32" i="32"/>
  <c r="H32" i="32"/>
  <c r="H75" i="32" s="1"/>
  <c r="I32" i="32"/>
  <c r="I75" i="32" s="1"/>
  <c r="J32" i="32"/>
  <c r="J75" i="32" s="1"/>
  <c r="K32" i="32"/>
  <c r="K75" i="32" s="1"/>
  <c r="D33" i="32"/>
  <c r="E33" i="32"/>
  <c r="F33" i="32"/>
  <c r="G33" i="32"/>
  <c r="H33" i="32"/>
  <c r="I33" i="32"/>
  <c r="I76" i="32" s="1"/>
  <c r="J33" i="32"/>
  <c r="J76" i="32" s="1"/>
  <c r="K33" i="32"/>
  <c r="K76" i="32" s="1"/>
  <c r="D34" i="32"/>
  <c r="E34" i="32"/>
  <c r="F34" i="32"/>
  <c r="G34" i="32"/>
  <c r="H34" i="32"/>
  <c r="H77" i="32" s="1"/>
  <c r="I34" i="32"/>
  <c r="J34" i="32"/>
  <c r="K34" i="32"/>
  <c r="D35" i="32"/>
  <c r="E35" i="32"/>
  <c r="F35" i="32"/>
  <c r="G35" i="32"/>
  <c r="H35" i="32"/>
  <c r="H78" i="32" s="1"/>
  <c r="I35" i="32"/>
  <c r="I78" i="32" s="1"/>
  <c r="J35" i="32"/>
  <c r="J78" i="32" s="1"/>
  <c r="K35" i="32"/>
  <c r="K78" i="32" s="1"/>
  <c r="D36" i="32"/>
  <c r="E36" i="32"/>
  <c r="F36" i="32"/>
  <c r="G36" i="32"/>
  <c r="H36" i="32"/>
  <c r="H79" i="32" s="1"/>
  <c r="I36" i="32"/>
  <c r="I79" i="32" s="1"/>
  <c r="J36" i="32"/>
  <c r="J79" i="32" s="1"/>
  <c r="K36" i="32"/>
  <c r="D37" i="32"/>
  <c r="E37" i="32"/>
  <c r="F37" i="32"/>
  <c r="G37" i="32"/>
  <c r="H37" i="32"/>
  <c r="I37" i="32"/>
  <c r="I80" i="32" s="1"/>
  <c r="J37" i="32"/>
  <c r="J80" i="32" s="1"/>
  <c r="K37" i="32"/>
  <c r="K80" i="32" s="1"/>
  <c r="D38" i="32"/>
  <c r="E38" i="32"/>
  <c r="F38" i="32"/>
  <c r="G38" i="32"/>
  <c r="H38" i="32"/>
  <c r="L81" i="32" s="1"/>
  <c r="I38" i="32"/>
  <c r="J38" i="32"/>
  <c r="K38" i="32"/>
  <c r="K81" i="32" s="1"/>
  <c r="D39" i="32"/>
  <c r="E39" i="32"/>
  <c r="F39" i="32"/>
  <c r="G39" i="32"/>
  <c r="H39" i="32"/>
  <c r="H82" i="32" s="1"/>
  <c r="I39" i="32"/>
  <c r="I82" i="32" s="1"/>
  <c r="J39" i="32"/>
  <c r="J82" i="32" s="1"/>
  <c r="K39" i="32"/>
  <c r="K82" i="32" s="1"/>
  <c r="D40" i="32"/>
  <c r="E40" i="32"/>
  <c r="F40" i="32"/>
  <c r="G40" i="32"/>
  <c r="H40" i="32"/>
  <c r="H83" i="32" s="1"/>
  <c r="I40" i="32"/>
  <c r="I83" i="32" s="1"/>
  <c r="J40" i="32"/>
  <c r="J83" i="32"/>
  <c r="K40" i="32"/>
  <c r="D41" i="32"/>
  <c r="E41" i="32"/>
  <c r="F41" i="32"/>
  <c r="G41" i="32"/>
  <c r="H41" i="32"/>
  <c r="L84" i="32" s="1"/>
  <c r="I41" i="32"/>
  <c r="J41" i="32"/>
  <c r="K41" i="32"/>
  <c r="K84" i="32" s="1"/>
  <c r="D42" i="32"/>
  <c r="E42" i="32"/>
  <c r="F42" i="32"/>
  <c r="G42" i="32"/>
  <c r="H42" i="32"/>
  <c r="H85" i="32" s="1"/>
  <c r="I42" i="32"/>
  <c r="I85" i="32" s="1"/>
  <c r="J42" i="32"/>
  <c r="J85" i="32" s="1"/>
  <c r="K42" i="32"/>
  <c r="K85" i="32" s="1"/>
  <c r="C5" i="32"/>
  <c r="C6" i="32"/>
  <c r="C7" i="32"/>
  <c r="G50" i="32" s="1"/>
  <c r="C8" i="32"/>
  <c r="C9" i="32"/>
  <c r="C10" i="32"/>
  <c r="C11" i="32"/>
  <c r="C12" i="32"/>
  <c r="C13" i="32"/>
  <c r="C14" i="32"/>
  <c r="C15" i="32"/>
  <c r="C16" i="32"/>
  <c r="C17" i="32"/>
  <c r="C18" i="32"/>
  <c r="C19" i="32"/>
  <c r="C20" i="32"/>
  <c r="G63" i="32" s="1"/>
  <c r="C21" i="32"/>
  <c r="C22" i="32"/>
  <c r="C23" i="32"/>
  <c r="C24" i="32"/>
  <c r="C25" i="32"/>
  <c r="C26" i="32"/>
  <c r="C27" i="32"/>
  <c r="C28" i="32"/>
  <c r="C29" i="32"/>
  <c r="C30" i="32"/>
  <c r="C31" i="32"/>
  <c r="C32" i="32"/>
  <c r="C33" i="32"/>
  <c r="C34" i="32"/>
  <c r="C35" i="32"/>
  <c r="C36" i="32"/>
  <c r="C37" i="32"/>
  <c r="C38" i="32"/>
  <c r="C39" i="32"/>
  <c r="C40" i="32"/>
  <c r="C41" i="32"/>
  <c r="C42" i="32"/>
  <c r="C4" i="32"/>
  <c r="G47" i="32" s="1"/>
  <c r="D3" i="32"/>
  <c r="E3" i="32"/>
  <c r="F3" i="32"/>
  <c r="G3" i="32"/>
  <c r="H3" i="32"/>
  <c r="I3" i="32"/>
  <c r="J3" i="32"/>
  <c r="K3" i="32"/>
  <c r="L3" i="32"/>
  <c r="M3" i="32"/>
  <c r="M46" i="32" s="1"/>
  <c r="N3" i="32"/>
  <c r="N46" i="32" s="1"/>
  <c r="O3" i="32"/>
  <c r="O46" i="32" s="1"/>
  <c r="P3" i="32"/>
  <c r="P46" i="32" s="1"/>
  <c r="Q3" i="32"/>
  <c r="Q46" i="32" s="1"/>
  <c r="R3" i="32"/>
  <c r="R46" i="32" s="1"/>
  <c r="S3" i="32"/>
  <c r="S46" i="32" s="1"/>
  <c r="T3" i="32"/>
  <c r="T46" i="32" s="1"/>
  <c r="U3" i="32"/>
  <c r="U46" i="32" s="1"/>
  <c r="V3" i="32"/>
  <c r="V46" i="32" s="1"/>
  <c r="W3" i="32"/>
  <c r="W46" i="32" s="1"/>
  <c r="X3" i="32"/>
  <c r="Y3" i="32"/>
  <c r="Z3" i="32"/>
  <c r="AA3" i="32"/>
  <c r="AB3" i="32"/>
  <c r="AC3" i="32"/>
  <c r="AD3" i="32"/>
  <c r="AE3" i="32"/>
  <c r="AF3" i="32"/>
  <c r="AG3" i="32"/>
  <c r="AH3" i="32"/>
  <c r="AI3" i="32"/>
  <c r="AJ3" i="32"/>
  <c r="AK3" i="32"/>
  <c r="AL3" i="32"/>
  <c r="AM3" i="32"/>
  <c r="AN3" i="32"/>
  <c r="AO3" i="32"/>
  <c r="AP3" i="32"/>
  <c r="AQ3" i="32"/>
  <c r="AR3" i="32"/>
  <c r="AS3" i="32"/>
  <c r="AT3" i="32"/>
  <c r="AU3" i="32"/>
  <c r="AV3" i="32"/>
  <c r="AW3" i="32"/>
  <c r="AX3" i="32"/>
  <c r="AY3" i="32"/>
  <c r="AZ3" i="32"/>
  <c r="BA3" i="32"/>
  <c r="BB3" i="32"/>
  <c r="BC3" i="32"/>
  <c r="BD3" i="32"/>
  <c r="BE3" i="32"/>
  <c r="BF3" i="32"/>
  <c r="BG3" i="32"/>
  <c r="BH3" i="32"/>
  <c r="BI3" i="32"/>
  <c r="BJ3" i="32"/>
  <c r="BK3" i="32"/>
  <c r="BL3" i="32"/>
  <c r="BM3" i="32"/>
  <c r="BN3" i="32"/>
  <c r="BO3" i="32"/>
  <c r="BP3" i="32"/>
  <c r="BQ3" i="32"/>
  <c r="BR3" i="32"/>
  <c r="BS3" i="32"/>
  <c r="BT3" i="32"/>
  <c r="BU3" i="32"/>
  <c r="BV3" i="32"/>
  <c r="BW3" i="32"/>
  <c r="BX3" i="32"/>
  <c r="BY3" i="32"/>
  <c r="BZ3" i="32"/>
  <c r="CA3" i="32"/>
  <c r="CB3" i="32"/>
  <c r="CC3" i="32"/>
  <c r="CD3" i="32"/>
  <c r="CE3" i="32"/>
  <c r="CF3" i="32"/>
  <c r="CG3" i="32"/>
  <c r="CH3" i="32"/>
  <c r="CI3" i="32"/>
  <c r="CJ3" i="32"/>
  <c r="CK3" i="32"/>
  <c r="CL3" i="32"/>
  <c r="CM3" i="32"/>
  <c r="CN3" i="32"/>
  <c r="CO3" i="32"/>
  <c r="CP3" i="32"/>
  <c r="CQ3" i="32"/>
  <c r="CR3" i="32"/>
  <c r="CS3" i="32"/>
  <c r="CT3" i="32"/>
  <c r="CU3" i="32"/>
  <c r="CV3" i="32"/>
  <c r="CW3" i="32"/>
  <c r="CX3" i="32"/>
  <c r="CY3" i="32"/>
  <c r="CZ3" i="32"/>
  <c r="DA3" i="32"/>
  <c r="DB3" i="32"/>
  <c r="DC3" i="32"/>
  <c r="DD3" i="32"/>
  <c r="DE3" i="32"/>
  <c r="DF3" i="32"/>
  <c r="DG3" i="32"/>
  <c r="DH3" i="32"/>
  <c r="DI3" i="32"/>
  <c r="DJ3" i="32"/>
  <c r="DK3" i="32"/>
  <c r="DL3" i="32"/>
  <c r="DM3" i="32"/>
  <c r="DN3" i="32"/>
  <c r="DO3" i="32"/>
  <c r="DP3" i="32"/>
  <c r="DQ3" i="32"/>
  <c r="DR3" i="32"/>
  <c r="DS3" i="32"/>
  <c r="DT3" i="32"/>
  <c r="DU3" i="32"/>
  <c r="DV3" i="32"/>
  <c r="DW3" i="32"/>
  <c r="DX3" i="32"/>
  <c r="DY3" i="32"/>
  <c r="DZ3" i="32"/>
  <c r="EA3" i="32"/>
  <c r="EB3" i="32"/>
  <c r="EC3" i="32"/>
  <c r="ED3" i="32"/>
  <c r="EE3" i="32"/>
  <c r="EF3" i="32"/>
  <c r="EG3" i="32"/>
  <c r="EH3" i="32"/>
  <c r="EI3" i="32"/>
  <c r="EJ3" i="32"/>
  <c r="EK3" i="32"/>
  <c r="EL3" i="32"/>
  <c r="EM3" i="32"/>
  <c r="EN3" i="32"/>
  <c r="EO3" i="32"/>
  <c r="EP3" i="32"/>
  <c r="EQ3" i="32"/>
  <c r="ER3" i="32"/>
  <c r="ES3" i="32"/>
  <c r="ET3" i="32"/>
  <c r="EU3" i="32"/>
  <c r="EV3" i="32"/>
  <c r="EW3" i="32"/>
  <c r="EX3" i="32"/>
  <c r="EY3" i="32"/>
  <c r="EZ3" i="32"/>
  <c r="FA3" i="32"/>
  <c r="FB3" i="32"/>
  <c r="FC3" i="32"/>
  <c r="FD3" i="32"/>
  <c r="FE3" i="32"/>
  <c r="FF3" i="32"/>
  <c r="FG3" i="32"/>
  <c r="FH3" i="32"/>
  <c r="FI3" i="32"/>
  <c r="FJ3" i="32"/>
  <c r="FK3" i="32"/>
  <c r="FL3" i="32"/>
  <c r="FM3" i="32"/>
  <c r="FN3" i="32"/>
  <c r="FO3" i="32"/>
  <c r="FP3" i="32"/>
  <c r="FQ3" i="32"/>
  <c r="FR3" i="32"/>
  <c r="FS3" i="32"/>
  <c r="FT3" i="32"/>
  <c r="FU3" i="32"/>
  <c r="FV3" i="32"/>
  <c r="FW3" i="32"/>
  <c r="FX3" i="32"/>
  <c r="FY3" i="32"/>
  <c r="FZ3" i="32"/>
  <c r="GA3" i="32"/>
  <c r="GB3" i="32"/>
  <c r="GC3" i="32"/>
  <c r="GD3" i="32"/>
  <c r="GE3" i="32"/>
  <c r="GF3" i="32"/>
  <c r="GG3" i="32"/>
  <c r="GH3" i="32"/>
  <c r="GI3" i="32"/>
  <c r="GJ3" i="32"/>
  <c r="GK3" i="32"/>
  <c r="GL3" i="32"/>
  <c r="GM3" i="32"/>
  <c r="GN3" i="32"/>
  <c r="GO3" i="32"/>
  <c r="GP3" i="32"/>
  <c r="GQ3" i="32"/>
  <c r="GR3" i="32"/>
  <c r="GS3" i="32"/>
  <c r="GT3" i="32"/>
  <c r="GU3" i="32"/>
  <c r="GV3" i="32"/>
  <c r="GW3" i="32"/>
  <c r="GX3" i="32"/>
  <c r="GY3" i="32"/>
  <c r="GZ3" i="32"/>
  <c r="HA3" i="32"/>
  <c r="HB3" i="32"/>
  <c r="HC3" i="32"/>
  <c r="HD3" i="32"/>
  <c r="HE3" i="32"/>
  <c r="HF3" i="32"/>
  <c r="HG3" i="32"/>
  <c r="HH3" i="32"/>
  <c r="HI3" i="32"/>
  <c r="HJ3" i="32"/>
  <c r="HK3" i="32"/>
  <c r="HL3" i="32"/>
  <c r="HM3" i="32"/>
  <c r="HN3" i="32"/>
  <c r="HO3" i="32"/>
  <c r="HP3" i="32"/>
  <c r="HQ3" i="32"/>
  <c r="HR3" i="32"/>
  <c r="HS3" i="32"/>
  <c r="HT3" i="32"/>
  <c r="HU3" i="32"/>
  <c r="HV3" i="32"/>
  <c r="HW3" i="32"/>
  <c r="HX3" i="32"/>
  <c r="HY3" i="32"/>
  <c r="HZ3" i="32"/>
  <c r="IA3" i="32"/>
  <c r="IB3" i="32"/>
  <c r="IC3" i="32"/>
  <c r="ID3" i="32"/>
  <c r="IE3" i="32"/>
  <c r="IF3" i="32"/>
  <c r="IG3" i="32"/>
  <c r="IH3" i="32"/>
  <c r="II3" i="32"/>
  <c r="IJ3" i="32"/>
  <c r="IK3" i="32"/>
  <c r="IL3" i="32"/>
  <c r="IM3" i="32"/>
  <c r="IN3" i="32"/>
  <c r="IO3" i="32"/>
  <c r="IP3" i="32"/>
  <c r="IQ3" i="32"/>
  <c r="IR3" i="32"/>
  <c r="IS3" i="32"/>
  <c r="IT3" i="32"/>
  <c r="IU3" i="32"/>
  <c r="IV3" i="32"/>
  <c r="IW3" i="32"/>
  <c r="IX3" i="32"/>
  <c r="IY3" i="32"/>
  <c r="IZ3" i="32"/>
  <c r="JA3" i="32"/>
  <c r="JB3" i="32"/>
  <c r="JC3" i="32"/>
  <c r="JD3" i="32"/>
  <c r="JE3" i="32"/>
  <c r="JF3" i="32"/>
  <c r="JG3" i="32"/>
  <c r="JH3" i="32"/>
  <c r="JI3" i="32"/>
  <c r="JJ3" i="32"/>
  <c r="JK3" i="32"/>
  <c r="JL3" i="32"/>
  <c r="JM3" i="32"/>
  <c r="JN3" i="32"/>
  <c r="JO3" i="32"/>
  <c r="JP3" i="32"/>
  <c r="JQ3" i="32"/>
  <c r="JR3" i="32"/>
  <c r="JS3" i="32"/>
  <c r="JT3" i="32"/>
  <c r="JU3" i="32"/>
  <c r="JV3" i="32"/>
  <c r="JW3" i="32"/>
  <c r="JX3" i="32"/>
  <c r="JY3" i="32"/>
  <c r="JZ3" i="32"/>
  <c r="KA3" i="32"/>
  <c r="KB3" i="32"/>
  <c r="KC3" i="32"/>
  <c r="KD3" i="32"/>
  <c r="KE3" i="32"/>
  <c r="KF3" i="32"/>
  <c r="KG3" i="32"/>
  <c r="KH3" i="32"/>
  <c r="KI3" i="32"/>
  <c r="KJ3" i="32"/>
  <c r="KK3" i="32"/>
  <c r="KL3" i="32"/>
  <c r="KM3" i="32"/>
  <c r="KN3" i="32"/>
  <c r="KO3" i="32"/>
  <c r="KP3" i="32"/>
  <c r="KQ3" i="32"/>
  <c r="KR3" i="32"/>
  <c r="KS3" i="32"/>
  <c r="KT3" i="32"/>
  <c r="KU3" i="32"/>
  <c r="KV3" i="32"/>
  <c r="KW3" i="32"/>
  <c r="KX3" i="32"/>
  <c r="KY3" i="32"/>
  <c r="KZ3" i="32"/>
  <c r="LA3" i="32"/>
  <c r="LB3" i="32"/>
  <c r="LC3" i="32"/>
  <c r="LD3" i="32"/>
  <c r="LE3" i="32"/>
  <c r="LF3" i="32"/>
  <c r="LG3" i="32"/>
  <c r="LH3" i="32"/>
  <c r="LI3" i="32"/>
  <c r="LJ3" i="32"/>
  <c r="LK3" i="32"/>
  <c r="LL3" i="32"/>
  <c r="LM3" i="32"/>
  <c r="LN3" i="32"/>
  <c r="LO3" i="32"/>
  <c r="LP3" i="32"/>
  <c r="LQ3" i="32"/>
  <c r="LR3" i="32"/>
  <c r="LS3" i="32"/>
  <c r="LT3" i="32"/>
  <c r="LU3" i="32"/>
  <c r="LV3" i="32"/>
  <c r="LW3" i="32"/>
  <c r="LX3" i="32"/>
  <c r="LY3" i="32"/>
  <c r="LZ3" i="32"/>
  <c r="MA3" i="32"/>
  <c r="MB3" i="32"/>
  <c r="MC3" i="32"/>
  <c r="MD3" i="32"/>
  <c r="ME3" i="32"/>
  <c r="MF3" i="32"/>
  <c r="MG3" i="32"/>
  <c r="MH3" i="32"/>
  <c r="MI3" i="32"/>
  <c r="MJ3" i="32"/>
  <c r="MK3" i="32"/>
  <c r="ML3" i="32"/>
  <c r="MM3" i="32"/>
  <c r="MN3" i="32"/>
  <c r="MO3" i="32"/>
  <c r="MP3" i="32"/>
  <c r="MQ3" i="32"/>
  <c r="MR3" i="32"/>
  <c r="MS3" i="32"/>
  <c r="MT3" i="32"/>
  <c r="MU3" i="32"/>
  <c r="MV3" i="32"/>
  <c r="MW3" i="32"/>
  <c r="MX3" i="32"/>
  <c r="MY3" i="32"/>
  <c r="MZ3" i="32"/>
  <c r="NA3" i="32"/>
  <c r="NB3" i="32"/>
  <c r="NC3" i="32"/>
  <c r="ND3" i="32"/>
  <c r="NE3" i="32"/>
  <c r="NF3" i="32"/>
  <c r="NG3" i="32"/>
  <c r="NH3" i="32"/>
  <c r="NI3" i="32"/>
  <c r="NJ3" i="32"/>
  <c r="NK3" i="32"/>
  <c r="NL3" i="32"/>
  <c r="NM3" i="32"/>
  <c r="NN3" i="32"/>
  <c r="NO3" i="32"/>
  <c r="NP3" i="32"/>
  <c r="NQ3" i="32"/>
  <c r="NR3" i="32"/>
  <c r="NS3" i="32"/>
  <c r="NT3" i="32"/>
  <c r="NU3" i="32"/>
  <c r="NV3" i="32"/>
  <c r="NW3" i="32"/>
  <c r="NX3" i="32"/>
  <c r="NY3" i="32"/>
  <c r="NZ3" i="32"/>
  <c r="OA3" i="32"/>
  <c r="OB3" i="32"/>
  <c r="OC3" i="32"/>
  <c r="OD3" i="32"/>
  <c r="OE3" i="32"/>
  <c r="OF3" i="32"/>
  <c r="OG3" i="32"/>
  <c r="OH3" i="32"/>
  <c r="OI3" i="32"/>
  <c r="OJ3" i="32"/>
  <c r="OK3" i="32"/>
  <c r="OL3" i="32"/>
  <c r="OM3" i="32"/>
  <c r="ON3" i="32"/>
  <c r="OO3" i="32"/>
  <c r="OP3" i="32"/>
  <c r="OQ3" i="32"/>
  <c r="OR3" i="32"/>
  <c r="OS3" i="32"/>
  <c r="OT3" i="32"/>
  <c r="OU3" i="32"/>
  <c r="OV3" i="32"/>
  <c r="OW3" i="32"/>
  <c r="OX3" i="32"/>
  <c r="OY3" i="32"/>
  <c r="OZ3" i="32"/>
  <c r="PA3" i="32"/>
  <c r="PB3" i="32"/>
  <c r="PC3" i="32"/>
  <c r="C3" i="32"/>
  <c r="X85" i="32"/>
  <c r="M85" i="32"/>
  <c r="B85" i="32"/>
  <c r="X84" i="32"/>
  <c r="M84" i="32"/>
  <c r="B84" i="32"/>
  <c r="X83" i="32"/>
  <c r="M83" i="32"/>
  <c r="B83" i="32"/>
  <c r="X82" i="32"/>
  <c r="M82" i="32"/>
  <c r="B82" i="32"/>
  <c r="X81" i="32"/>
  <c r="M81" i="32"/>
  <c r="B81" i="32"/>
  <c r="X80" i="32"/>
  <c r="M80" i="32"/>
  <c r="B80" i="32"/>
  <c r="X79" i="32"/>
  <c r="M79" i="32"/>
  <c r="B79" i="32"/>
  <c r="X78" i="32"/>
  <c r="M78" i="32"/>
  <c r="B78" i="32"/>
  <c r="X77" i="32"/>
  <c r="M77" i="32"/>
  <c r="B77" i="32"/>
  <c r="X76" i="32"/>
  <c r="R76" i="32"/>
  <c r="M76" i="32"/>
  <c r="B76" i="32"/>
  <c r="X75" i="32"/>
  <c r="M75" i="32"/>
  <c r="B75" i="32"/>
  <c r="X74" i="32"/>
  <c r="M74" i="32"/>
  <c r="B74" i="32"/>
  <c r="X73" i="32"/>
  <c r="M73" i="32"/>
  <c r="B73" i="32"/>
  <c r="X72" i="32"/>
  <c r="M72" i="32"/>
  <c r="B72" i="32"/>
  <c r="X71" i="32"/>
  <c r="M71" i="32"/>
  <c r="I71" i="32"/>
  <c r="B71" i="32"/>
  <c r="X70" i="32"/>
  <c r="M70" i="32"/>
  <c r="I70" i="32"/>
  <c r="B70" i="32"/>
  <c r="X69" i="32"/>
  <c r="M69" i="32"/>
  <c r="I69" i="32"/>
  <c r="B69" i="32"/>
  <c r="X68" i="32"/>
  <c r="M68" i="32"/>
  <c r="I68" i="32"/>
  <c r="B68" i="32"/>
  <c r="X67" i="32"/>
  <c r="M67" i="32"/>
  <c r="B67" i="32"/>
  <c r="X66" i="32"/>
  <c r="M66" i="32"/>
  <c r="B66" i="32"/>
  <c r="X65" i="32"/>
  <c r="M65" i="32"/>
  <c r="I65" i="32"/>
  <c r="B65" i="32"/>
  <c r="X64" i="32"/>
  <c r="M64" i="32"/>
  <c r="B64" i="32"/>
  <c r="X63" i="32"/>
  <c r="M63" i="32"/>
  <c r="B63" i="32"/>
  <c r="X62" i="32"/>
  <c r="M62" i="32"/>
  <c r="B62" i="32"/>
  <c r="X61" i="32"/>
  <c r="M61" i="32"/>
  <c r="B61" i="32"/>
  <c r="X60" i="32"/>
  <c r="V60" i="32"/>
  <c r="M60" i="32"/>
  <c r="B60" i="32"/>
  <c r="X59" i="32"/>
  <c r="M59" i="32"/>
  <c r="B59" i="32"/>
  <c r="X58" i="32"/>
  <c r="M58" i="32"/>
  <c r="B58" i="32"/>
  <c r="X57" i="32"/>
  <c r="M57" i="32"/>
  <c r="B57" i="32"/>
  <c r="X56" i="32"/>
  <c r="M56" i="32"/>
  <c r="B56" i="32"/>
  <c r="X55" i="32"/>
  <c r="M55" i="32"/>
  <c r="I55" i="32"/>
  <c r="B55" i="32"/>
  <c r="X54" i="32"/>
  <c r="M54" i="32"/>
  <c r="B54" i="32"/>
  <c r="X53" i="32"/>
  <c r="W53" i="32"/>
  <c r="M53" i="32"/>
  <c r="B53" i="32"/>
  <c r="M52" i="32"/>
  <c r="B52" i="32"/>
  <c r="M51" i="32"/>
  <c r="B51" i="32"/>
  <c r="R50" i="32"/>
  <c r="M50" i="32"/>
  <c r="B50" i="32"/>
  <c r="M49" i="32"/>
  <c r="I49" i="32"/>
  <c r="B49" i="32"/>
  <c r="M48" i="32"/>
  <c r="B48" i="32"/>
  <c r="M47" i="32"/>
  <c r="B47" i="32"/>
  <c r="B46" i="32"/>
  <c r="BD42" i="31"/>
  <c r="BC42" i="31"/>
  <c r="BB42" i="31"/>
  <c r="BA42" i="31"/>
  <c r="AZ42" i="31"/>
  <c r="AY42" i="31"/>
  <c r="AX42" i="31"/>
  <c r="AW42" i="31"/>
  <c r="AV42" i="31"/>
  <c r="BD41" i="31"/>
  <c r="BC41" i="31"/>
  <c r="BB41" i="31"/>
  <c r="BA41" i="31"/>
  <c r="AZ41" i="31"/>
  <c r="AY41" i="31"/>
  <c r="AX41" i="31"/>
  <c r="AW41" i="31"/>
  <c r="AV41" i="31"/>
  <c r="AU41" i="31"/>
  <c r="BD40" i="31"/>
  <c r="BC40" i="31"/>
  <c r="BB40" i="31"/>
  <c r="BA40" i="31"/>
  <c r="AZ40" i="31"/>
  <c r="AY40" i="31"/>
  <c r="AX40" i="31"/>
  <c r="AW40" i="31"/>
  <c r="AV40" i="31"/>
  <c r="AU40" i="31"/>
  <c r="BD39" i="31"/>
  <c r="BC39" i="31"/>
  <c r="BB39" i="31"/>
  <c r="BA39" i="31"/>
  <c r="AZ39" i="31"/>
  <c r="AY39" i="31"/>
  <c r="AX39" i="31"/>
  <c r="AW39" i="31"/>
  <c r="AV39" i="31"/>
  <c r="AU39" i="31"/>
  <c r="BD38" i="31"/>
  <c r="BC38" i="31"/>
  <c r="BB38" i="31"/>
  <c r="BA38" i="31"/>
  <c r="AZ38" i="31"/>
  <c r="AY38" i="31"/>
  <c r="AX38" i="31"/>
  <c r="AW38" i="31"/>
  <c r="AV38" i="31"/>
  <c r="AU38" i="31"/>
  <c r="BD37" i="31"/>
  <c r="BC37" i="31"/>
  <c r="BB37" i="31"/>
  <c r="BA37" i="31"/>
  <c r="AZ37" i="31"/>
  <c r="AY37" i="31"/>
  <c r="AX37" i="31"/>
  <c r="AW37" i="31"/>
  <c r="AV37" i="31"/>
  <c r="AU37" i="31"/>
  <c r="BD36" i="31"/>
  <c r="BC36" i="31"/>
  <c r="BB36" i="31"/>
  <c r="BA36" i="31"/>
  <c r="AZ36" i="31"/>
  <c r="AY36" i="31"/>
  <c r="AX36" i="31"/>
  <c r="AW36" i="31"/>
  <c r="AV36" i="31"/>
  <c r="AU36" i="31"/>
  <c r="BD35" i="31"/>
  <c r="BC35" i="31"/>
  <c r="BB35" i="31"/>
  <c r="BA35" i="31"/>
  <c r="AZ35" i="31"/>
  <c r="AY35" i="31"/>
  <c r="AX35" i="31"/>
  <c r="AW35" i="31"/>
  <c r="AV35" i="31"/>
  <c r="AU35" i="31"/>
  <c r="BD34" i="31"/>
  <c r="BC34" i="31"/>
  <c r="BB34" i="31"/>
  <c r="BA34" i="31"/>
  <c r="AZ34" i="31"/>
  <c r="AY34" i="31"/>
  <c r="AX34" i="31"/>
  <c r="AW34" i="31"/>
  <c r="AV34" i="31"/>
  <c r="AU34" i="31"/>
  <c r="BD33" i="31"/>
  <c r="BC33" i="31"/>
  <c r="BB33" i="31"/>
  <c r="BA33" i="31"/>
  <c r="AZ33" i="31"/>
  <c r="AY33" i="31"/>
  <c r="AX33" i="31"/>
  <c r="AW33" i="31"/>
  <c r="AV33" i="31"/>
  <c r="AU33" i="31"/>
  <c r="BD32" i="31"/>
  <c r="BC32" i="31"/>
  <c r="BB32" i="31"/>
  <c r="BA32" i="31"/>
  <c r="AZ32" i="31"/>
  <c r="AY32" i="31"/>
  <c r="AX32" i="31"/>
  <c r="AW32" i="31"/>
  <c r="AV32" i="31"/>
  <c r="AU32" i="31"/>
  <c r="BD31" i="31"/>
  <c r="BC31" i="31"/>
  <c r="BB31" i="31"/>
  <c r="BA31" i="31"/>
  <c r="AZ31" i="31"/>
  <c r="AY31" i="31"/>
  <c r="AX31" i="31"/>
  <c r="AW31" i="31"/>
  <c r="AV31" i="31"/>
  <c r="AU31" i="31"/>
  <c r="BD30" i="31"/>
  <c r="BC30" i="31"/>
  <c r="BB30" i="31"/>
  <c r="BA30" i="31"/>
  <c r="AZ30" i="31"/>
  <c r="AY30" i="31"/>
  <c r="AX30" i="31"/>
  <c r="AW30" i="31"/>
  <c r="AV30" i="31"/>
  <c r="AU30" i="31"/>
  <c r="BD29" i="31"/>
  <c r="BC29" i="31"/>
  <c r="BB29" i="31"/>
  <c r="BA29" i="31"/>
  <c r="AZ29" i="31"/>
  <c r="AY29" i="31"/>
  <c r="AX29" i="31"/>
  <c r="AW29" i="31"/>
  <c r="AV29" i="31"/>
  <c r="AU29" i="31"/>
  <c r="BD28" i="31"/>
  <c r="BC28" i="31"/>
  <c r="BB28" i="31"/>
  <c r="BA28" i="31"/>
  <c r="AZ28" i="31"/>
  <c r="AY28" i="31"/>
  <c r="AX28" i="31"/>
  <c r="AW28" i="31"/>
  <c r="AV28" i="31"/>
  <c r="AU28" i="31"/>
  <c r="BD27" i="31"/>
  <c r="BC27" i="31"/>
  <c r="BB27" i="31"/>
  <c r="BA27" i="31"/>
  <c r="AZ27" i="31"/>
  <c r="AY27" i="31"/>
  <c r="AX27" i="31"/>
  <c r="AW27" i="31"/>
  <c r="AV27" i="31"/>
  <c r="AU27" i="31"/>
  <c r="BD26" i="31"/>
  <c r="BC26" i="31"/>
  <c r="BB26" i="31"/>
  <c r="BA26" i="31"/>
  <c r="AZ26" i="31"/>
  <c r="AY26" i="31"/>
  <c r="AX26" i="31"/>
  <c r="AW26" i="31"/>
  <c r="AV26" i="31"/>
  <c r="AU26" i="31"/>
  <c r="BD25" i="31"/>
  <c r="BC25" i="31"/>
  <c r="BB25" i="31"/>
  <c r="BA25" i="31"/>
  <c r="AZ25" i="31"/>
  <c r="AY25" i="31"/>
  <c r="AX25" i="31"/>
  <c r="AW25" i="31"/>
  <c r="AV25" i="31"/>
  <c r="AU25" i="31"/>
  <c r="BD24" i="31"/>
  <c r="BC24" i="31"/>
  <c r="BB24" i="31"/>
  <c r="BA24" i="31"/>
  <c r="AZ24" i="31"/>
  <c r="AY24" i="31"/>
  <c r="AX24" i="31"/>
  <c r="AW24" i="31"/>
  <c r="AV24" i="31"/>
  <c r="AU24" i="31"/>
  <c r="BD23" i="31"/>
  <c r="BC23" i="31"/>
  <c r="BB23" i="31"/>
  <c r="BA23" i="31"/>
  <c r="AZ23" i="31"/>
  <c r="AY23" i="31"/>
  <c r="AX23" i="31"/>
  <c r="AW23" i="31"/>
  <c r="AV23" i="31"/>
  <c r="AU23" i="31"/>
  <c r="BD22" i="31"/>
  <c r="BC22" i="31"/>
  <c r="BB22" i="31"/>
  <c r="BA22" i="31"/>
  <c r="AZ22" i="31"/>
  <c r="AY22" i="31"/>
  <c r="AX22" i="31"/>
  <c r="AW22" i="31"/>
  <c r="AV22" i="31"/>
  <c r="AU22" i="31"/>
  <c r="BD21" i="31"/>
  <c r="BC21" i="31"/>
  <c r="BB21" i="31"/>
  <c r="BA21" i="31"/>
  <c r="AZ21" i="31"/>
  <c r="AY21" i="31"/>
  <c r="AX21" i="31"/>
  <c r="AW21" i="31"/>
  <c r="AV21" i="31"/>
  <c r="AU21" i="31"/>
  <c r="BD20" i="31"/>
  <c r="BC20" i="31"/>
  <c r="BB20" i="31"/>
  <c r="BA20" i="31"/>
  <c r="AZ20" i="31"/>
  <c r="AY20" i="31"/>
  <c r="AX20" i="31"/>
  <c r="AW20" i="31"/>
  <c r="AV20" i="31"/>
  <c r="AU20" i="31"/>
  <c r="BD19" i="31"/>
  <c r="BC19" i="31"/>
  <c r="BB19" i="31"/>
  <c r="BA19" i="31"/>
  <c r="AZ19" i="31"/>
  <c r="AY19" i="31"/>
  <c r="AX19" i="31"/>
  <c r="AW19" i="31"/>
  <c r="AV19" i="31"/>
  <c r="AU19" i="31"/>
  <c r="BD18" i="31"/>
  <c r="BC18" i="31"/>
  <c r="BB18" i="31"/>
  <c r="BA18" i="31"/>
  <c r="AZ18" i="31"/>
  <c r="AY18" i="31"/>
  <c r="AX18" i="31"/>
  <c r="AW18" i="31"/>
  <c r="AV18" i="31"/>
  <c r="AU18" i="31"/>
  <c r="BD17" i="31"/>
  <c r="BC17" i="31"/>
  <c r="BB17" i="31"/>
  <c r="BA17" i="31"/>
  <c r="AZ17" i="31"/>
  <c r="AY17" i="31"/>
  <c r="AX17" i="31"/>
  <c r="AW17" i="31"/>
  <c r="AV17" i="31"/>
  <c r="AU17" i="31"/>
  <c r="BD16" i="31"/>
  <c r="BC16" i="31"/>
  <c r="BB16" i="31"/>
  <c r="BA16" i="31"/>
  <c r="AZ16" i="31"/>
  <c r="AY16" i="31"/>
  <c r="AX16" i="31"/>
  <c r="AW16" i="31"/>
  <c r="AV16" i="31"/>
  <c r="AU16" i="31"/>
  <c r="BD15" i="31"/>
  <c r="BC15" i="31"/>
  <c r="BB15" i="31"/>
  <c r="BA15" i="31"/>
  <c r="AZ15" i="31"/>
  <c r="AY15" i="31"/>
  <c r="AX15" i="31"/>
  <c r="AW15" i="31"/>
  <c r="AV15" i="31"/>
  <c r="AU15" i="31"/>
  <c r="BD14" i="31"/>
  <c r="BC14" i="31"/>
  <c r="BB14" i="31"/>
  <c r="BA14" i="31"/>
  <c r="AZ14" i="31"/>
  <c r="AY14" i="31"/>
  <c r="AX14" i="31"/>
  <c r="AW14" i="31"/>
  <c r="AV14" i="31"/>
  <c r="AU14" i="31"/>
  <c r="BD13" i="31"/>
  <c r="BC13" i="31"/>
  <c r="BB13" i="31"/>
  <c r="BA13" i="31"/>
  <c r="AZ13" i="31"/>
  <c r="AY13" i="31"/>
  <c r="AX13" i="31"/>
  <c r="AW13" i="31"/>
  <c r="AV13" i="31"/>
  <c r="AU13" i="31"/>
  <c r="BD12" i="31"/>
  <c r="BC12" i="31"/>
  <c r="BB12" i="31"/>
  <c r="BA12" i="31"/>
  <c r="AZ12" i="31"/>
  <c r="AY12" i="31"/>
  <c r="AX12" i="31"/>
  <c r="AW12" i="31"/>
  <c r="AV12" i="31"/>
  <c r="AU12" i="31"/>
  <c r="BD11" i="31"/>
  <c r="BC11" i="31"/>
  <c r="BB11" i="31"/>
  <c r="BA11" i="31"/>
  <c r="AZ11" i="31"/>
  <c r="AY11" i="31"/>
  <c r="AX11" i="31"/>
  <c r="AW11" i="31"/>
  <c r="AV11" i="31"/>
  <c r="AU11" i="31"/>
  <c r="BD10" i="31"/>
  <c r="BC10" i="31"/>
  <c r="BB10" i="31"/>
  <c r="BA10" i="31"/>
  <c r="AZ10" i="31"/>
  <c r="AY10" i="31"/>
  <c r="AX10" i="31"/>
  <c r="AW10" i="31"/>
  <c r="AV10" i="31"/>
  <c r="AU10" i="31"/>
  <c r="AS42" i="31"/>
  <c r="AR42" i="31"/>
  <c r="AQ42" i="31"/>
  <c r="AP42" i="31"/>
  <c r="AO42" i="31"/>
  <c r="AN42" i="31"/>
  <c r="AM42" i="31"/>
  <c r="AL42" i="31"/>
  <c r="AK42" i="31"/>
  <c r="AJ42" i="31"/>
  <c r="AS41" i="31"/>
  <c r="AR41" i="31"/>
  <c r="AQ41" i="31"/>
  <c r="AP41" i="31"/>
  <c r="AO41" i="31"/>
  <c r="AN41" i="31"/>
  <c r="AM41" i="31"/>
  <c r="AL41" i="31"/>
  <c r="AK41" i="31"/>
  <c r="AJ41" i="31"/>
  <c r="AS40" i="31"/>
  <c r="AR40" i="31"/>
  <c r="AQ40" i="31"/>
  <c r="AP40" i="31"/>
  <c r="AO40" i="31"/>
  <c r="AN40" i="31"/>
  <c r="AM40" i="31"/>
  <c r="AL40" i="31"/>
  <c r="AK40" i="31"/>
  <c r="AJ40" i="31"/>
  <c r="AS39" i="31"/>
  <c r="AR39" i="31"/>
  <c r="AQ39" i="31"/>
  <c r="AP39" i="31"/>
  <c r="AO39" i="31"/>
  <c r="AN39" i="31"/>
  <c r="AM39" i="31"/>
  <c r="AL39" i="31"/>
  <c r="AK39" i="31"/>
  <c r="AJ39" i="31"/>
  <c r="AS38" i="31"/>
  <c r="AR38" i="31"/>
  <c r="AQ38" i="31"/>
  <c r="AP38" i="31"/>
  <c r="AO38" i="31"/>
  <c r="AN38" i="31"/>
  <c r="AM38" i="31"/>
  <c r="AL38" i="31"/>
  <c r="AK38" i="31"/>
  <c r="AJ38" i="31"/>
  <c r="AS37" i="31"/>
  <c r="AR37" i="31"/>
  <c r="AQ37" i="31"/>
  <c r="AP37" i="31"/>
  <c r="AO37" i="31"/>
  <c r="AN37" i="31"/>
  <c r="AM37" i="31"/>
  <c r="AL37" i="31"/>
  <c r="AK37" i="31"/>
  <c r="AJ37" i="31"/>
  <c r="AS36" i="31"/>
  <c r="AR36" i="31"/>
  <c r="AQ36" i="31"/>
  <c r="AP36" i="31"/>
  <c r="AO36" i="31"/>
  <c r="AN36" i="31"/>
  <c r="AM36" i="31"/>
  <c r="AL36" i="31"/>
  <c r="AK36" i="31"/>
  <c r="AJ36" i="31"/>
  <c r="AS35" i="31"/>
  <c r="AR35" i="31"/>
  <c r="AQ35" i="31"/>
  <c r="AP35" i="31"/>
  <c r="AO35" i="31"/>
  <c r="AN35" i="31"/>
  <c r="AM35" i="31"/>
  <c r="AL35" i="31"/>
  <c r="AK35" i="31"/>
  <c r="AJ35" i="31"/>
  <c r="AS34" i="31"/>
  <c r="AR34" i="31"/>
  <c r="AQ34" i="31"/>
  <c r="AP34" i="31"/>
  <c r="AO34" i="31"/>
  <c r="AN34" i="31"/>
  <c r="AM34" i="31"/>
  <c r="AL34" i="31"/>
  <c r="AK34" i="31"/>
  <c r="AJ34" i="31"/>
  <c r="AS33" i="31"/>
  <c r="AR33" i="31"/>
  <c r="AQ33" i="31"/>
  <c r="AP33" i="31"/>
  <c r="AO33" i="31"/>
  <c r="AN33" i="31"/>
  <c r="AM33" i="31"/>
  <c r="AL33" i="31"/>
  <c r="AK33" i="31"/>
  <c r="AJ33" i="31"/>
  <c r="AS32" i="31"/>
  <c r="AR32" i="31"/>
  <c r="AQ32" i="31"/>
  <c r="AP32" i="31"/>
  <c r="AO32" i="31"/>
  <c r="AN32" i="31"/>
  <c r="AM32" i="31"/>
  <c r="AL32" i="31"/>
  <c r="AK32" i="31"/>
  <c r="AJ32" i="31"/>
  <c r="AS31" i="31"/>
  <c r="AR31" i="31"/>
  <c r="AQ31" i="31"/>
  <c r="AP31" i="31"/>
  <c r="AO31" i="31"/>
  <c r="AN31" i="31"/>
  <c r="AM31" i="31"/>
  <c r="AL31" i="31"/>
  <c r="AK31" i="31"/>
  <c r="AJ31" i="31"/>
  <c r="AS30" i="31"/>
  <c r="AR30" i="31"/>
  <c r="AQ30" i="31"/>
  <c r="AP30" i="31"/>
  <c r="AO30" i="31"/>
  <c r="AN30" i="31"/>
  <c r="AM30" i="31"/>
  <c r="AL30" i="31"/>
  <c r="AK30" i="31"/>
  <c r="AJ30" i="31"/>
  <c r="AS29" i="31"/>
  <c r="AR29" i="31"/>
  <c r="AQ29" i="31"/>
  <c r="AP29" i="31"/>
  <c r="AO29" i="31"/>
  <c r="AN29" i="31"/>
  <c r="AM29" i="31"/>
  <c r="AL29" i="31"/>
  <c r="AK29" i="31"/>
  <c r="AJ29" i="31"/>
  <c r="AS28" i="31"/>
  <c r="AR28" i="31"/>
  <c r="AQ28" i="31"/>
  <c r="AP28" i="31"/>
  <c r="AO28" i="31"/>
  <c r="AN28" i="31"/>
  <c r="AM28" i="31"/>
  <c r="AL28" i="31"/>
  <c r="AK28" i="31"/>
  <c r="AJ28" i="31"/>
  <c r="AS27" i="31"/>
  <c r="AR27" i="31"/>
  <c r="AQ27" i="31"/>
  <c r="AP27" i="31"/>
  <c r="AO27" i="31"/>
  <c r="AN27" i="31"/>
  <c r="AM27" i="31"/>
  <c r="AL27" i="31"/>
  <c r="AK27" i="31"/>
  <c r="AJ27" i="31"/>
  <c r="AS26" i="31"/>
  <c r="AR26" i="31"/>
  <c r="AQ26" i="31"/>
  <c r="AP26" i="31"/>
  <c r="AO26" i="31"/>
  <c r="AN26" i="31"/>
  <c r="AM26" i="31"/>
  <c r="AL26" i="31"/>
  <c r="AK26" i="31"/>
  <c r="AJ26" i="31"/>
  <c r="AS25" i="31"/>
  <c r="AR25" i="31"/>
  <c r="AQ25" i="31"/>
  <c r="AP25" i="31"/>
  <c r="AO25" i="31"/>
  <c r="AN25" i="31"/>
  <c r="AM25" i="31"/>
  <c r="AL25" i="31"/>
  <c r="AK25" i="31"/>
  <c r="AJ25" i="31"/>
  <c r="AS24" i="31"/>
  <c r="AR24" i="31"/>
  <c r="AQ24" i="31"/>
  <c r="AP24" i="31"/>
  <c r="AO24" i="31"/>
  <c r="AN24" i="31"/>
  <c r="AM24" i="31"/>
  <c r="AL24" i="31"/>
  <c r="AK24" i="31"/>
  <c r="AJ24" i="31"/>
  <c r="AS23" i="31"/>
  <c r="AR23" i="31"/>
  <c r="AQ23" i="31"/>
  <c r="AP23" i="31"/>
  <c r="AO23" i="31"/>
  <c r="AN23" i="31"/>
  <c r="AM23" i="31"/>
  <c r="AL23" i="31"/>
  <c r="AK23" i="31"/>
  <c r="AJ23" i="31"/>
  <c r="AS22" i="31"/>
  <c r="AR22" i="31"/>
  <c r="AQ22" i="31"/>
  <c r="AP22" i="31"/>
  <c r="AO22" i="31"/>
  <c r="AN22" i="31"/>
  <c r="AM22" i="31"/>
  <c r="AL22" i="31"/>
  <c r="AK22" i="31"/>
  <c r="AJ22" i="31"/>
  <c r="AS21" i="31"/>
  <c r="AR21" i="31"/>
  <c r="AQ21" i="31"/>
  <c r="AP21" i="31"/>
  <c r="AO21" i="31"/>
  <c r="AN21" i="31"/>
  <c r="AM21" i="31"/>
  <c r="AL21" i="31"/>
  <c r="AK21" i="31"/>
  <c r="AJ21" i="31"/>
  <c r="AS20" i="31"/>
  <c r="AR20" i="31"/>
  <c r="AQ20" i="31"/>
  <c r="AP20" i="31"/>
  <c r="AO20" i="31"/>
  <c r="AN20" i="31"/>
  <c r="AM20" i="31"/>
  <c r="AL20" i="31"/>
  <c r="AK20" i="31"/>
  <c r="AJ20" i="31"/>
  <c r="AS19" i="31"/>
  <c r="AR19" i="31"/>
  <c r="AQ19" i="31"/>
  <c r="AP19" i="31"/>
  <c r="AO19" i="31"/>
  <c r="AN19" i="31"/>
  <c r="AM19" i="31"/>
  <c r="AL19" i="31"/>
  <c r="AK19" i="31"/>
  <c r="AJ19" i="31"/>
  <c r="AS18" i="31"/>
  <c r="AR18" i="31"/>
  <c r="AQ18" i="31"/>
  <c r="AP18" i="31"/>
  <c r="AO18" i="31"/>
  <c r="AN18" i="31"/>
  <c r="AM18" i="31"/>
  <c r="AL18" i="31"/>
  <c r="AK18" i="31"/>
  <c r="AJ18" i="31"/>
  <c r="AS17" i="31"/>
  <c r="AR17" i="31"/>
  <c r="AQ17" i="31"/>
  <c r="AP17" i="31"/>
  <c r="AO17" i="31"/>
  <c r="AN17" i="31"/>
  <c r="AM17" i="31"/>
  <c r="AL17" i="31"/>
  <c r="AK17" i="31"/>
  <c r="AJ17" i="31"/>
  <c r="AS16" i="31"/>
  <c r="AR16" i="31"/>
  <c r="AQ16" i="31"/>
  <c r="AP16" i="31"/>
  <c r="AO16" i="31"/>
  <c r="AN16" i="31"/>
  <c r="AM16" i="31"/>
  <c r="AL16" i="31"/>
  <c r="AK16" i="31"/>
  <c r="AJ16" i="31"/>
  <c r="AS15" i="31"/>
  <c r="AR15" i="31"/>
  <c r="AQ15" i="31"/>
  <c r="AP15" i="31"/>
  <c r="AO15" i="31"/>
  <c r="AN15" i="31"/>
  <c r="AM15" i="31"/>
  <c r="AL15" i="31"/>
  <c r="AK15" i="31"/>
  <c r="AJ15" i="31"/>
  <c r="AS14" i="31"/>
  <c r="AR14" i="31"/>
  <c r="AQ14" i="31"/>
  <c r="AP14" i="31"/>
  <c r="AO14" i="31"/>
  <c r="AN14" i="31"/>
  <c r="AM14" i="31"/>
  <c r="AL14" i="31"/>
  <c r="AK14" i="31"/>
  <c r="AJ14" i="31"/>
  <c r="AS13" i="31"/>
  <c r="AR13" i="31"/>
  <c r="AQ13" i="31"/>
  <c r="AP13" i="31"/>
  <c r="AO13" i="31"/>
  <c r="AN13" i="31"/>
  <c r="AM13" i="31"/>
  <c r="AL13" i="31"/>
  <c r="AK13" i="31"/>
  <c r="AJ13" i="31"/>
  <c r="AS12" i="31"/>
  <c r="AR12" i="31"/>
  <c r="AQ12" i="31"/>
  <c r="AP12" i="31"/>
  <c r="AO12" i="31"/>
  <c r="AN12" i="31"/>
  <c r="AM12" i="31"/>
  <c r="AL12" i="31"/>
  <c r="AK12" i="31"/>
  <c r="AJ12" i="31"/>
  <c r="AS11" i="31"/>
  <c r="AR11" i="31"/>
  <c r="AQ11" i="31"/>
  <c r="AP11" i="31"/>
  <c r="AO11" i="31"/>
  <c r="AN11" i="31"/>
  <c r="AM11" i="31"/>
  <c r="AL11" i="31"/>
  <c r="AK11" i="31"/>
  <c r="AJ11" i="31"/>
  <c r="AS10" i="31"/>
  <c r="AR10" i="31"/>
  <c r="AQ10" i="31"/>
  <c r="AP10" i="31"/>
  <c r="AO10" i="31"/>
  <c r="AN10" i="31"/>
  <c r="AM10" i="31"/>
  <c r="AL10" i="31"/>
  <c r="AK10" i="31"/>
  <c r="AJ10" i="31"/>
  <c r="AS9" i="31"/>
  <c r="AR9" i="31"/>
  <c r="AQ9" i="31"/>
  <c r="AP9" i="31"/>
  <c r="AO9" i="31"/>
  <c r="AN9" i="31"/>
  <c r="AM9" i="31"/>
  <c r="AL9" i="31"/>
  <c r="AK9" i="31"/>
  <c r="AJ9" i="31"/>
  <c r="AS8" i="31"/>
  <c r="AR8" i="31"/>
  <c r="AQ8" i="31"/>
  <c r="AP8" i="31"/>
  <c r="AO8" i="31"/>
  <c r="AN8" i="31"/>
  <c r="AM8" i="31"/>
  <c r="AL8" i="31"/>
  <c r="AK8" i="31"/>
  <c r="AJ8" i="31"/>
  <c r="AS7" i="31"/>
  <c r="AR7" i="31"/>
  <c r="AQ7" i="31"/>
  <c r="AP7" i="31"/>
  <c r="AO7" i="31"/>
  <c r="AN7" i="31"/>
  <c r="AM7" i="31"/>
  <c r="AL7" i="31"/>
  <c r="AK7" i="31"/>
  <c r="AJ7" i="31"/>
  <c r="AS6" i="31"/>
  <c r="AR6" i="31"/>
  <c r="AQ6" i="31"/>
  <c r="AP6" i="31"/>
  <c r="AO6" i="31"/>
  <c r="AN6" i="31"/>
  <c r="AM6" i="31"/>
  <c r="AL6" i="31"/>
  <c r="AK6" i="31"/>
  <c r="AJ6" i="31"/>
  <c r="AS5" i="31"/>
  <c r="AR5" i="31"/>
  <c r="AQ5" i="31"/>
  <c r="AP5" i="31"/>
  <c r="AO5" i="31"/>
  <c r="AN5" i="31"/>
  <c r="AM5" i="31"/>
  <c r="AL5" i="31"/>
  <c r="AK5" i="31"/>
  <c r="AJ5" i="31"/>
  <c r="AS4" i="31"/>
  <c r="AR4" i="31"/>
  <c r="AQ4" i="31"/>
  <c r="AP4" i="31"/>
  <c r="AO4" i="31"/>
  <c r="AN4" i="31"/>
  <c r="AM4" i="31"/>
  <c r="AL4" i="31"/>
  <c r="AK4" i="31"/>
  <c r="AJ4" i="31"/>
  <c r="AH42" i="31"/>
  <c r="AG42" i="31"/>
  <c r="AF42" i="31"/>
  <c r="AE42" i="31"/>
  <c r="AD42" i="31"/>
  <c r="AC42" i="31"/>
  <c r="AB42" i="31"/>
  <c r="AA42" i="31"/>
  <c r="Z42" i="31"/>
  <c r="Y42" i="31"/>
  <c r="AH41" i="31"/>
  <c r="AG41" i="31"/>
  <c r="AF41" i="31"/>
  <c r="AE41" i="31"/>
  <c r="AD41" i="31"/>
  <c r="AC41" i="31"/>
  <c r="AB41" i="31"/>
  <c r="AA41" i="31"/>
  <c r="Z41" i="31"/>
  <c r="Y41" i="31"/>
  <c r="AH40" i="31"/>
  <c r="AG40" i="31"/>
  <c r="AF40" i="31"/>
  <c r="AE40" i="31"/>
  <c r="AD40" i="31"/>
  <c r="AC40" i="31"/>
  <c r="AB40" i="31"/>
  <c r="AA40" i="31"/>
  <c r="Z40" i="31"/>
  <c r="Y40" i="31"/>
  <c r="AH39" i="31"/>
  <c r="AG39" i="31"/>
  <c r="AF39" i="31"/>
  <c r="AE39" i="31"/>
  <c r="AD39" i="31"/>
  <c r="AC39" i="31"/>
  <c r="AB39" i="31"/>
  <c r="AA39" i="31"/>
  <c r="Z39" i="31"/>
  <c r="Y39" i="31"/>
  <c r="AH38" i="31"/>
  <c r="AG38" i="31"/>
  <c r="AF38" i="31"/>
  <c r="AE38" i="31"/>
  <c r="AD38" i="31"/>
  <c r="AC38" i="31"/>
  <c r="AB38" i="31"/>
  <c r="AA38" i="31"/>
  <c r="Z38" i="31"/>
  <c r="Y38" i="31"/>
  <c r="AH37" i="31"/>
  <c r="AG37" i="31"/>
  <c r="AF37" i="31"/>
  <c r="AE37" i="31"/>
  <c r="AD37" i="31"/>
  <c r="AC37" i="31"/>
  <c r="AB37" i="31"/>
  <c r="AA37" i="31"/>
  <c r="Z37" i="31"/>
  <c r="Y37" i="31"/>
  <c r="AH36" i="31"/>
  <c r="AG36" i="31"/>
  <c r="AF36" i="31"/>
  <c r="AE36" i="31"/>
  <c r="AD36" i="31"/>
  <c r="AC36" i="31"/>
  <c r="AB36" i="31"/>
  <c r="AA36" i="31"/>
  <c r="Z36" i="31"/>
  <c r="Y36" i="31"/>
  <c r="AH35" i="31"/>
  <c r="AG35" i="31"/>
  <c r="AF35" i="31"/>
  <c r="AE35" i="31"/>
  <c r="AD35" i="31"/>
  <c r="AC35" i="31"/>
  <c r="AB35" i="31"/>
  <c r="AA35" i="31"/>
  <c r="Z35" i="31"/>
  <c r="Y35" i="31"/>
  <c r="AH34" i="31"/>
  <c r="AG34" i="31"/>
  <c r="AF34" i="31"/>
  <c r="AE34" i="31"/>
  <c r="AD34" i="31"/>
  <c r="AC34" i="31"/>
  <c r="AB34" i="31"/>
  <c r="AA34" i="31"/>
  <c r="Z34" i="31"/>
  <c r="Y34" i="31"/>
  <c r="AH33" i="31"/>
  <c r="AG33" i="31"/>
  <c r="AF33" i="31"/>
  <c r="AE33" i="31"/>
  <c r="AD33" i="31"/>
  <c r="AC33" i="31"/>
  <c r="AB33" i="31"/>
  <c r="AA33" i="31"/>
  <c r="Z33" i="31"/>
  <c r="Y33" i="31"/>
  <c r="AH32" i="31"/>
  <c r="AG32" i="31"/>
  <c r="AF32" i="31"/>
  <c r="AE32" i="31"/>
  <c r="AD32" i="31"/>
  <c r="AC32" i="31"/>
  <c r="AB32" i="31"/>
  <c r="AA32" i="31"/>
  <c r="Z32" i="31"/>
  <c r="Y32" i="31"/>
  <c r="AH31" i="31"/>
  <c r="AG31" i="31"/>
  <c r="AF31" i="31"/>
  <c r="AE31" i="31"/>
  <c r="AD31" i="31"/>
  <c r="AC31" i="31"/>
  <c r="AB31" i="31"/>
  <c r="AA31" i="31"/>
  <c r="Z31" i="31"/>
  <c r="Y31" i="31"/>
  <c r="AH30" i="31"/>
  <c r="AG30" i="31"/>
  <c r="AF30" i="31"/>
  <c r="AE30" i="31"/>
  <c r="AD30" i="31"/>
  <c r="AC30" i="31"/>
  <c r="AB30" i="31"/>
  <c r="AA30" i="31"/>
  <c r="Z30" i="31"/>
  <c r="Y30" i="31"/>
  <c r="AH29" i="31"/>
  <c r="AG29" i="31"/>
  <c r="AF29" i="31"/>
  <c r="AE29" i="31"/>
  <c r="AD29" i="31"/>
  <c r="AC29" i="31"/>
  <c r="AB29" i="31"/>
  <c r="AA29" i="31"/>
  <c r="Z29" i="31"/>
  <c r="Y29" i="31"/>
  <c r="AH28" i="31"/>
  <c r="AG28" i="31"/>
  <c r="AF28" i="31"/>
  <c r="AE28" i="31"/>
  <c r="AD28" i="31"/>
  <c r="AC28" i="31"/>
  <c r="AB28" i="31"/>
  <c r="AA28" i="31"/>
  <c r="Z28" i="31"/>
  <c r="Y28" i="31"/>
  <c r="AH27" i="31"/>
  <c r="AG27" i="31"/>
  <c r="AF27" i="31"/>
  <c r="AE27" i="31"/>
  <c r="AD27" i="31"/>
  <c r="AC27" i="31"/>
  <c r="AB27" i="31"/>
  <c r="AA27" i="31"/>
  <c r="Z27" i="31"/>
  <c r="Y27" i="31"/>
  <c r="AH26" i="31"/>
  <c r="AG26" i="31"/>
  <c r="AF26" i="31"/>
  <c r="AE26" i="31"/>
  <c r="AD26" i="31"/>
  <c r="AC26" i="31"/>
  <c r="AB26" i="31"/>
  <c r="AA26" i="31"/>
  <c r="Z26" i="31"/>
  <c r="Y26" i="31"/>
  <c r="AH25" i="31"/>
  <c r="AG25" i="31"/>
  <c r="AF25" i="31"/>
  <c r="AE25" i="31"/>
  <c r="AD25" i="31"/>
  <c r="AC25" i="31"/>
  <c r="AB25" i="31"/>
  <c r="AA25" i="31"/>
  <c r="Z25" i="31"/>
  <c r="Y25" i="31"/>
  <c r="AH24" i="31"/>
  <c r="AG24" i="31"/>
  <c r="AF24" i="31"/>
  <c r="AE24" i="31"/>
  <c r="AD24" i="31"/>
  <c r="AC24" i="31"/>
  <c r="AB24" i="31"/>
  <c r="AA24" i="31"/>
  <c r="Z24" i="31"/>
  <c r="Y24" i="31"/>
  <c r="AH23" i="31"/>
  <c r="AG23" i="31"/>
  <c r="AF23" i="31"/>
  <c r="AE23" i="31"/>
  <c r="AD23" i="31"/>
  <c r="AC23" i="31"/>
  <c r="AB23" i="31"/>
  <c r="AA23" i="31"/>
  <c r="Z23" i="31"/>
  <c r="Y23" i="31"/>
  <c r="AH22" i="31"/>
  <c r="AG22" i="31"/>
  <c r="AF22" i="31"/>
  <c r="AE22" i="31"/>
  <c r="AD22" i="31"/>
  <c r="AC22" i="31"/>
  <c r="AB22" i="31"/>
  <c r="AA22" i="31"/>
  <c r="Z22" i="31"/>
  <c r="Y22" i="31"/>
  <c r="AH21" i="31"/>
  <c r="AG21" i="31"/>
  <c r="AF21" i="31"/>
  <c r="AE21" i="31"/>
  <c r="AD21" i="31"/>
  <c r="AC21" i="31"/>
  <c r="AB21" i="31"/>
  <c r="AA21" i="31"/>
  <c r="Z21" i="31"/>
  <c r="Y21" i="31"/>
  <c r="AH20" i="31"/>
  <c r="AG20" i="31"/>
  <c r="AF20" i="31"/>
  <c r="AE20" i="31"/>
  <c r="AD20" i="31"/>
  <c r="AC20" i="31"/>
  <c r="AB20" i="31"/>
  <c r="AA20" i="31"/>
  <c r="Z20" i="31"/>
  <c r="Y20" i="31"/>
  <c r="AH19" i="31"/>
  <c r="AG19" i="31"/>
  <c r="AF19" i="31"/>
  <c r="AE19" i="31"/>
  <c r="AD19" i="31"/>
  <c r="AC19" i="31"/>
  <c r="AB19" i="31"/>
  <c r="AA19" i="31"/>
  <c r="Z19" i="31"/>
  <c r="Y19" i="31"/>
  <c r="AH18" i="31"/>
  <c r="AG18" i="31"/>
  <c r="AF18" i="31"/>
  <c r="AE18" i="31"/>
  <c r="AD18" i="31"/>
  <c r="AC18" i="31"/>
  <c r="AB18" i="31"/>
  <c r="AA18" i="31"/>
  <c r="Z18" i="31"/>
  <c r="Y18" i="31"/>
  <c r="AH17" i="31"/>
  <c r="AG17" i="31"/>
  <c r="AF17" i="31"/>
  <c r="AE17" i="31"/>
  <c r="AD17" i="31"/>
  <c r="AC17" i="31"/>
  <c r="AB17" i="31"/>
  <c r="AA17" i="31"/>
  <c r="Z17" i="31"/>
  <c r="Y17" i="31"/>
  <c r="AH16" i="31"/>
  <c r="AG16" i="31"/>
  <c r="AF16" i="31"/>
  <c r="AE16" i="31"/>
  <c r="AD16" i="31"/>
  <c r="AC16" i="31"/>
  <c r="AB16" i="31"/>
  <c r="AA16" i="31"/>
  <c r="Z16" i="31"/>
  <c r="Y16" i="31"/>
  <c r="AH15" i="31"/>
  <c r="AG15" i="31"/>
  <c r="AF15" i="31"/>
  <c r="AE15" i="31"/>
  <c r="AD15" i="31"/>
  <c r="AC15" i="31"/>
  <c r="AB15" i="31"/>
  <c r="AA15" i="31"/>
  <c r="Z15" i="31"/>
  <c r="Y15" i="31"/>
  <c r="AH14" i="31"/>
  <c r="AG14" i="31"/>
  <c r="AF14" i="31"/>
  <c r="AE14" i="31"/>
  <c r="AD14" i="31"/>
  <c r="AC14" i="31"/>
  <c r="AB14" i="31"/>
  <c r="AA14" i="31"/>
  <c r="Z14" i="31"/>
  <c r="Y14" i="31"/>
  <c r="AH13" i="31"/>
  <c r="AG13" i="31"/>
  <c r="AF13" i="31"/>
  <c r="AE13" i="31"/>
  <c r="AD13" i="31"/>
  <c r="AC13" i="31"/>
  <c r="AB13" i="31"/>
  <c r="AA13" i="31"/>
  <c r="Z13" i="31"/>
  <c r="Y13" i="31"/>
  <c r="AH12" i="31"/>
  <c r="AG12" i="31"/>
  <c r="AF12" i="31"/>
  <c r="AE12" i="31"/>
  <c r="AD12" i="31"/>
  <c r="AC12" i="31"/>
  <c r="AB12" i="31"/>
  <c r="AA12" i="31"/>
  <c r="Z12" i="31"/>
  <c r="Y12" i="31"/>
  <c r="AH11" i="31"/>
  <c r="AG11" i="31"/>
  <c r="AF11" i="31"/>
  <c r="AE11" i="31"/>
  <c r="AD11" i="31"/>
  <c r="AC11" i="31"/>
  <c r="AB11" i="31"/>
  <c r="AA11" i="31"/>
  <c r="Z11" i="31"/>
  <c r="Y11" i="31"/>
  <c r="AH10" i="31"/>
  <c r="AG10" i="31"/>
  <c r="AF10" i="31"/>
  <c r="AE10" i="31"/>
  <c r="AD10" i="31"/>
  <c r="AC10" i="31"/>
  <c r="AB10" i="31"/>
  <c r="AA10" i="31"/>
  <c r="Z10" i="31"/>
  <c r="Y10" i="31"/>
  <c r="AH9" i="31"/>
  <c r="AG9" i="31"/>
  <c r="AF9" i="31"/>
  <c r="AE9" i="31"/>
  <c r="AD9" i="31"/>
  <c r="AC9" i="31"/>
  <c r="AB9" i="31"/>
  <c r="AA9" i="31"/>
  <c r="Z9" i="31"/>
  <c r="Y9" i="31"/>
  <c r="AH8" i="31"/>
  <c r="AG8" i="31"/>
  <c r="AF8" i="31"/>
  <c r="AE8" i="31"/>
  <c r="AD8" i="31"/>
  <c r="AC8" i="31"/>
  <c r="AB8" i="31"/>
  <c r="AA8" i="31"/>
  <c r="Z8" i="31"/>
  <c r="Y8" i="31"/>
  <c r="AH7" i="31"/>
  <c r="AG7" i="31"/>
  <c r="AF7" i="31"/>
  <c r="AE7" i="31"/>
  <c r="AD7" i="31"/>
  <c r="AC7" i="31"/>
  <c r="AB7" i="31"/>
  <c r="AA7" i="31"/>
  <c r="Z7" i="31"/>
  <c r="Y7" i="31"/>
  <c r="AH6" i="31"/>
  <c r="AG6" i="31"/>
  <c r="AF6" i="31"/>
  <c r="AE6" i="31"/>
  <c r="AD6" i="31"/>
  <c r="AC6" i="31"/>
  <c r="AB6" i="31"/>
  <c r="AA6" i="31"/>
  <c r="Z6" i="31"/>
  <c r="Y6" i="31"/>
  <c r="AH5" i="31"/>
  <c r="AG5" i="31"/>
  <c r="AF5" i="31"/>
  <c r="AE5" i="31"/>
  <c r="AD5" i="31"/>
  <c r="AC5" i="31"/>
  <c r="AB5" i="31"/>
  <c r="AA5" i="31"/>
  <c r="Z5" i="31"/>
  <c r="Y5" i="31"/>
  <c r="AH4" i="31"/>
  <c r="AG4" i="31"/>
  <c r="AF4" i="31"/>
  <c r="AE4" i="31"/>
  <c r="AD4" i="31"/>
  <c r="AC4" i="31"/>
  <c r="AB4" i="31"/>
  <c r="AA4" i="31"/>
  <c r="Z4" i="31"/>
  <c r="Y4" i="31"/>
  <c r="W42" i="31"/>
  <c r="V42" i="31"/>
  <c r="U42" i="31"/>
  <c r="T42" i="31"/>
  <c r="S42" i="31"/>
  <c r="R42" i="31"/>
  <c r="Q42" i="31"/>
  <c r="P42" i="31"/>
  <c r="O42" i="31"/>
  <c r="N42" i="31"/>
  <c r="W41" i="31"/>
  <c r="V41" i="31"/>
  <c r="U41" i="31"/>
  <c r="T41" i="31"/>
  <c r="S41" i="31"/>
  <c r="R41" i="31"/>
  <c r="Q41" i="31"/>
  <c r="P41" i="31"/>
  <c r="O41" i="31"/>
  <c r="N41" i="31"/>
  <c r="W40" i="31"/>
  <c r="V40" i="31"/>
  <c r="U40" i="31"/>
  <c r="T40" i="31"/>
  <c r="S40" i="31"/>
  <c r="R40" i="31"/>
  <c r="Q40" i="31"/>
  <c r="P40" i="31"/>
  <c r="O40" i="31"/>
  <c r="N40" i="31"/>
  <c r="W39" i="31"/>
  <c r="V39" i="31"/>
  <c r="U39" i="31"/>
  <c r="T39" i="31"/>
  <c r="S39" i="31"/>
  <c r="R39" i="31"/>
  <c r="Q39" i="31"/>
  <c r="P39" i="31"/>
  <c r="O39" i="31"/>
  <c r="N39" i="31"/>
  <c r="W38" i="31"/>
  <c r="V38" i="31"/>
  <c r="U38" i="31"/>
  <c r="T38" i="31"/>
  <c r="S38" i="31"/>
  <c r="R38" i="31"/>
  <c r="Q38" i="31"/>
  <c r="P38" i="31"/>
  <c r="O38" i="31"/>
  <c r="N38" i="31"/>
  <c r="W37" i="31"/>
  <c r="V37" i="31"/>
  <c r="U37" i="31"/>
  <c r="T37" i="31"/>
  <c r="S37" i="31"/>
  <c r="R37" i="31"/>
  <c r="Q37" i="31"/>
  <c r="P37" i="31"/>
  <c r="O37" i="31"/>
  <c r="N37" i="31"/>
  <c r="W36" i="31"/>
  <c r="V36" i="31"/>
  <c r="U36" i="31"/>
  <c r="T36" i="31"/>
  <c r="S36" i="31"/>
  <c r="R36" i="31"/>
  <c r="Q36" i="31"/>
  <c r="P36" i="31"/>
  <c r="O36" i="31"/>
  <c r="N36" i="31"/>
  <c r="W35" i="31"/>
  <c r="V35" i="31"/>
  <c r="U35" i="31"/>
  <c r="T35" i="31"/>
  <c r="S35" i="31"/>
  <c r="R35" i="31"/>
  <c r="Q35" i="31"/>
  <c r="P35" i="31"/>
  <c r="O35" i="31"/>
  <c r="N35" i="31"/>
  <c r="W34" i="31"/>
  <c r="V34" i="31"/>
  <c r="U34" i="31"/>
  <c r="T34" i="31"/>
  <c r="S34" i="31"/>
  <c r="R34" i="31"/>
  <c r="Q34" i="31"/>
  <c r="P34" i="31"/>
  <c r="O34" i="31"/>
  <c r="N34" i="31"/>
  <c r="W33" i="31"/>
  <c r="V33" i="31"/>
  <c r="U33" i="31"/>
  <c r="T33" i="31"/>
  <c r="S33" i="31"/>
  <c r="R33" i="31"/>
  <c r="Q33" i="31"/>
  <c r="P33" i="31"/>
  <c r="O33" i="31"/>
  <c r="N33" i="31"/>
  <c r="W32" i="31"/>
  <c r="V32" i="31"/>
  <c r="U32" i="31"/>
  <c r="T32" i="31"/>
  <c r="S32" i="31"/>
  <c r="R32" i="31"/>
  <c r="Q32" i="31"/>
  <c r="P32" i="31"/>
  <c r="O32" i="31"/>
  <c r="N32" i="31"/>
  <c r="W31" i="31"/>
  <c r="V31" i="31"/>
  <c r="U31" i="31"/>
  <c r="T31" i="31"/>
  <c r="S31" i="31"/>
  <c r="R31" i="31"/>
  <c r="Q31" i="31"/>
  <c r="P31" i="31"/>
  <c r="O31" i="31"/>
  <c r="N31" i="31"/>
  <c r="W30" i="31"/>
  <c r="V30" i="31"/>
  <c r="U30" i="31"/>
  <c r="T30" i="31"/>
  <c r="S30" i="31"/>
  <c r="R30" i="31"/>
  <c r="Q30" i="31"/>
  <c r="P30" i="31"/>
  <c r="O30" i="31"/>
  <c r="N30" i="31"/>
  <c r="W29" i="31"/>
  <c r="V29" i="31"/>
  <c r="U29" i="31"/>
  <c r="T29" i="31"/>
  <c r="S29" i="31"/>
  <c r="R29" i="31"/>
  <c r="Q29" i="31"/>
  <c r="P29" i="31"/>
  <c r="O29" i="31"/>
  <c r="N29" i="31"/>
  <c r="W28" i="31"/>
  <c r="V28" i="31"/>
  <c r="U28" i="31"/>
  <c r="T28" i="31"/>
  <c r="S28" i="31"/>
  <c r="R28" i="31"/>
  <c r="Q28" i="31"/>
  <c r="P28" i="31"/>
  <c r="O28" i="31"/>
  <c r="N28" i="31"/>
  <c r="W27" i="31"/>
  <c r="V27" i="31"/>
  <c r="U27" i="31"/>
  <c r="T27" i="31"/>
  <c r="S27" i="31"/>
  <c r="R27" i="31"/>
  <c r="Q27" i="31"/>
  <c r="P27" i="31"/>
  <c r="O27" i="31"/>
  <c r="N27" i="31"/>
  <c r="W26" i="31"/>
  <c r="V26" i="31"/>
  <c r="U26" i="31"/>
  <c r="T26" i="31"/>
  <c r="S26" i="31"/>
  <c r="R26" i="31"/>
  <c r="Q26" i="31"/>
  <c r="P26" i="31"/>
  <c r="O26" i="31"/>
  <c r="N26" i="31"/>
  <c r="W25" i="31"/>
  <c r="V25" i="31"/>
  <c r="U25" i="31"/>
  <c r="T25" i="31"/>
  <c r="S25" i="31"/>
  <c r="R25" i="31"/>
  <c r="Q25" i="31"/>
  <c r="P25" i="31"/>
  <c r="O25" i="31"/>
  <c r="N25" i="31"/>
  <c r="W24" i="31"/>
  <c r="V24" i="31"/>
  <c r="U24" i="31"/>
  <c r="T24" i="31"/>
  <c r="S24" i="31"/>
  <c r="R24" i="31"/>
  <c r="Q24" i="31"/>
  <c r="P24" i="31"/>
  <c r="O24" i="31"/>
  <c r="N24" i="31"/>
  <c r="W23" i="31"/>
  <c r="V23" i="31"/>
  <c r="U23" i="31"/>
  <c r="T23" i="31"/>
  <c r="S23" i="31"/>
  <c r="R23" i="31"/>
  <c r="Q23" i="31"/>
  <c r="P23" i="31"/>
  <c r="O23" i="31"/>
  <c r="N23" i="31"/>
  <c r="W22" i="31"/>
  <c r="V22" i="31"/>
  <c r="U22" i="31"/>
  <c r="T22" i="31"/>
  <c r="S22" i="31"/>
  <c r="R22" i="31"/>
  <c r="Q22" i="31"/>
  <c r="P22" i="31"/>
  <c r="O22" i="31"/>
  <c r="N22" i="31"/>
  <c r="W21" i="31"/>
  <c r="V21" i="31"/>
  <c r="U21" i="31"/>
  <c r="T21" i="31"/>
  <c r="S21" i="31"/>
  <c r="R21" i="31"/>
  <c r="Q21" i="31"/>
  <c r="P21" i="31"/>
  <c r="O21" i="31"/>
  <c r="N21" i="31"/>
  <c r="W20" i="31"/>
  <c r="V20" i="31"/>
  <c r="U20" i="31"/>
  <c r="T20" i="31"/>
  <c r="S20" i="31"/>
  <c r="R20" i="31"/>
  <c r="Q20" i="31"/>
  <c r="P20" i="31"/>
  <c r="O20" i="31"/>
  <c r="N20" i="31"/>
  <c r="W19" i="31"/>
  <c r="V19" i="31"/>
  <c r="U19" i="31"/>
  <c r="T19" i="31"/>
  <c r="S19" i="31"/>
  <c r="R19" i="31"/>
  <c r="Q19" i="31"/>
  <c r="P19" i="31"/>
  <c r="O19" i="31"/>
  <c r="N19" i="31"/>
  <c r="W18" i="31"/>
  <c r="V18" i="31"/>
  <c r="U18" i="31"/>
  <c r="T18" i="31"/>
  <c r="S18" i="31"/>
  <c r="R18" i="31"/>
  <c r="Q18" i="31"/>
  <c r="P18" i="31"/>
  <c r="O18" i="31"/>
  <c r="N18" i="31"/>
  <c r="W17" i="31"/>
  <c r="V17" i="31"/>
  <c r="U17" i="31"/>
  <c r="T17" i="31"/>
  <c r="S17" i="31"/>
  <c r="R17" i="31"/>
  <c r="Q17" i="31"/>
  <c r="P17" i="31"/>
  <c r="O17" i="31"/>
  <c r="N17" i="31"/>
  <c r="W16" i="31"/>
  <c r="V16" i="31"/>
  <c r="U16" i="31"/>
  <c r="T16" i="31"/>
  <c r="S16" i="31"/>
  <c r="R16" i="31"/>
  <c r="Q16" i="31"/>
  <c r="P16" i="31"/>
  <c r="O16" i="31"/>
  <c r="N16" i="31"/>
  <c r="W15" i="31"/>
  <c r="V15" i="31"/>
  <c r="U15" i="31"/>
  <c r="T15" i="31"/>
  <c r="S15" i="31"/>
  <c r="R15" i="31"/>
  <c r="Q15" i="31"/>
  <c r="P15" i="31"/>
  <c r="O15" i="31"/>
  <c r="N15" i="31"/>
  <c r="W14" i="31"/>
  <c r="V14" i="31"/>
  <c r="U14" i="31"/>
  <c r="T14" i="31"/>
  <c r="S14" i="31"/>
  <c r="R14" i="31"/>
  <c r="Q14" i="31"/>
  <c r="P14" i="31"/>
  <c r="O14" i="31"/>
  <c r="N14" i="31"/>
  <c r="W13" i="31"/>
  <c r="V13" i="31"/>
  <c r="U13" i="31"/>
  <c r="T13" i="31"/>
  <c r="S13" i="31"/>
  <c r="R13" i="31"/>
  <c r="Q13" i="31"/>
  <c r="P13" i="31"/>
  <c r="O13" i="31"/>
  <c r="N13" i="31"/>
  <c r="W12" i="31"/>
  <c r="V12" i="31"/>
  <c r="U12" i="31"/>
  <c r="T12" i="31"/>
  <c r="S12" i="31"/>
  <c r="R12" i="31"/>
  <c r="Q12" i="31"/>
  <c r="P12" i="31"/>
  <c r="O12" i="31"/>
  <c r="N12" i="31"/>
  <c r="W11" i="31"/>
  <c r="V11" i="31"/>
  <c r="U11" i="31"/>
  <c r="T11" i="31"/>
  <c r="S11" i="31"/>
  <c r="R11" i="31"/>
  <c r="Q11" i="31"/>
  <c r="P11" i="31"/>
  <c r="O11" i="31"/>
  <c r="N11" i="31"/>
  <c r="W10" i="31"/>
  <c r="V10" i="31"/>
  <c r="U10" i="31"/>
  <c r="T10" i="31"/>
  <c r="S10" i="31"/>
  <c r="R10" i="31"/>
  <c r="Q10" i="31"/>
  <c r="P10" i="31"/>
  <c r="O10" i="31"/>
  <c r="N10" i="31"/>
  <c r="W9" i="31"/>
  <c r="V9" i="31"/>
  <c r="U9" i="31"/>
  <c r="T9" i="31"/>
  <c r="S9" i="31"/>
  <c r="R9" i="31"/>
  <c r="Q9" i="31"/>
  <c r="P9" i="31"/>
  <c r="O9" i="31"/>
  <c r="N9" i="31"/>
  <c r="W8" i="31"/>
  <c r="V8" i="31"/>
  <c r="U8" i="31"/>
  <c r="T8" i="31"/>
  <c r="S8" i="31"/>
  <c r="R8" i="31"/>
  <c r="Q8" i="31"/>
  <c r="P8" i="31"/>
  <c r="O8" i="31"/>
  <c r="N8" i="31"/>
  <c r="W7" i="31"/>
  <c r="V7" i="31"/>
  <c r="U7" i="31"/>
  <c r="T7" i="31"/>
  <c r="S7" i="31"/>
  <c r="R7" i="31"/>
  <c r="Q7" i="31"/>
  <c r="P7" i="31"/>
  <c r="O7" i="31"/>
  <c r="N7" i="31"/>
  <c r="W6" i="31"/>
  <c r="V6" i="31"/>
  <c r="U6" i="31"/>
  <c r="T6" i="31"/>
  <c r="S6" i="31"/>
  <c r="R6" i="31"/>
  <c r="Q6" i="31"/>
  <c r="P6" i="31"/>
  <c r="O6" i="31"/>
  <c r="N6" i="31"/>
  <c r="W5" i="31"/>
  <c r="V5" i="31"/>
  <c r="U5" i="31"/>
  <c r="T5" i="31"/>
  <c r="S5" i="31"/>
  <c r="R5" i="31"/>
  <c r="Q5" i="31"/>
  <c r="P5" i="31"/>
  <c r="O5" i="31"/>
  <c r="N5" i="31"/>
  <c r="W4" i="31"/>
  <c r="V4" i="31"/>
  <c r="U4" i="31"/>
  <c r="T4" i="31"/>
  <c r="S4" i="31"/>
  <c r="R4" i="31"/>
  <c r="Q4" i="31"/>
  <c r="P4" i="31"/>
  <c r="O4" i="31"/>
  <c r="N4" i="31"/>
  <c r="D4" i="31"/>
  <c r="E4" i="31"/>
  <c r="F4" i="31"/>
  <c r="G4" i="31"/>
  <c r="H4" i="31"/>
  <c r="H47" i="31" s="1"/>
  <c r="I4" i="31"/>
  <c r="I47" i="31" s="1"/>
  <c r="J4" i="31"/>
  <c r="J47" i="31" s="1"/>
  <c r="K4" i="31"/>
  <c r="K47" i="31" s="1"/>
  <c r="D5" i="31"/>
  <c r="E5" i="31"/>
  <c r="F5" i="31"/>
  <c r="G5" i="31"/>
  <c r="H5" i="31"/>
  <c r="H48" i="31" s="1"/>
  <c r="I5" i="31"/>
  <c r="I48" i="31" s="1"/>
  <c r="J5" i="31"/>
  <c r="J48" i="31" s="1"/>
  <c r="K5" i="31"/>
  <c r="K48" i="31" s="1"/>
  <c r="D6" i="31"/>
  <c r="E6" i="31"/>
  <c r="F6" i="31"/>
  <c r="G6" i="31"/>
  <c r="H6" i="31"/>
  <c r="I6" i="31"/>
  <c r="I49" i="31" s="1"/>
  <c r="J6" i="31"/>
  <c r="K6" i="31"/>
  <c r="K49" i="31" s="1"/>
  <c r="D7" i="31"/>
  <c r="E7" i="31"/>
  <c r="G7" i="31"/>
  <c r="H7" i="31"/>
  <c r="I7" i="31"/>
  <c r="J7" i="31"/>
  <c r="K7" i="31"/>
  <c r="K50" i="31" s="1"/>
  <c r="D8" i="31"/>
  <c r="E8" i="31"/>
  <c r="F8" i="31"/>
  <c r="G8" i="31"/>
  <c r="K51" i="31" s="1"/>
  <c r="H8" i="31"/>
  <c r="H51" i="31"/>
  <c r="I8" i="31"/>
  <c r="J8" i="31"/>
  <c r="K8" i="31"/>
  <c r="D9" i="31"/>
  <c r="E9" i="31"/>
  <c r="F9" i="31"/>
  <c r="G9" i="31"/>
  <c r="H9" i="31"/>
  <c r="H52" i="31" s="1"/>
  <c r="I9" i="31"/>
  <c r="J9" i="31"/>
  <c r="J52" i="31" s="1"/>
  <c r="K9" i="31"/>
  <c r="D10" i="31"/>
  <c r="E10" i="31"/>
  <c r="I53" i="31" s="1"/>
  <c r="F10" i="31"/>
  <c r="G10" i="31"/>
  <c r="H10" i="31"/>
  <c r="H53" i="31" s="1"/>
  <c r="I10" i="31"/>
  <c r="J10" i="31"/>
  <c r="J53" i="31"/>
  <c r="K10" i="31"/>
  <c r="D11" i="31"/>
  <c r="E11" i="31"/>
  <c r="F11" i="31"/>
  <c r="J54" i="31" s="1"/>
  <c r="G11" i="31"/>
  <c r="H11" i="31"/>
  <c r="H54" i="31"/>
  <c r="I11" i="31"/>
  <c r="J11" i="31"/>
  <c r="K11" i="31"/>
  <c r="K54" i="31"/>
  <c r="D12" i="31"/>
  <c r="E12" i="31"/>
  <c r="F12" i="31"/>
  <c r="G12" i="31"/>
  <c r="H12" i="31"/>
  <c r="H55" i="31" s="1"/>
  <c r="I12" i="31"/>
  <c r="J12" i="31"/>
  <c r="J55" i="31" s="1"/>
  <c r="K12" i="31"/>
  <c r="D13" i="31"/>
  <c r="E13" i="31"/>
  <c r="F13" i="31"/>
  <c r="G13" i="31"/>
  <c r="K56" i="31" s="1"/>
  <c r="H13" i="31"/>
  <c r="H56" i="31" s="1"/>
  <c r="I13" i="31"/>
  <c r="J13" i="31"/>
  <c r="J56" i="31"/>
  <c r="K13" i="31"/>
  <c r="D14" i="31"/>
  <c r="E14" i="31"/>
  <c r="F14" i="31"/>
  <c r="G14" i="31"/>
  <c r="H14" i="31"/>
  <c r="H57" i="31"/>
  <c r="I14" i="31"/>
  <c r="J14" i="31"/>
  <c r="J57" i="31" s="1"/>
  <c r="K14" i="31"/>
  <c r="K57" i="31" s="1"/>
  <c r="D15" i="31"/>
  <c r="E15" i="31"/>
  <c r="F15" i="31"/>
  <c r="G15" i="31"/>
  <c r="G58" i="31" s="1"/>
  <c r="H15" i="31"/>
  <c r="H58" i="31" s="1"/>
  <c r="I15" i="31"/>
  <c r="J15" i="31"/>
  <c r="K15" i="31"/>
  <c r="K58" i="31" s="1"/>
  <c r="D16" i="31"/>
  <c r="E16" i="31"/>
  <c r="F16" i="31"/>
  <c r="G16" i="31"/>
  <c r="G59" i="31" s="1"/>
  <c r="H16" i="31"/>
  <c r="H59" i="31" s="1"/>
  <c r="I16" i="31"/>
  <c r="I59" i="31" s="1"/>
  <c r="J16" i="31"/>
  <c r="J59" i="31" s="1"/>
  <c r="K16" i="31"/>
  <c r="K59" i="31" s="1"/>
  <c r="D17" i="31"/>
  <c r="E17" i="31"/>
  <c r="F17" i="31"/>
  <c r="G17" i="31"/>
  <c r="G60" i="31" s="1"/>
  <c r="H17" i="31"/>
  <c r="H60" i="31" s="1"/>
  <c r="I17" i="31"/>
  <c r="I60" i="31" s="1"/>
  <c r="J17" i="31"/>
  <c r="J60" i="31" s="1"/>
  <c r="K17" i="31"/>
  <c r="K60" i="31" s="1"/>
  <c r="D18" i="31"/>
  <c r="E18" i="31"/>
  <c r="F18" i="31"/>
  <c r="G18" i="31"/>
  <c r="H18" i="31"/>
  <c r="H61" i="31" s="1"/>
  <c r="I18" i="31"/>
  <c r="I61" i="31"/>
  <c r="J18" i="31"/>
  <c r="J61" i="31" s="1"/>
  <c r="K18" i="31"/>
  <c r="K61" i="31" s="1"/>
  <c r="D19" i="31"/>
  <c r="E19" i="31"/>
  <c r="F19" i="31"/>
  <c r="G19" i="31"/>
  <c r="H19" i="31"/>
  <c r="H62" i="31" s="1"/>
  <c r="I19" i="31"/>
  <c r="I62" i="31" s="1"/>
  <c r="J19" i="31"/>
  <c r="K19" i="31"/>
  <c r="K62" i="31"/>
  <c r="D20" i="31"/>
  <c r="E20" i="31"/>
  <c r="F20" i="31"/>
  <c r="G20" i="31"/>
  <c r="G63" i="31" s="1"/>
  <c r="H20" i="31"/>
  <c r="H63" i="31" s="1"/>
  <c r="I20" i="31"/>
  <c r="I63" i="31" s="1"/>
  <c r="J20" i="31"/>
  <c r="J63" i="31" s="1"/>
  <c r="K20" i="31"/>
  <c r="K63" i="31" s="1"/>
  <c r="D21" i="31"/>
  <c r="E21" i="31"/>
  <c r="F21" i="31"/>
  <c r="G21" i="31"/>
  <c r="G64" i="31" s="1"/>
  <c r="H21" i="31"/>
  <c r="H64" i="31" s="1"/>
  <c r="I21" i="31"/>
  <c r="I64" i="31" s="1"/>
  <c r="J21" i="31"/>
  <c r="J64" i="31" s="1"/>
  <c r="K21" i="31"/>
  <c r="K64" i="31" s="1"/>
  <c r="D22" i="31"/>
  <c r="E22" i="31"/>
  <c r="F22" i="31"/>
  <c r="G22" i="31"/>
  <c r="H22" i="31"/>
  <c r="H65" i="31"/>
  <c r="I22" i="31"/>
  <c r="J22" i="31"/>
  <c r="K22" i="31"/>
  <c r="D23" i="31"/>
  <c r="E23" i="31"/>
  <c r="F23" i="31"/>
  <c r="G23" i="31"/>
  <c r="H23" i="31"/>
  <c r="H66" i="31" s="1"/>
  <c r="I23" i="31"/>
  <c r="I66" i="31" s="1"/>
  <c r="J23" i="31"/>
  <c r="J66" i="31" s="1"/>
  <c r="K23" i="31"/>
  <c r="K66" i="31" s="1"/>
  <c r="D24" i="31"/>
  <c r="E24" i="31"/>
  <c r="F24" i="31"/>
  <c r="G24" i="31"/>
  <c r="H24" i="31"/>
  <c r="H67" i="31" s="1"/>
  <c r="I24" i="31"/>
  <c r="I67" i="31" s="1"/>
  <c r="J24" i="31"/>
  <c r="J67" i="31" s="1"/>
  <c r="K24" i="31"/>
  <c r="K67" i="31" s="1"/>
  <c r="D25" i="31"/>
  <c r="E25" i="31"/>
  <c r="F25" i="31"/>
  <c r="G25" i="31"/>
  <c r="H25" i="31"/>
  <c r="H68" i="31" s="1"/>
  <c r="I25" i="31"/>
  <c r="I68" i="31" s="1"/>
  <c r="J25" i="31"/>
  <c r="J68" i="31" s="1"/>
  <c r="K25" i="31"/>
  <c r="K68" i="31" s="1"/>
  <c r="D26" i="31"/>
  <c r="E26" i="31"/>
  <c r="F26" i="31"/>
  <c r="G26" i="31"/>
  <c r="H26" i="31"/>
  <c r="H69" i="31" s="1"/>
  <c r="I26" i="31"/>
  <c r="I69" i="31" s="1"/>
  <c r="J26" i="31"/>
  <c r="K26" i="31"/>
  <c r="K69" i="31"/>
  <c r="D27" i="31"/>
  <c r="E27" i="31"/>
  <c r="I70" i="31" s="1"/>
  <c r="F27" i="31"/>
  <c r="G27" i="31"/>
  <c r="G70" i="31" s="1"/>
  <c r="H27" i="31"/>
  <c r="L70" i="31" s="1"/>
  <c r="I27" i="31"/>
  <c r="J27" i="31"/>
  <c r="J70" i="31"/>
  <c r="K27" i="31"/>
  <c r="K70" i="31" s="1"/>
  <c r="D28" i="31"/>
  <c r="E28" i="31"/>
  <c r="I71" i="31" s="1"/>
  <c r="F28" i="31"/>
  <c r="G28" i="31"/>
  <c r="H28" i="31"/>
  <c r="H71" i="31"/>
  <c r="I28" i="31"/>
  <c r="J28" i="31"/>
  <c r="J71" i="31"/>
  <c r="K28" i="31"/>
  <c r="K71" i="31" s="1"/>
  <c r="D29" i="31"/>
  <c r="E29" i="31"/>
  <c r="F29" i="31"/>
  <c r="G29" i="31"/>
  <c r="H29" i="31"/>
  <c r="H72" i="31"/>
  <c r="I29" i="31"/>
  <c r="J29" i="31"/>
  <c r="J72" i="31" s="1"/>
  <c r="K29" i="31"/>
  <c r="D30" i="31"/>
  <c r="E30" i="31"/>
  <c r="F30" i="31"/>
  <c r="G30" i="31"/>
  <c r="G73" i="31" s="1"/>
  <c r="H30" i="31"/>
  <c r="H73" i="31" s="1"/>
  <c r="I30" i="31"/>
  <c r="I73" i="31" s="1"/>
  <c r="J30" i="31"/>
  <c r="J73" i="31" s="1"/>
  <c r="K30" i="31"/>
  <c r="K73" i="31" s="1"/>
  <c r="D31" i="31"/>
  <c r="E31" i="31"/>
  <c r="F31" i="31"/>
  <c r="G31" i="31"/>
  <c r="H31" i="31"/>
  <c r="H74" i="31" s="1"/>
  <c r="I31" i="31"/>
  <c r="I74" i="31" s="1"/>
  <c r="J31" i="31"/>
  <c r="J74" i="31" s="1"/>
  <c r="K31" i="31"/>
  <c r="K74" i="31"/>
  <c r="D32" i="31"/>
  <c r="E32" i="31"/>
  <c r="F32" i="31"/>
  <c r="G32" i="31"/>
  <c r="G75" i="31" s="1"/>
  <c r="H32" i="31"/>
  <c r="H75" i="31" s="1"/>
  <c r="I32" i="31"/>
  <c r="J32" i="31"/>
  <c r="J75" i="31" s="1"/>
  <c r="K32" i="31"/>
  <c r="D33" i="31"/>
  <c r="E33" i="31"/>
  <c r="F33" i="31"/>
  <c r="J76" i="31" s="1"/>
  <c r="G33" i="31"/>
  <c r="H33" i="31"/>
  <c r="H76" i="31"/>
  <c r="I33" i="31"/>
  <c r="J33" i="31"/>
  <c r="K33" i="31"/>
  <c r="K76" i="31"/>
  <c r="D34" i="31"/>
  <c r="E34" i="31"/>
  <c r="F34" i="31"/>
  <c r="G34" i="31"/>
  <c r="K77" i="31" s="1"/>
  <c r="H34" i="31"/>
  <c r="H77" i="31" s="1"/>
  <c r="I34" i="31"/>
  <c r="J34" i="31"/>
  <c r="J77" i="31" s="1"/>
  <c r="K34" i="31"/>
  <c r="D35" i="31"/>
  <c r="E35" i="31"/>
  <c r="F35" i="31"/>
  <c r="G35" i="31"/>
  <c r="K78" i="31" s="1"/>
  <c r="H35" i="31"/>
  <c r="H78" i="31" s="1"/>
  <c r="I35" i="31"/>
  <c r="J35" i="31"/>
  <c r="J78" i="31" s="1"/>
  <c r="K35" i="31"/>
  <c r="D36" i="31"/>
  <c r="E36" i="31"/>
  <c r="I79" i="31" s="1"/>
  <c r="F36" i="31"/>
  <c r="G36" i="31"/>
  <c r="H36" i="31"/>
  <c r="H79" i="31"/>
  <c r="I36" i="31"/>
  <c r="J36" i="31"/>
  <c r="J79" i="31"/>
  <c r="K36" i="31"/>
  <c r="K79" i="31" s="1"/>
  <c r="D37" i="31"/>
  <c r="E37" i="31"/>
  <c r="F37" i="31"/>
  <c r="G37" i="31"/>
  <c r="H37" i="31"/>
  <c r="H80" i="31" s="1"/>
  <c r="I37" i="31"/>
  <c r="J37" i="31"/>
  <c r="K37" i="31"/>
  <c r="K80" i="31" s="1"/>
  <c r="D38" i="31"/>
  <c r="E38" i="31"/>
  <c r="F38" i="31"/>
  <c r="G38" i="31"/>
  <c r="H38" i="31"/>
  <c r="L81" i="31" s="1"/>
  <c r="H81" i="31"/>
  <c r="I38" i="31"/>
  <c r="J38" i="31"/>
  <c r="K38" i="31"/>
  <c r="D39" i="31"/>
  <c r="E39" i="31"/>
  <c r="F39" i="31"/>
  <c r="G39" i="31"/>
  <c r="H39" i="31"/>
  <c r="H82" i="31" s="1"/>
  <c r="I39" i="31"/>
  <c r="J39" i="31"/>
  <c r="J82" i="31"/>
  <c r="K39" i="31"/>
  <c r="D40" i="31"/>
  <c r="E40" i="31"/>
  <c r="F40" i="31"/>
  <c r="G40" i="31"/>
  <c r="H40" i="31"/>
  <c r="H83" i="31" s="1"/>
  <c r="I40" i="31"/>
  <c r="J40" i="31"/>
  <c r="J83" i="31" s="1"/>
  <c r="K40" i="31"/>
  <c r="D41" i="31"/>
  <c r="E41" i="31"/>
  <c r="F41" i="31"/>
  <c r="J84" i="31" s="1"/>
  <c r="G41" i="31"/>
  <c r="H41" i="31"/>
  <c r="H84" i="31"/>
  <c r="I41" i="31"/>
  <c r="J41" i="31"/>
  <c r="K41" i="31"/>
  <c r="K84" i="31" s="1"/>
  <c r="E42" i="31"/>
  <c r="I85" i="31" s="1"/>
  <c r="F42" i="31"/>
  <c r="G42" i="31"/>
  <c r="G85" i="31" s="1"/>
  <c r="H42" i="31"/>
  <c r="H85" i="31"/>
  <c r="I42" i="31"/>
  <c r="J42" i="31"/>
  <c r="J85" i="31"/>
  <c r="K42" i="31"/>
  <c r="K85" i="31" s="1"/>
  <c r="C5" i="31"/>
  <c r="C6" i="31"/>
  <c r="G49" i="31" s="1"/>
  <c r="C7" i="31"/>
  <c r="C8" i="31"/>
  <c r="C9" i="31"/>
  <c r="C10" i="31"/>
  <c r="C11" i="31"/>
  <c r="G54" i="31" s="1"/>
  <c r="C12" i="31"/>
  <c r="C13" i="31"/>
  <c r="C14" i="31"/>
  <c r="C15" i="31"/>
  <c r="C16" i="31"/>
  <c r="C17" i="31"/>
  <c r="C18" i="31"/>
  <c r="C19" i="31"/>
  <c r="C20" i="31"/>
  <c r="C21" i="31"/>
  <c r="C22" i="31"/>
  <c r="C23" i="31"/>
  <c r="G66" i="31" s="1"/>
  <c r="C24" i="31"/>
  <c r="G67" i="31" s="1"/>
  <c r="C25" i="31"/>
  <c r="C26" i="31"/>
  <c r="G69" i="31" s="1"/>
  <c r="C27" i="31"/>
  <c r="C28" i="31"/>
  <c r="C29" i="31"/>
  <c r="C30" i="31"/>
  <c r="C31" i="31"/>
  <c r="G74" i="31" s="1"/>
  <c r="C32" i="31"/>
  <c r="C33" i="31"/>
  <c r="C34" i="31"/>
  <c r="C35" i="31"/>
  <c r="C36" i="31"/>
  <c r="G79" i="31" s="1"/>
  <c r="C37" i="31"/>
  <c r="C38" i="31"/>
  <c r="C39" i="31"/>
  <c r="C40" i="31"/>
  <c r="C41" i="31"/>
  <c r="G47" i="31"/>
  <c r="L42" i="31"/>
  <c r="L41" i="31"/>
  <c r="L40" i="31"/>
  <c r="L83" i="31" s="1"/>
  <c r="L39" i="31"/>
  <c r="L82" i="31" s="1"/>
  <c r="L38" i="31"/>
  <c r="L37" i="31"/>
  <c r="L36" i="31"/>
  <c r="L35" i="31"/>
  <c r="L34" i="31"/>
  <c r="L33" i="31"/>
  <c r="L76" i="31"/>
  <c r="L32" i="31"/>
  <c r="L75" i="31" s="1"/>
  <c r="L31" i="31"/>
  <c r="L30" i="31"/>
  <c r="L29" i="31"/>
  <c r="L28" i="31"/>
  <c r="L71" i="31" s="1"/>
  <c r="L27" i="31"/>
  <c r="L26" i="31"/>
  <c r="L25" i="31"/>
  <c r="L68" i="31"/>
  <c r="L24" i="31"/>
  <c r="L23" i="31"/>
  <c r="L22" i="31"/>
  <c r="L21" i="31"/>
  <c r="L20" i="31"/>
  <c r="L63" i="31" s="1"/>
  <c r="L19" i="31"/>
  <c r="L18" i="31"/>
  <c r="L17" i="31"/>
  <c r="L60" i="31" s="1"/>
  <c r="L16" i="31"/>
  <c r="L15" i="31"/>
  <c r="L58" i="31" s="1"/>
  <c r="L14" i="31"/>
  <c r="L57" i="31" s="1"/>
  <c r="L13" i="31"/>
  <c r="L56" i="31" s="1"/>
  <c r="L12" i="31"/>
  <c r="L11" i="31"/>
  <c r="L10" i="31"/>
  <c r="L53" i="31" s="1"/>
  <c r="L9" i="31"/>
  <c r="L8" i="31"/>
  <c r="L51" i="31" s="1"/>
  <c r="L7" i="31"/>
  <c r="L50" i="31" s="1"/>
  <c r="L6" i="31"/>
  <c r="L49" i="31" s="1"/>
  <c r="L5" i="31"/>
  <c r="D3" i="31"/>
  <c r="D46" i="31" s="1"/>
  <c r="E3" i="31"/>
  <c r="E46" i="31" s="1"/>
  <c r="F3" i="31"/>
  <c r="F46" i="31" s="1"/>
  <c r="G3" i="31"/>
  <c r="G46" i="31" s="1"/>
  <c r="H3" i="31"/>
  <c r="H46" i="31" s="1"/>
  <c r="I3" i="31"/>
  <c r="I46" i="31" s="1"/>
  <c r="J3" i="31"/>
  <c r="J46" i="31" s="1"/>
  <c r="K3" i="31"/>
  <c r="K46" i="31" s="1"/>
  <c r="L3" i="31"/>
  <c r="L46" i="31" s="1"/>
  <c r="M3" i="31"/>
  <c r="N3" i="31"/>
  <c r="O3" i="31"/>
  <c r="P3" i="31"/>
  <c r="Q3" i="31"/>
  <c r="R3" i="31"/>
  <c r="S3" i="31"/>
  <c r="T3" i="31"/>
  <c r="U3" i="31"/>
  <c r="V3" i="31"/>
  <c r="W3" i="31"/>
  <c r="X3" i="31"/>
  <c r="Y3" i="31"/>
  <c r="Z3" i="31"/>
  <c r="AA3" i="31"/>
  <c r="AB3" i="31"/>
  <c r="AC3" i="31"/>
  <c r="AD3" i="31"/>
  <c r="AE3" i="31"/>
  <c r="AF3" i="31"/>
  <c r="AG3" i="31"/>
  <c r="AH3" i="31"/>
  <c r="AI3" i="31"/>
  <c r="AJ3" i="31"/>
  <c r="AK3" i="31"/>
  <c r="AL3" i="31"/>
  <c r="AM3" i="31"/>
  <c r="AN3" i="31"/>
  <c r="AO3" i="31"/>
  <c r="AP3" i="31"/>
  <c r="AQ3" i="31"/>
  <c r="AR3" i="31"/>
  <c r="AS3" i="31"/>
  <c r="AT3" i="31"/>
  <c r="AU3" i="31"/>
  <c r="AV3" i="31"/>
  <c r="AW3" i="31"/>
  <c r="AX3" i="31"/>
  <c r="AY3" i="31"/>
  <c r="AZ3" i="31"/>
  <c r="BA3" i="31"/>
  <c r="BB3" i="31"/>
  <c r="BC3" i="31"/>
  <c r="BD3" i="31"/>
  <c r="C3" i="31"/>
  <c r="C46" i="31" s="1"/>
  <c r="B85" i="31"/>
  <c r="B84" i="31"/>
  <c r="B83" i="31"/>
  <c r="B82" i="31"/>
  <c r="B81" i="31"/>
  <c r="B80" i="31"/>
  <c r="B79" i="31"/>
  <c r="B78" i="31"/>
  <c r="B77" i="31"/>
  <c r="B76" i="31"/>
  <c r="B75" i="31"/>
  <c r="B74" i="31"/>
  <c r="B73" i="31"/>
  <c r="B72" i="31"/>
  <c r="B71" i="31"/>
  <c r="B70" i="31"/>
  <c r="B69" i="31"/>
  <c r="B68" i="31"/>
  <c r="B67" i="31"/>
  <c r="B66" i="31"/>
  <c r="B65" i="31"/>
  <c r="B64" i="31"/>
  <c r="B63" i="31"/>
  <c r="B62" i="31"/>
  <c r="B61" i="31"/>
  <c r="B60" i="31"/>
  <c r="B59" i="31"/>
  <c r="B58" i="31"/>
  <c r="B57" i="31"/>
  <c r="B56" i="31"/>
  <c r="B55" i="31"/>
  <c r="B54" i="31"/>
  <c r="B53" i="31"/>
  <c r="B52" i="31"/>
  <c r="B51" i="31"/>
  <c r="B50" i="31"/>
  <c r="H49" i="31"/>
  <c r="B49" i="31"/>
  <c r="B48" i="31"/>
  <c r="B47" i="31"/>
  <c r="B46" i="31"/>
  <c r="R82" i="32"/>
  <c r="J65" i="31"/>
  <c r="L65" i="31"/>
  <c r="L77" i="31"/>
  <c r="G78" i="31"/>
  <c r="G77" i="31"/>
  <c r="G57" i="31"/>
  <c r="H56" i="32"/>
  <c r="U58" i="32"/>
  <c r="S79" i="32"/>
  <c r="V72" i="32"/>
  <c r="S53" i="32"/>
  <c r="U80" i="32"/>
  <c r="W85" i="32"/>
  <c r="L73" i="32"/>
  <c r="L69" i="32"/>
  <c r="T55" i="32"/>
  <c r="T59" i="32"/>
  <c r="T73" i="32"/>
  <c r="R78" i="32"/>
  <c r="S52" i="32"/>
  <c r="S84" i="32"/>
  <c r="U50" i="32"/>
  <c r="S77" i="32"/>
  <c r="U82" i="32"/>
  <c r="U53" i="32"/>
  <c r="U48" i="32"/>
  <c r="S49" i="32"/>
  <c r="W49" i="32"/>
  <c r="W51" i="32"/>
  <c r="U52" i="32"/>
  <c r="U54" i="32"/>
  <c r="W55" i="32"/>
  <c r="U56" i="32"/>
  <c r="S57" i="32"/>
  <c r="S59" i="32"/>
  <c r="W59" i="32"/>
  <c r="U60" i="32"/>
  <c r="W61" i="32"/>
  <c r="U62" i="32"/>
  <c r="S63" i="32"/>
  <c r="U64" i="32"/>
  <c r="S65" i="32"/>
  <c r="W65" i="32"/>
  <c r="S67" i="32"/>
  <c r="W67" i="32"/>
  <c r="U68" i="32"/>
  <c r="S71" i="32"/>
  <c r="W71" i="32"/>
  <c r="U72" i="32"/>
  <c r="W73" i="32"/>
  <c r="S75" i="32"/>
  <c r="W75" i="32"/>
  <c r="W77" i="32"/>
  <c r="S47" i="32"/>
  <c r="W79" i="32"/>
  <c r="W81" i="32"/>
  <c r="W83" i="32"/>
  <c r="S85" i="32"/>
  <c r="R52" i="32"/>
  <c r="T61" i="32"/>
  <c r="T65" i="32"/>
  <c r="R68" i="32"/>
  <c r="T77" i="32"/>
  <c r="T85" i="32"/>
  <c r="S83" i="32"/>
  <c r="S68" i="32"/>
  <c r="L74" i="32"/>
  <c r="L70" i="32"/>
  <c r="H70" i="32"/>
  <c r="H66" i="32"/>
  <c r="H63" i="32"/>
  <c r="H59" i="32"/>
  <c r="L58" i="32"/>
  <c r="L52" i="32"/>
  <c r="H48" i="32"/>
  <c r="L55" i="31"/>
  <c r="G80" i="31"/>
  <c r="L54" i="31"/>
  <c r="L79" i="31"/>
  <c r="G50" i="31"/>
  <c r="G84" i="31"/>
  <c r="G76" i="31"/>
  <c r="G68" i="31"/>
  <c r="G52" i="31"/>
  <c r="M1006" i="26"/>
  <c r="N1006" i="26"/>
  <c r="O1006" i="26"/>
  <c r="P1006" i="26"/>
  <c r="Q1006" i="26"/>
  <c r="R1006" i="26"/>
  <c r="S1006" i="26"/>
  <c r="T1006" i="26"/>
  <c r="U1006" i="26"/>
  <c r="V1006" i="26"/>
  <c r="W1006" i="26"/>
  <c r="X1006" i="26"/>
  <c r="Y1006" i="26"/>
  <c r="Z1006" i="26"/>
  <c r="AA1006" i="26"/>
  <c r="AB1006" i="26"/>
  <c r="AC1006" i="26"/>
  <c r="AD1006" i="26"/>
  <c r="AE1006" i="26"/>
  <c r="AF1006" i="26"/>
  <c r="AG1006" i="26"/>
  <c r="AH1006" i="26"/>
  <c r="AI1006" i="26"/>
  <c r="AJ1006" i="26"/>
  <c r="AK1006" i="26"/>
  <c r="AL1006" i="26"/>
  <c r="AM1006" i="26"/>
  <c r="AN1006" i="26"/>
  <c r="AO1006" i="26"/>
  <c r="AP1006" i="26"/>
  <c r="AQ1006" i="26"/>
  <c r="AR1006" i="26"/>
  <c r="AS1006" i="26"/>
  <c r="AT1006" i="26"/>
  <c r="AU1006" i="26"/>
  <c r="AV1006" i="26"/>
  <c r="AW1006" i="26"/>
  <c r="AX1006" i="26"/>
  <c r="AY1006" i="26"/>
  <c r="L1006" i="26"/>
  <c r="K1006" i="26"/>
  <c r="J1006" i="26"/>
  <c r="H1006" i="26"/>
  <c r="I1006" i="26"/>
  <c r="G1006" i="26"/>
  <c r="F1006" i="26"/>
  <c r="E1006" i="26"/>
  <c r="D1006" i="26"/>
  <c r="AD21" i="26"/>
  <c r="AC21" i="26"/>
  <c r="AB21" i="26"/>
  <c r="AA21" i="26"/>
  <c r="Z21" i="26"/>
  <c r="Y21" i="26"/>
  <c r="B999" i="1"/>
  <c r="I24" i="1" s="1"/>
  <c r="K1007" i="1"/>
  <c r="J1007" i="1"/>
  <c r="I1007" i="1"/>
  <c r="H1007" i="1"/>
  <c r="G1007" i="1"/>
  <c r="F1007" i="1"/>
  <c r="E1007" i="1"/>
  <c r="D1007" i="1"/>
  <c r="C1007" i="1"/>
  <c r="B1007" i="1"/>
  <c r="K1006" i="1"/>
  <c r="J1006" i="1"/>
  <c r="I1006" i="1"/>
  <c r="H1006" i="1"/>
  <c r="G1006" i="1"/>
  <c r="F1006" i="1"/>
  <c r="E1006" i="1"/>
  <c r="D1006" i="1"/>
  <c r="C1006" i="1"/>
  <c r="B1006" i="1"/>
  <c r="K1005" i="1"/>
  <c r="J1005" i="1"/>
  <c r="I1005" i="1"/>
  <c r="H1005" i="1"/>
  <c r="G1005" i="1"/>
  <c r="F1005" i="1"/>
  <c r="E1005" i="1"/>
  <c r="D1005" i="1"/>
  <c r="C1005" i="1"/>
  <c r="B1005" i="1"/>
  <c r="K1003" i="1"/>
  <c r="J1003" i="1"/>
  <c r="I1003" i="1"/>
  <c r="H1003" i="1"/>
  <c r="G1003" i="1"/>
  <c r="F1003" i="1"/>
  <c r="E1003" i="1"/>
  <c r="D1003" i="1"/>
  <c r="C1003" i="1"/>
  <c r="B1003" i="1"/>
  <c r="K1002" i="1"/>
  <c r="J1002" i="1"/>
  <c r="I1002" i="1"/>
  <c r="H1002" i="1"/>
  <c r="G1002" i="1"/>
  <c r="F1002" i="1"/>
  <c r="E1002" i="1"/>
  <c r="D1002" i="1"/>
  <c r="C1002" i="1"/>
  <c r="B1002" i="1"/>
  <c r="J1005" i="26"/>
  <c r="K1005" i="26"/>
  <c r="L1005" i="26"/>
  <c r="M1005" i="26"/>
  <c r="N1005" i="26"/>
  <c r="O1005" i="26"/>
  <c r="P1005" i="26"/>
  <c r="Q1005" i="26"/>
  <c r="R1005" i="26"/>
  <c r="S1005" i="26"/>
  <c r="T1005" i="26"/>
  <c r="U1005" i="26"/>
  <c r="V1005" i="26"/>
  <c r="W1005" i="26"/>
  <c r="X1005" i="26"/>
  <c r="Y1005" i="26"/>
  <c r="Z1005" i="26"/>
  <c r="AA1005" i="26"/>
  <c r="AB1005" i="26"/>
  <c r="AC1005" i="26"/>
  <c r="AD1005" i="26"/>
  <c r="AE1005" i="26"/>
  <c r="AF1005" i="26"/>
  <c r="AG1005" i="26"/>
  <c r="AH1005" i="26"/>
  <c r="AI1005" i="26"/>
  <c r="AJ1005" i="26"/>
  <c r="AK1005" i="26"/>
  <c r="AL1005" i="26"/>
  <c r="AM1005" i="26"/>
  <c r="AN1005" i="26"/>
  <c r="AO1005" i="26"/>
  <c r="AP1005" i="26"/>
  <c r="AQ1005" i="26"/>
  <c r="AR1005" i="26"/>
  <c r="AS1005" i="26"/>
  <c r="AT1005" i="26"/>
  <c r="AU1005" i="26"/>
  <c r="AV1005" i="26"/>
  <c r="AW1005" i="26"/>
  <c r="AX1005" i="26"/>
  <c r="AY1005" i="26"/>
  <c r="E1005" i="26"/>
  <c r="F1005" i="26"/>
  <c r="G1005" i="26"/>
  <c r="H1005" i="26"/>
  <c r="I1005" i="26"/>
  <c r="D1005" i="26"/>
  <c r="AW1003" i="26"/>
  <c r="AX1003" i="26"/>
  <c r="AY1003" i="26"/>
  <c r="AY1004" i="26"/>
  <c r="AY1007" i="26" s="1"/>
  <c r="E1004" i="26"/>
  <c r="E1007" i="26" s="1"/>
  <c r="F1004" i="26"/>
  <c r="F1007" i="26" s="1"/>
  <c r="G1004" i="26"/>
  <c r="G1007" i="26" s="1"/>
  <c r="H1004" i="26"/>
  <c r="H1007" i="26" s="1"/>
  <c r="I1004" i="26"/>
  <c r="I1007" i="26" s="1"/>
  <c r="J1004" i="26"/>
  <c r="J1007" i="26" s="1"/>
  <c r="K1004" i="26"/>
  <c r="K1007" i="26" s="1"/>
  <c r="L1004" i="26"/>
  <c r="L1007" i="26" s="1"/>
  <c r="M1004" i="26"/>
  <c r="M1007" i="26" s="1"/>
  <c r="N1004" i="26"/>
  <c r="N1007" i="26" s="1"/>
  <c r="O1004" i="26"/>
  <c r="O1007" i="26" s="1"/>
  <c r="P1004" i="26"/>
  <c r="P1007" i="26" s="1"/>
  <c r="Q1004" i="26"/>
  <c r="Q1007" i="26" s="1"/>
  <c r="R1004" i="26"/>
  <c r="R1007" i="26" s="1"/>
  <c r="S1004" i="26"/>
  <c r="S1007" i="26" s="1"/>
  <c r="T1004" i="26"/>
  <c r="T1007" i="26" s="1"/>
  <c r="U1004" i="26"/>
  <c r="U1007" i="26" s="1"/>
  <c r="V1004" i="26"/>
  <c r="V1007" i="26" s="1"/>
  <c r="W1004" i="26"/>
  <c r="W1007" i="26" s="1"/>
  <c r="X1004" i="26"/>
  <c r="X1007" i="26" s="1"/>
  <c r="Y1004" i="26"/>
  <c r="Y1007" i="26" s="1"/>
  <c r="Z1004" i="26"/>
  <c r="Z1007" i="26" s="1"/>
  <c r="AA1004" i="26"/>
  <c r="AA1007" i="26" s="1"/>
  <c r="AB1004" i="26"/>
  <c r="AB1007" i="26" s="1"/>
  <c r="AC1004" i="26"/>
  <c r="AC1007" i="26" s="1"/>
  <c r="AD1004" i="26"/>
  <c r="AD1007" i="26" s="1"/>
  <c r="AE1004" i="26"/>
  <c r="AE1007" i="26" s="1"/>
  <c r="AF1004" i="26"/>
  <c r="AF1007" i="26" s="1"/>
  <c r="AG1004" i="26"/>
  <c r="AG1007" i="26" s="1"/>
  <c r="AH1004" i="26"/>
  <c r="AH1007" i="26" s="1"/>
  <c r="AI1004" i="26"/>
  <c r="AI1007" i="26" s="1"/>
  <c r="AJ1004" i="26"/>
  <c r="AJ1007" i="26" s="1"/>
  <c r="AK1004" i="26"/>
  <c r="AK1007" i="26" s="1"/>
  <c r="AL1004" i="26"/>
  <c r="AL1007" i="26" s="1"/>
  <c r="AM1004" i="26"/>
  <c r="AM1007" i="26" s="1"/>
  <c r="AN1004" i="26"/>
  <c r="AN1007" i="26" s="1"/>
  <c r="AO1004" i="26"/>
  <c r="AO1007" i="26" s="1"/>
  <c r="AP1004" i="26"/>
  <c r="AP1007" i="26" s="1"/>
  <c r="AQ1004" i="26"/>
  <c r="AQ1007" i="26" s="1"/>
  <c r="AR1004" i="26"/>
  <c r="AR1007" i="26" s="1"/>
  <c r="AS1004" i="26"/>
  <c r="AS1007" i="26" s="1"/>
  <c r="AT1004" i="26"/>
  <c r="AT1007" i="26" s="1"/>
  <c r="AU1004" i="26"/>
  <c r="AU1007" i="26" s="1"/>
  <c r="AV1004" i="26"/>
  <c r="AV1007" i="26" s="1"/>
  <c r="AW1004" i="26"/>
  <c r="AW1007" i="26" s="1"/>
  <c r="AX1004" i="26"/>
  <c r="AX1007" i="26" s="1"/>
  <c r="D1004" i="26"/>
  <c r="D1007" i="26" s="1"/>
  <c r="B999" i="8"/>
  <c r="B24" i="8" s="1"/>
  <c r="K1036" i="8"/>
  <c r="J1036" i="8"/>
  <c r="I1036" i="8"/>
  <c r="H1036" i="8"/>
  <c r="G1036" i="8"/>
  <c r="F1036" i="8"/>
  <c r="E1036" i="8"/>
  <c r="D1036" i="8"/>
  <c r="C1036" i="8"/>
  <c r="B1036" i="8"/>
  <c r="K1035" i="8"/>
  <c r="J1035" i="8"/>
  <c r="I1035" i="8"/>
  <c r="H1035" i="8"/>
  <c r="G1035" i="8"/>
  <c r="F1035" i="8"/>
  <c r="E1035" i="8"/>
  <c r="D1035" i="8"/>
  <c r="C1035" i="8"/>
  <c r="B1035" i="8"/>
  <c r="K1034" i="8"/>
  <c r="J1034" i="8"/>
  <c r="I1034" i="8"/>
  <c r="H1034" i="8"/>
  <c r="G1034" i="8"/>
  <c r="F1034" i="8"/>
  <c r="E1034" i="8"/>
  <c r="D1034" i="8"/>
  <c r="C1034" i="8"/>
  <c r="B1034" i="8"/>
  <c r="K1033" i="8"/>
  <c r="J1033" i="8"/>
  <c r="I1033" i="8"/>
  <c r="H1033" i="8"/>
  <c r="G1033" i="8"/>
  <c r="F1033" i="8"/>
  <c r="E1033" i="8"/>
  <c r="D1033" i="8"/>
  <c r="C1033" i="8"/>
  <c r="B1033" i="8"/>
  <c r="K1032" i="8"/>
  <c r="J1032" i="8"/>
  <c r="I1032" i="8"/>
  <c r="H1032" i="8"/>
  <c r="G1032" i="8"/>
  <c r="F1032" i="8"/>
  <c r="E1032" i="8"/>
  <c r="D1032" i="8"/>
  <c r="C1032" i="8"/>
  <c r="B1032" i="8"/>
  <c r="K1031" i="8"/>
  <c r="J1031" i="8"/>
  <c r="I1031" i="8"/>
  <c r="H1031" i="8"/>
  <c r="G1031" i="8"/>
  <c r="F1031" i="8"/>
  <c r="E1031" i="8"/>
  <c r="D1031" i="8"/>
  <c r="C1031" i="8"/>
  <c r="B1031" i="8"/>
  <c r="K1030" i="8"/>
  <c r="J1030" i="8"/>
  <c r="I1030" i="8"/>
  <c r="H1030" i="8"/>
  <c r="G1030" i="8"/>
  <c r="F1030" i="8"/>
  <c r="E1030" i="8"/>
  <c r="D1030" i="8"/>
  <c r="C1030" i="8"/>
  <c r="B1030" i="8"/>
  <c r="K1029" i="8"/>
  <c r="J1029" i="8"/>
  <c r="I1029" i="8"/>
  <c r="H1029" i="8"/>
  <c r="G1029" i="8"/>
  <c r="F1029" i="8"/>
  <c r="E1029" i="8"/>
  <c r="D1029" i="8"/>
  <c r="C1029" i="8"/>
  <c r="B1029" i="8"/>
  <c r="K1028" i="8"/>
  <c r="J1028" i="8"/>
  <c r="I1028" i="8"/>
  <c r="H1028" i="8"/>
  <c r="G1028" i="8"/>
  <c r="F1028" i="8"/>
  <c r="E1028" i="8"/>
  <c r="D1028" i="8"/>
  <c r="C1028" i="8"/>
  <c r="B1028" i="8"/>
  <c r="K1027" i="8"/>
  <c r="J1027" i="8"/>
  <c r="I1027" i="8"/>
  <c r="H1027" i="8"/>
  <c r="G1027" i="8"/>
  <c r="F1027" i="8"/>
  <c r="E1027" i="8"/>
  <c r="D1027" i="8"/>
  <c r="C1027" i="8"/>
  <c r="B1027" i="8"/>
  <c r="K1026" i="8"/>
  <c r="J1026" i="8"/>
  <c r="I1026" i="8"/>
  <c r="H1026" i="8"/>
  <c r="G1026" i="8"/>
  <c r="F1026" i="8"/>
  <c r="E1026" i="8"/>
  <c r="D1026" i="8"/>
  <c r="C1026" i="8"/>
  <c r="B1026" i="8"/>
  <c r="K1025" i="8"/>
  <c r="J1025" i="8"/>
  <c r="I1025" i="8"/>
  <c r="H1025" i="8"/>
  <c r="G1025" i="8"/>
  <c r="F1025" i="8"/>
  <c r="E1025" i="8"/>
  <c r="D1025" i="8"/>
  <c r="C1025" i="8"/>
  <c r="B1025" i="8"/>
  <c r="K1024" i="8"/>
  <c r="J1024" i="8"/>
  <c r="I1024" i="8"/>
  <c r="H1024" i="8"/>
  <c r="G1024" i="8"/>
  <c r="F1024" i="8"/>
  <c r="E1024" i="8"/>
  <c r="D1024" i="8"/>
  <c r="C1024" i="8"/>
  <c r="B1024" i="8"/>
  <c r="K1023" i="8"/>
  <c r="J1023" i="8"/>
  <c r="I1023" i="8"/>
  <c r="H1023" i="8"/>
  <c r="G1023" i="8"/>
  <c r="F1023" i="8"/>
  <c r="E1023" i="8"/>
  <c r="D1023" i="8"/>
  <c r="C1023" i="8"/>
  <c r="B1023" i="8"/>
  <c r="K1022" i="8"/>
  <c r="J1022" i="8"/>
  <c r="I1022" i="8"/>
  <c r="H1022" i="8"/>
  <c r="G1022" i="8"/>
  <c r="F1022" i="8"/>
  <c r="E1022" i="8"/>
  <c r="D1022" i="8"/>
  <c r="C1022" i="8"/>
  <c r="B1022" i="8"/>
  <c r="K1021" i="8"/>
  <c r="J1021" i="8"/>
  <c r="I1021" i="8"/>
  <c r="H1021" i="8"/>
  <c r="G1021" i="8"/>
  <c r="F1021" i="8"/>
  <c r="E1021" i="8"/>
  <c r="D1021" i="8"/>
  <c r="C1021" i="8"/>
  <c r="B1021" i="8"/>
  <c r="K1020" i="8"/>
  <c r="J1020" i="8"/>
  <c r="I1020" i="8"/>
  <c r="H1020" i="8"/>
  <c r="G1020" i="8"/>
  <c r="F1020" i="8"/>
  <c r="E1020" i="8"/>
  <c r="D1020" i="8"/>
  <c r="C1020" i="8"/>
  <c r="B1020" i="8"/>
  <c r="K1019" i="8"/>
  <c r="J1019" i="8"/>
  <c r="I1019" i="8"/>
  <c r="H1019" i="8"/>
  <c r="G1019" i="8"/>
  <c r="F1019" i="8"/>
  <c r="E1019" i="8"/>
  <c r="D1019" i="8"/>
  <c r="C1019" i="8"/>
  <c r="B1019" i="8"/>
  <c r="K1018" i="8"/>
  <c r="J1018" i="8"/>
  <c r="I1018" i="8"/>
  <c r="H1018" i="8"/>
  <c r="G1018" i="8"/>
  <c r="F1018" i="8"/>
  <c r="E1018" i="8"/>
  <c r="D1018" i="8"/>
  <c r="C1018" i="8"/>
  <c r="B1018" i="8"/>
  <c r="K1017" i="8"/>
  <c r="J1017" i="8"/>
  <c r="I1017" i="8"/>
  <c r="H1017" i="8"/>
  <c r="G1017" i="8"/>
  <c r="F1017" i="8"/>
  <c r="E1017" i="8"/>
  <c r="D1017" i="8"/>
  <c r="C1017" i="8"/>
  <c r="B1017" i="8"/>
  <c r="K1016" i="8"/>
  <c r="J1016" i="8"/>
  <c r="I1016" i="8"/>
  <c r="H1016" i="8"/>
  <c r="G1016" i="8"/>
  <c r="F1016" i="8"/>
  <c r="E1016" i="8"/>
  <c r="D1016" i="8"/>
  <c r="C1016" i="8"/>
  <c r="B1016" i="8"/>
  <c r="K1015" i="8"/>
  <c r="J1015" i="8"/>
  <c r="I1015" i="8"/>
  <c r="H1015" i="8"/>
  <c r="G1015" i="8"/>
  <c r="F1015" i="8"/>
  <c r="E1015" i="8"/>
  <c r="D1015" i="8"/>
  <c r="C1015" i="8"/>
  <c r="B1015" i="8"/>
  <c r="K1014" i="8"/>
  <c r="J1014" i="8"/>
  <c r="I1014" i="8"/>
  <c r="H1014" i="8"/>
  <c r="G1014" i="8"/>
  <c r="F1014" i="8"/>
  <c r="E1014" i="8"/>
  <c r="D1014" i="8"/>
  <c r="C1014" i="8"/>
  <c r="B1014" i="8"/>
  <c r="K1013" i="8"/>
  <c r="J1013" i="8"/>
  <c r="I1013" i="8"/>
  <c r="H1013" i="8"/>
  <c r="G1013" i="8"/>
  <c r="F1013" i="8"/>
  <c r="E1013" i="8"/>
  <c r="D1013" i="8"/>
  <c r="C1013" i="8"/>
  <c r="B1013" i="8"/>
  <c r="K1012" i="8"/>
  <c r="J1012" i="8"/>
  <c r="I1012" i="8"/>
  <c r="H1012" i="8"/>
  <c r="G1012" i="8"/>
  <c r="F1012" i="8"/>
  <c r="E1012" i="8"/>
  <c r="D1012" i="8"/>
  <c r="C1012" i="8"/>
  <c r="B1012" i="8"/>
  <c r="K1011" i="8"/>
  <c r="J1011" i="8"/>
  <c r="I1011" i="8"/>
  <c r="H1011" i="8"/>
  <c r="G1011" i="8"/>
  <c r="F1011" i="8"/>
  <c r="E1011" i="8"/>
  <c r="D1011" i="8"/>
  <c r="C1011" i="8"/>
  <c r="B1011" i="8"/>
  <c r="K1009" i="8"/>
  <c r="J1009" i="8"/>
  <c r="I1009" i="8"/>
  <c r="H1009" i="8"/>
  <c r="G1009" i="8"/>
  <c r="F1009" i="8"/>
  <c r="E1009" i="8"/>
  <c r="D1009" i="8"/>
  <c r="C1009" i="8"/>
  <c r="B1009" i="8"/>
  <c r="K1008" i="8"/>
  <c r="J1008" i="8"/>
  <c r="I1008" i="8"/>
  <c r="H1008" i="8"/>
  <c r="G1008" i="8"/>
  <c r="F1008" i="8"/>
  <c r="E1008" i="8"/>
  <c r="D1008" i="8"/>
  <c r="C1008" i="8"/>
  <c r="B1008" i="8"/>
  <c r="K1007" i="8"/>
  <c r="J1007" i="8"/>
  <c r="I1007" i="8"/>
  <c r="H1007" i="8"/>
  <c r="G1007" i="8"/>
  <c r="F1007" i="8"/>
  <c r="E1007" i="8"/>
  <c r="D1007" i="8"/>
  <c r="C1007" i="8"/>
  <c r="B1007" i="8"/>
  <c r="K1006" i="8"/>
  <c r="J1006" i="8"/>
  <c r="I1006" i="8"/>
  <c r="H1006" i="8"/>
  <c r="G1006" i="8"/>
  <c r="F1006" i="8"/>
  <c r="E1006" i="8"/>
  <c r="D1006" i="8"/>
  <c r="C1006" i="8"/>
  <c r="B1006" i="8"/>
  <c r="K1005" i="8"/>
  <c r="J1005" i="8"/>
  <c r="I1005" i="8"/>
  <c r="H1005" i="8"/>
  <c r="G1005" i="8"/>
  <c r="F1005" i="8"/>
  <c r="E1005" i="8"/>
  <c r="D1005" i="8"/>
  <c r="C1005" i="8"/>
  <c r="B1005" i="8"/>
  <c r="K1004" i="8"/>
  <c r="J1004" i="8"/>
  <c r="I1004" i="8"/>
  <c r="H1004" i="8"/>
  <c r="G1004" i="8"/>
  <c r="F1004" i="8"/>
  <c r="E1004" i="8"/>
  <c r="D1004" i="8"/>
  <c r="C1004" i="8"/>
  <c r="B1004" i="8"/>
  <c r="K1003" i="8"/>
  <c r="J1003" i="8"/>
  <c r="I1003" i="8"/>
  <c r="H1003" i="8"/>
  <c r="G1003" i="8"/>
  <c r="F1003" i="8"/>
  <c r="E1003" i="8"/>
  <c r="D1003" i="8"/>
  <c r="C1003" i="8"/>
  <c r="B1003" i="8"/>
  <c r="Q1002" i="8"/>
  <c r="P1002" i="8"/>
  <c r="K1002" i="8"/>
  <c r="J1002" i="8"/>
  <c r="I1002" i="8"/>
  <c r="H1002" i="8"/>
  <c r="G1002" i="8"/>
  <c r="F1002" i="8"/>
  <c r="E1002" i="8"/>
  <c r="D1002" i="8"/>
  <c r="C1002" i="8"/>
  <c r="B1002" i="8"/>
  <c r="AJ1002" i="17"/>
  <c r="AJ1005" i="17" s="1"/>
  <c r="AK1002" i="17"/>
  <c r="AK1005" i="17" s="1"/>
  <c r="AL1002" i="17"/>
  <c r="AL1005" i="17" s="1"/>
  <c r="AM1002" i="17"/>
  <c r="AM1005" i="17" s="1"/>
  <c r="AN1002" i="17"/>
  <c r="AN1005" i="17" s="1"/>
  <c r="AO1002" i="17"/>
  <c r="AO1005" i="17" s="1"/>
  <c r="AP1002" i="17"/>
  <c r="AP1005" i="17" s="1"/>
  <c r="AQ1002" i="17"/>
  <c r="AQ1005" i="17" s="1"/>
  <c r="I1003" i="26"/>
  <c r="J1003" i="26"/>
  <c r="K1003" i="26"/>
  <c r="L1003" i="26"/>
  <c r="M1003" i="26"/>
  <c r="N1003" i="26"/>
  <c r="O1003" i="26"/>
  <c r="P1003" i="26"/>
  <c r="Q1003" i="26"/>
  <c r="R1003" i="26"/>
  <c r="S1003" i="26"/>
  <c r="T1003" i="26"/>
  <c r="U1003" i="26"/>
  <c r="V1003" i="26"/>
  <c r="W1003" i="26"/>
  <c r="X1003" i="26"/>
  <c r="Y1003" i="26"/>
  <c r="Z1003" i="26"/>
  <c r="AA1003" i="26"/>
  <c r="AB1003" i="26"/>
  <c r="AC1003" i="26"/>
  <c r="AD1003" i="26"/>
  <c r="AE1003" i="26"/>
  <c r="AF1003" i="26"/>
  <c r="AG1003" i="26"/>
  <c r="AH1003" i="26"/>
  <c r="AI1003" i="26"/>
  <c r="AJ1003" i="26"/>
  <c r="AK1003" i="26"/>
  <c r="AL1003" i="26"/>
  <c r="AM1003" i="26"/>
  <c r="AN1003" i="26"/>
  <c r="AO1003" i="26"/>
  <c r="AP1003" i="26"/>
  <c r="AQ1003" i="26"/>
  <c r="AR1003" i="26"/>
  <c r="AS1003" i="26"/>
  <c r="AT1003" i="26"/>
  <c r="AU1003" i="26"/>
  <c r="AV1003" i="26"/>
  <c r="G1003" i="26"/>
  <c r="H1003" i="26"/>
  <c r="E1003" i="26"/>
  <c r="PY17" i="6"/>
  <c r="Y11" i="26"/>
  <c r="B1002" i="26"/>
  <c r="AM1009" i="26" s="1"/>
  <c r="QA23" i="6"/>
  <c r="PE4" i="6"/>
  <c r="PF4" i="6"/>
  <c r="PG4" i="6"/>
  <c r="PH4" i="6"/>
  <c r="PI4" i="6"/>
  <c r="PJ4" i="6"/>
  <c r="PK4" i="6"/>
  <c r="PE5" i="6"/>
  <c r="PF5" i="6"/>
  <c r="PG5" i="6"/>
  <c r="PH5" i="6"/>
  <c r="PI5" i="6"/>
  <c r="PJ5" i="6"/>
  <c r="PK5" i="6"/>
  <c r="PE6" i="6"/>
  <c r="PF6" i="6"/>
  <c r="PG6" i="6"/>
  <c r="PH6" i="6"/>
  <c r="PI6" i="6"/>
  <c r="PJ6" i="6"/>
  <c r="PK6" i="6"/>
  <c r="PE7" i="6"/>
  <c r="PF7" i="6"/>
  <c r="PG7" i="6"/>
  <c r="PH7" i="6"/>
  <c r="PI7" i="6"/>
  <c r="PJ7" i="6"/>
  <c r="PK7" i="6"/>
  <c r="PE8" i="6"/>
  <c r="PF8" i="6"/>
  <c r="PG8" i="6"/>
  <c r="PH8" i="6"/>
  <c r="PI8" i="6"/>
  <c r="PJ8" i="6"/>
  <c r="PK8" i="6"/>
  <c r="PE9" i="6"/>
  <c r="PF9" i="6"/>
  <c r="PG9" i="6"/>
  <c r="PH9" i="6"/>
  <c r="PI9" i="6"/>
  <c r="PJ9" i="6"/>
  <c r="PK9" i="6"/>
  <c r="PE10" i="6"/>
  <c r="PF10" i="6"/>
  <c r="PG10" i="6"/>
  <c r="PH10" i="6"/>
  <c r="PI10" i="6"/>
  <c r="PJ10" i="6"/>
  <c r="PK10" i="6"/>
  <c r="PE11" i="6"/>
  <c r="PF11" i="6"/>
  <c r="PG11" i="6"/>
  <c r="PH11" i="6"/>
  <c r="PI11" i="6"/>
  <c r="PJ11" i="6"/>
  <c r="PK11" i="6"/>
  <c r="PE12" i="6"/>
  <c r="PF12" i="6"/>
  <c r="PG12" i="6"/>
  <c r="PH12" i="6"/>
  <c r="PI12" i="6"/>
  <c r="PJ12" i="6"/>
  <c r="PK12" i="6"/>
  <c r="L54" i="6"/>
  <c r="BH19" i="2"/>
  <c r="L47" i="2"/>
  <c r="RP41" i="6"/>
  <c r="RO41" i="6"/>
  <c r="RN41" i="6"/>
  <c r="RM41" i="6"/>
  <c r="RL41" i="6"/>
  <c r="RK41" i="6"/>
  <c r="RJ41" i="6"/>
  <c r="RI41" i="6"/>
  <c r="RH41" i="6"/>
  <c r="RG41" i="6"/>
  <c r="RF41" i="6"/>
  <c r="RE41" i="6"/>
  <c r="RD41" i="6"/>
  <c r="RC41" i="6"/>
  <c r="RB41" i="6"/>
  <c r="RA41" i="6"/>
  <c r="QZ41" i="6"/>
  <c r="QY41" i="6"/>
  <c r="QX41" i="6"/>
  <c r="QW41" i="6"/>
  <c r="QV41" i="6"/>
  <c r="QU41" i="6"/>
  <c r="QT41" i="6"/>
  <c r="QS41" i="6"/>
  <c r="QR41" i="6"/>
  <c r="QQ41" i="6"/>
  <c r="QP41" i="6"/>
  <c r="QO41" i="6"/>
  <c r="QN41" i="6"/>
  <c r="QM41" i="6"/>
  <c r="QL41" i="6"/>
  <c r="QK41" i="6"/>
  <c r="QJ41" i="6"/>
  <c r="QI41" i="6"/>
  <c r="QH41" i="6"/>
  <c r="QG41" i="6"/>
  <c r="QF41" i="6"/>
  <c r="QE41" i="6"/>
  <c r="QD41" i="6"/>
  <c r="QC41" i="6"/>
  <c r="QB41" i="6"/>
  <c r="QA41" i="6"/>
  <c r="PZ41" i="6"/>
  <c r="PY41" i="6"/>
  <c r="PX41" i="6"/>
  <c r="PW41" i="6"/>
  <c r="PV41" i="6"/>
  <c r="PU41" i="6"/>
  <c r="PT41" i="6"/>
  <c r="PS41" i="6"/>
  <c r="PR41" i="6"/>
  <c r="PQ41" i="6"/>
  <c r="PP41" i="6"/>
  <c r="PO41" i="6"/>
  <c r="PN41" i="6"/>
  <c r="PM41" i="6"/>
  <c r="PL41" i="6"/>
  <c r="PK41" i="6"/>
  <c r="PJ41" i="6"/>
  <c r="PI41" i="6"/>
  <c r="PH41" i="6"/>
  <c r="PG41" i="6"/>
  <c r="PF41" i="6"/>
  <c r="PE41" i="6"/>
  <c r="RP40" i="6"/>
  <c r="RO40" i="6"/>
  <c r="RN40" i="6"/>
  <c r="RM40" i="6"/>
  <c r="RL40" i="6"/>
  <c r="RK40" i="6"/>
  <c r="RJ40" i="6"/>
  <c r="RI40" i="6"/>
  <c r="RH40" i="6"/>
  <c r="RG40" i="6"/>
  <c r="RF40" i="6"/>
  <c r="RE40" i="6"/>
  <c r="RD40" i="6"/>
  <c r="RC40" i="6"/>
  <c r="RB40" i="6"/>
  <c r="RA40" i="6"/>
  <c r="QZ40" i="6"/>
  <c r="QY40" i="6"/>
  <c r="QX40" i="6"/>
  <c r="QW40" i="6"/>
  <c r="QV40" i="6"/>
  <c r="QU40" i="6"/>
  <c r="QT40" i="6"/>
  <c r="QS40" i="6"/>
  <c r="QR40" i="6"/>
  <c r="QQ40" i="6"/>
  <c r="QP40" i="6"/>
  <c r="QO40" i="6"/>
  <c r="QN40" i="6"/>
  <c r="QM40" i="6"/>
  <c r="QL40" i="6"/>
  <c r="QK40" i="6"/>
  <c r="QJ40" i="6"/>
  <c r="QI40" i="6"/>
  <c r="QH40" i="6"/>
  <c r="QG40" i="6"/>
  <c r="QF40" i="6"/>
  <c r="QE40" i="6"/>
  <c r="QD40" i="6"/>
  <c r="QC40" i="6"/>
  <c r="QB40" i="6"/>
  <c r="QA40" i="6"/>
  <c r="PZ40" i="6"/>
  <c r="PY40" i="6"/>
  <c r="PX40" i="6"/>
  <c r="PW40" i="6"/>
  <c r="PV40" i="6"/>
  <c r="PU40" i="6"/>
  <c r="PT40" i="6"/>
  <c r="PS40" i="6"/>
  <c r="PR40" i="6"/>
  <c r="PQ40" i="6"/>
  <c r="PP40" i="6"/>
  <c r="PO40" i="6"/>
  <c r="PN40" i="6"/>
  <c r="PM40" i="6"/>
  <c r="PL40" i="6"/>
  <c r="PK40" i="6"/>
  <c r="PJ40" i="6"/>
  <c r="PI40" i="6"/>
  <c r="PH40" i="6"/>
  <c r="PG40" i="6"/>
  <c r="PF40" i="6"/>
  <c r="PE40" i="6"/>
  <c r="RP39" i="6"/>
  <c r="RO39" i="6"/>
  <c r="RN39" i="6"/>
  <c r="RM39" i="6"/>
  <c r="RL39" i="6"/>
  <c r="RK39" i="6"/>
  <c r="RJ39" i="6"/>
  <c r="RI39" i="6"/>
  <c r="RH39" i="6"/>
  <c r="RG39" i="6"/>
  <c r="RF39" i="6"/>
  <c r="RE39" i="6"/>
  <c r="RD39" i="6"/>
  <c r="RC39" i="6"/>
  <c r="RB39" i="6"/>
  <c r="RA39" i="6"/>
  <c r="QZ39" i="6"/>
  <c r="QY39" i="6"/>
  <c r="QX39" i="6"/>
  <c r="QW39" i="6"/>
  <c r="QV39" i="6"/>
  <c r="QU39" i="6"/>
  <c r="QT39" i="6"/>
  <c r="QS39" i="6"/>
  <c r="QR39" i="6"/>
  <c r="QQ39" i="6"/>
  <c r="QP39" i="6"/>
  <c r="QO39" i="6"/>
  <c r="QN39" i="6"/>
  <c r="QM39" i="6"/>
  <c r="QL39" i="6"/>
  <c r="QK39" i="6"/>
  <c r="QJ39" i="6"/>
  <c r="QI39" i="6"/>
  <c r="QH39" i="6"/>
  <c r="QG39" i="6"/>
  <c r="QF39" i="6"/>
  <c r="QE39" i="6"/>
  <c r="QD39" i="6"/>
  <c r="QC39" i="6"/>
  <c r="QB39" i="6"/>
  <c r="QA39" i="6"/>
  <c r="PZ39" i="6"/>
  <c r="PY39" i="6"/>
  <c r="PX39" i="6"/>
  <c r="PW39" i="6"/>
  <c r="PV39" i="6"/>
  <c r="PU39" i="6"/>
  <c r="PT39" i="6"/>
  <c r="PS39" i="6"/>
  <c r="PR39" i="6"/>
  <c r="PQ39" i="6"/>
  <c r="PP39" i="6"/>
  <c r="PO39" i="6"/>
  <c r="PN39" i="6"/>
  <c r="PM39" i="6"/>
  <c r="PL39" i="6"/>
  <c r="PK39" i="6"/>
  <c r="PJ39" i="6"/>
  <c r="PI39" i="6"/>
  <c r="PH39" i="6"/>
  <c r="PG39" i="6"/>
  <c r="PF39" i="6"/>
  <c r="PE39" i="6"/>
  <c r="RP38" i="6"/>
  <c r="RO38" i="6"/>
  <c r="RN38" i="6"/>
  <c r="RM38" i="6"/>
  <c r="RL38" i="6"/>
  <c r="RK38" i="6"/>
  <c r="RJ38" i="6"/>
  <c r="RI38" i="6"/>
  <c r="RH38" i="6"/>
  <c r="RG38" i="6"/>
  <c r="RF38" i="6"/>
  <c r="RE38" i="6"/>
  <c r="RD38" i="6"/>
  <c r="RC38" i="6"/>
  <c r="RB38" i="6"/>
  <c r="RA38" i="6"/>
  <c r="QZ38" i="6"/>
  <c r="QY38" i="6"/>
  <c r="QX38" i="6"/>
  <c r="QW38" i="6"/>
  <c r="QV38" i="6"/>
  <c r="QU38" i="6"/>
  <c r="QT38" i="6"/>
  <c r="QS38" i="6"/>
  <c r="QR38" i="6"/>
  <c r="QQ38" i="6"/>
  <c r="QP38" i="6"/>
  <c r="QO38" i="6"/>
  <c r="QN38" i="6"/>
  <c r="QM38" i="6"/>
  <c r="QL38" i="6"/>
  <c r="QK38" i="6"/>
  <c r="QJ38" i="6"/>
  <c r="QI38" i="6"/>
  <c r="QH38" i="6"/>
  <c r="QG38" i="6"/>
  <c r="QF38" i="6"/>
  <c r="QE38" i="6"/>
  <c r="QD38" i="6"/>
  <c r="QC38" i="6"/>
  <c r="QB38" i="6"/>
  <c r="QA38" i="6"/>
  <c r="PZ38" i="6"/>
  <c r="PY38" i="6"/>
  <c r="PX38" i="6"/>
  <c r="PW38" i="6"/>
  <c r="PV38" i="6"/>
  <c r="PU38" i="6"/>
  <c r="PT38" i="6"/>
  <c r="PS38" i="6"/>
  <c r="PR38" i="6"/>
  <c r="PQ38" i="6"/>
  <c r="PP38" i="6"/>
  <c r="PO38" i="6"/>
  <c r="PN38" i="6"/>
  <c r="PM38" i="6"/>
  <c r="PL38" i="6"/>
  <c r="PK38" i="6"/>
  <c r="PJ38" i="6"/>
  <c r="PI38" i="6"/>
  <c r="PH38" i="6"/>
  <c r="PG38" i="6"/>
  <c r="PF38" i="6"/>
  <c r="PE38" i="6"/>
  <c r="RP37" i="6"/>
  <c r="RO37" i="6"/>
  <c r="RN37" i="6"/>
  <c r="RM37" i="6"/>
  <c r="RL37" i="6"/>
  <c r="RK37" i="6"/>
  <c r="RJ37" i="6"/>
  <c r="RI37" i="6"/>
  <c r="RH37" i="6"/>
  <c r="RG37" i="6"/>
  <c r="RF37" i="6"/>
  <c r="RE37" i="6"/>
  <c r="RD37" i="6"/>
  <c r="RC37" i="6"/>
  <c r="RB37" i="6"/>
  <c r="RA37" i="6"/>
  <c r="QZ37" i="6"/>
  <c r="QY37" i="6"/>
  <c r="QX37" i="6"/>
  <c r="QW37" i="6"/>
  <c r="QV37" i="6"/>
  <c r="QU37" i="6"/>
  <c r="QT37" i="6"/>
  <c r="QS37" i="6"/>
  <c r="QR37" i="6"/>
  <c r="QQ37" i="6"/>
  <c r="QP37" i="6"/>
  <c r="QO37" i="6"/>
  <c r="QN37" i="6"/>
  <c r="QM37" i="6"/>
  <c r="QL37" i="6"/>
  <c r="QK37" i="6"/>
  <c r="QJ37" i="6"/>
  <c r="QI37" i="6"/>
  <c r="QH37" i="6"/>
  <c r="QG37" i="6"/>
  <c r="QF37" i="6"/>
  <c r="QE37" i="6"/>
  <c r="QD37" i="6"/>
  <c r="QC37" i="6"/>
  <c r="QB37" i="6"/>
  <c r="QA37" i="6"/>
  <c r="PZ37" i="6"/>
  <c r="PY37" i="6"/>
  <c r="PX37" i="6"/>
  <c r="PW37" i="6"/>
  <c r="PV37" i="6"/>
  <c r="PU37" i="6"/>
  <c r="PT37" i="6"/>
  <c r="PS37" i="6"/>
  <c r="PR37" i="6"/>
  <c r="PQ37" i="6"/>
  <c r="PP37" i="6"/>
  <c r="PO37" i="6"/>
  <c r="PN37" i="6"/>
  <c r="PM37" i="6"/>
  <c r="PL37" i="6"/>
  <c r="PK37" i="6"/>
  <c r="PJ37" i="6"/>
  <c r="PI37" i="6"/>
  <c r="PH37" i="6"/>
  <c r="PG37" i="6"/>
  <c r="PF37" i="6"/>
  <c r="PE37" i="6"/>
  <c r="RP36" i="6"/>
  <c r="RO36" i="6"/>
  <c r="RN36" i="6"/>
  <c r="RM36" i="6"/>
  <c r="RL36" i="6"/>
  <c r="RK36" i="6"/>
  <c r="RJ36" i="6"/>
  <c r="RI36" i="6"/>
  <c r="RH36" i="6"/>
  <c r="RG36" i="6"/>
  <c r="RF36" i="6"/>
  <c r="RE36" i="6"/>
  <c r="RD36" i="6"/>
  <c r="RC36" i="6"/>
  <c r="RB36" i="6"/>
  <c r="RA36" i="6"/>
  <c r="QZ36" i="6"/>
  <c r="QY36" i="6"/>
  <c r="QX36" i="6"/>
  <c r="QW36" i="6"/>
  <c r="QV36" i="6"/>
  <c r="QU36" i="6"/>
  <c r="QT36" i="6"/>
  <c r="QS36" i="6"/>
  <c r="QR36" i="6"/>
  <c r="QQ36" i="6"/>
  <c r="QP36" i="6"/>
  <c r="QO36" i="6"/>
  <c r="QN36" i="6"/>
  <c r="QM36" i="6"/>
  <c r="QL36" i="6"/>
  <c r="QK36" i="6"/>
  <c r="QJ36" i="6"/>
  <c r="QI36" i="6"/>
  <c r="QH36" i="6"/>
  <c r="QG36" i="6"/>
  <c r="QF36" i="6"/>
  <c r="QE36" i="6"/>
  <c r="QD36" i="6"/>
  <c r="QC36" i="6"/>
  <c r="QB36" i="6"/>
  <c r="QA36" i="6"/>
  <c r="PZ36" i="6"/>
  <c r="PY36" i="6"/>
  <c r="PX36" i="6"/>
  <c r="PW36" i="6"/>
  <c r="PV36" i="6"/>
  <c r="PU36" i="6"/>
  <c r="PT36" i="6"/>
  <c r="PS36" i="6"/>
  <c r="PR36" i="6"/>
  <c r="PQ36" i="6"/>
  <c r="PP36" i="6"/>
  <c r="PO36" i="6"/>
  <c r="PN36" i="6"/>
  <c r="PM36" i="6"/>
  <c r="PL36" i="6"/>
  <c r="PK36" i="6"/>
  <c r="PJ36" i="6"/>
  <c r="PI36" i="6"/>
  <c r="PH36" i="6"/>
  <c r="PG36" i="6"/>
  <c r="PF36" i="6"/>
  <c r="PE36" i="6"/>
  <c r="RP35" i="6"/>
  <c r="RO35" i="6"/>
  <c r="RN35" i="6"/>
  <c r="RM35" i="6"/>
  <c r="RL35" i="6"/>
  <c r="RK35" i="6"/>
  <c r="RJ35" i="6"/>
  <c r="RI35" i="6"/>
  <c r="RH35" i="6"/>
  <c r="RG35" i="6"/>
  <c r="RF35" i="6"/>
  <c r="RE35" i="6"/>
  <c r="RD35" i="6"/>
  <c r="RC35" i="6"/>
  <c r="RB35" i="6"/>
  <c r="RA35" i="6"/>
  <c r="QZ35" i="6"/>
  <c r="QY35" i="6"/>
  <c r="QX35" i="6"/>
  <c r="QW35" i="6"/>
  <c r="QV35" i="6"/>
  <c r="QU35" i="6"/>
  <c r="QT35" i="6"/>
  <c r="QS35" i="6"/>
  <c r="QR35" i="6"/>
  <c r="QQ35" i="6"/>
  <c r="QP35" i="6"/>
  <c r="QO35" i="6"/>
  <c r="QN35" i="6"/>
  <c r="QM35" i="6"/>
  <c r="QL35" i="6"/>
  <c r="QK35" i="6"/>
  <c r="QJ35" i="6"/>
  <c r="QI35" i="6"/>
  <c r="QH35" i="6"/>
  <c r="QG35" i="6"/>
  <c r="QF35" i="6"/>
  <c r="QE35" i="6"/>
  <c r="QD35" i="6"/>
  <c r="QC35" i="6"/>
  <c r="QB35" i="6"/>
  <c r="QA35" i="6"/>
  <c r="PZ35" i="6"/>
  <c r="PY35" i="6"/>
  <c r="PX35" i="6"/>
  <c r="PW35" i="6"/>
  <c r="PV35" i="6"/>
  <c r="PU35" i="6"/>
  <c r="PT35" i="6"/>
  <c r="PS35" i="6"/>
  <c r="PR35" i="6"/>
  <c r="PQ35" i="6"/>
  <c r="PP35" i="6"/>
  <c r="PO35" i="6"/>
  <c r="PN35" i="6"/>
  <c r="PM35" i="6"/>
  <c r="PL35" i="6"/>
  <c r="PK35" i="6"/>
  <c r="PJ35" i="6"/>
  <c r="PI35" i="6"/>
  <c r="PH35" i="6"/>
  <c r="PG35" i="6"/>
  <c r="PF35" i="6"/>
  <c r="PE35" i="6"/>
  <c r="RP34" i="6"/>
  <c r="RO34" i="6"/>
  <c r="RN34" i="6"/>
  <c r="RM34" i="6"/>
  <c r="RL34" i="6"/>
  <c r="RK34" i="6"/>
  <c r="RJ34" i="6"/>
  <c r="RI34" i="6"/>
  <c r="RH34" i="6"/>
  <c r="RG34" i="6"/>
  <c r="RF34" i="6"/>
  <c r="RE34" i="6"/>
  <c r="RD34" i="6"/>
  <c r="RC34" i="6"/>
  <c r="RB34" i="6"/>
  <c r="RA34" i="6"/>
  <c r="QZ34" i="6"/>
  <c r="QY34" i="6"/>
  <c r="QX34" i="6"/>
  <c r="QW34" i="6"/>
  <c r="QV34" i="6"/>
  <c r="QU34" i="6"/>
  <c r="QT34" i="6"/>
  <c r="QS34" i="6"/>
  <c r="QR34" i="6"/>
  <c r="QQ34" i="6"/>
  <c r="QP34" i="6"/>
  <c r="QO34" i="6"/>
  <c r="QN34" i="6"/>
  <c r="QM34" i="6"/>
  <c r="QL34" i="6"/>
  <c r="QK34" i="6"/>
  <c r="QJ34" i="6"/>
  <c r="QI34" i="6"/>
  <c r="QH34" i="6"/>
  <c r="QG34" i="6"/>
  <c r="QF34" i="6"/>
  <c r="QE34" i="6"/>
  <c r="QD34" i="6"/>
  <c r="QC34" i="6"/>
  <c r="QB34" i="6"/>
  <c r="QA34" i="6"/>
  <c r="PZ34" i="6"/>
  <c r="PY34" i="6"/>
  <c r="PX34" i="6"/>
  <c r="PW34" i="6"/>
  <c r="PV34" i="6"/>
  <c r="PU34" i="6"/>
  <c r="PT34" i="6"/>
  <c r="PS34" i="6"/>
  <c r="PR34" i="6"/>
  <c r="PQ34" i="6"/>
  <c r="PP34" i="6"/>
  <c r="PO34" i="6"/>
  <c r="PN34" i="6"/>
  <c r="PM34" i="6"/>
  <c r="PL34" i="6"/>
  <c r="PK34" i="6"/>
  <c r="PJ34" i="6"/>
  <c r="PI34" i="6"/>
  <c r="PH34" i="6"/>
  <c r="PG34" i="6"/>
  <c r="PF34" i="6"/>
  <c r="PE34" i="6"/>
  <c r="RP33" i="6"/>
  <c r="RO33" i="6"/>
  <c r="RN33" i="6"/>
  <c r="RM33" i="6"/>
  <c r="RL33" i="6"/>
  <c r="RK33" i="6"/>
  <c r="RJ33" i="6"/>
  <c r="RI33" i="6"/>
  <c r="RH33" i="6"/>
  <c r="RG33" i="6"/>
  <c r="RF33" i="6"/>
  <c r="RE33" i="6"/>
  <c r="RD33" i="6"/>
  <c r="RC33" i="6"/>
  <c r="RB33" i="6"/>
  <c r="RA33" i="6"/>
  <c r="QZ33" i="6"/>
  <c r="QY33" i="6"/>
  <c r="QX33" i="6"/>
  <c r="QW33" i="6"/>
  <c r="QV33" i="6"/>
  <c r="QU33" i="6"/>
  <c r="QT33" i="6"/>
  <c r="QS33" i="6"/>
  <c r="QR33" i="6"/>
  <c r="QQ33" i="6"/>
  <c r="QP33" i="6"/>
  <c r="QO33" i="6"/>
  <c r="QN33" i="6"/>
  <c r="QM33" i="6"/>
  <c r="QL33" i="6"/>
  <c r="QK33" i="6"/>
  <c r="QJ33" i="6"/>
  <c r="QI33" i="6"/>
  <c r="QH33" i="6"/>
  <c r="QG33" i="6"/>
  <c r="QF33" i="6"/>
  <c r="QE33" i="6"/>
  <c r="QD33" i="6"/>
  <c r="QC33" i="6"/>
  <c r="QB33" i="6"/>
  <c r="QA33" i="6"/>
  <c r="PZ33" i="6"/>
  <c r="PY33" i="6"/>
  <c r="PX33" i="6"/>
  <c r="PW33" i="6"/>
  <c r="PV33" i="6"/>
  <c r="PU33" i="6"/>
  <c r="PT33" i="6"/>
  <c r="PS33" i="6"/>
  <c r="PR33" i="6"/>
  <c r="PQ33" i="6"/>
  <c r="PP33" i="6"/>
  <c r="PO33" i="6"/>
  <c r="PN33" i="6"/>
  <c r="PM33" i="6"/>
  <c r="PL33" i="6"/>
  <c r="PK33" i="6"/>
  <c r="PJ33" i="6"/>
  <c r="PI33" i="6"/>
  <c r="PH33" i="6"/>
  <c r="PG33" i="6"/>
  <c r="PF33" i="6"/>
  <c r="PE33" i="6"/>
  <c r="RP32" i="6"/>
  <c r="RO32" i="6"/>
  <c r="RN32" i="6"/>
  <c r="RM32" i="6"/>
  <c r="RL32" i="6"/>
  <c r="RK32" i="6"/>
  <c r="RJ32" i="6"/>
  <c r="RI32" i="6"/>
  <c r="RH32" i="6"/>
  <c r="RG32" i="6"/>
  <c r="RF32" i="6"/>
  <c r="RE32" i="6"/>
  <c r="RD32" i="6"/>
  <c r="RC32" i="6"/>
  <c r="RB32" i="6"/>
  <c r="RA32" i="6"/>
  <c r="QZ32" i="6"/>
  <c r="QY32" i="6"/>
  <c r="QX32" i="6"/>
  <c r="QW32" i="6"/>
  <c r="QV32" i="6"/>
  <c r="QU32" i="6"/>
  <c r="QT32" i="6"/>
  <c r="QS32" i="6"/>
  <c r="QR32" i="6"/>
  <c r="QQ32" i="6"/>
  <c r="QP32" i="6"/>
  <c r="QO32" i="6"/>
  <c r="QN32" i="6"/>
  <c r="QM32" i="6"/>
  <c r="QL32" i="6"/>
  <c r="QK32" i="6"/>
  <c r="QJ32" i="6"/>
  <c r="QI32" i="6"/>
  <c r="QH32" i="6"/>
  <c r="QG32" i="6"/>
  <c r="QF32" i="6"/>
  <c r="QE32" i="6"/>
  <c r="QD32" i="6"/>
  <c r="QC32" i="6"/>
  <c r="QB32" i="6"/>
  <c r="QA32" i="6"/>
  <c r="PZ32" i="6"/>
  <c r="PY32" i="6"/>
  <c r="PX32" i="6"/>
  <c r="PW32" i="6"/>
  <c r="PV32" i="6"/>
  <c r="PU32" i="6"/>
  <c r="PT32" i="6"/>
  <c r="PS32" i="6"/>
  <c r="PR32" i="6"/>
  <c r="PQ32" i="6"/>
  <c r="PP32" i="6"/>
  <c r="PO32" i="6"/>
  <c r="PN32" i="6"/>
  <c r="PM32" i="6"/>
  <c r="PL32" i="6"/>
  <c r="PK32" i="6"/>
  <c r="PJ32" i="6"/>
  <c r="PI32" i="6"/>
  <c r="PH32" i="6"/>
  <c r="PG32" i="6"/>
  <c r="PF32" i="6"/>
  <c r="PE32" i="6"/>
  <c r="RP31" i="6"/>
  <c r="RO31" i="6"/>
  <c r="RN31" i="6"/>
  <c r="RM31" i="6"/>
  <c r="RL31" i="6"/>
  <c r="RK31" i="6"/>
  <c r="RJ31" i="6"/>
  <c r="RI31" i="6"/>
  <c r="RH31" i="6"/>
  <c r="RG31" i="6"/>
  <c r="RF31" i="6"/>
  <c r="RE31" i="6"/>
  <c r="RD31" i="6"/>
  <c r="RC31" i="6"/>
  <c r="RB31" i="6"/>
  <c r="RA31" i="6"/>
  <c r="QZ31" i="6"/>
  <c r="QY31" i="6"/>
  <c r="QX31" i="6"/>
  <c r="QW31" i="6"/>
  <c r="QV31" i="6"/>
  <c r="QU31" i="6"/>
  <c r="QT31" i="6"/>
  <c r="QS31" i="6"/>
  <c r="QR31" i="6"/>
  <c r="QQ31" i="6"/>
  <c r="QP31" i="6"/>
  <c r="QO31" i="6"/>
  <c r="QN31" i="6"/>
  <c r="QM31" i="6"/>
  <c r="QL31" i="6"/>
  <c r="QK31" i="6"/>
  <c r="QJ31" i="6"/>
  <c r="QI31" i="6"/>
  <c r="QH31" i="6"/>
  <c r="QG31" i="6"/>
  <c r="QF31" i="6"/>
  <c r="QE31" i="6"/>
  <c r="QD31" i="6"/>
  <c r="QC31" i="6"/>
  <c r="QB31" i="6"/>
  <c r="QA31" i="6"/>
  <c r="PZ31" i="6"/>
  <c r="PY31" i="6"/>
  <c r="PX31" i="6"/>
  <c r="PW31" i="6"/>
  <c r="PV31" i="6"/>
  <c r="PU31" i="6"/>
  <c r="PT31" i="6"/>
  <c r="PS31" i="6"/>
  <c r="PR31" i="6"/>
  <c r="PQ31" i="6"/>
  <c r="PP31" i="6"/>
  <c r="PO31" i="6"/>
  <c r="PN31" i="6"/>
  <c r="PM31" i="6"/>
  <c r="PL31" i="6"/>
  <c r="PK31" i="6"/>
  <c r="PJ31" i="6"/>
  <c r="PI31" i="6"/>
  <c r="PH31" i="6"/>
  <c r="PG31" i="6"/>
  <c r="PF31" i="6"/>
  <c r="PE31" i="6"/>
  <c r="RP30" i="6"/>
  <c r="RO30" i="6"/>
  <c r="RN30" i="6"/>
  <c r="RM30" i="6"/>
  <c r="RL30" i="6"/>
  <c r="RK30" i="6"/>
  <c r="RJ30" i="6"/>
  <c r="RI30" i="6"/>
  <c r="RH30" i="6"/>
  <c r="RG30" i="6"/>
  <c r="RF30" i="6"/>
  <c r="RE30" i="6"/>
  <c r="RD30" i="6"/>
  <c r="RC30" i="6"/>
  <c r="RB30" i="6"/>
  <c r="RA30" i="6"/>
  <c r="QZ30" i="6"/>
  <c r="QY30" i="6"/>
  <c r="QX30" i="6"/>
  <c r="QW30" i="6"/>
  <c r="QV30" i="6"/>
  <c r="QU30" i="6"/>
  <c r="QT30" i="6"/>
  <c r="QS30" i="6"/>
  <c r="QR30" i="6"/>
  <c r="QQ30" i="6"/>
  <c r="QP30" i="6"/>
  <c r="QO30" i="6"/>
  <c r="QN30" i="6"/>
  <c r="QM30" i="6"/>
  <c r="QL30" i="6"/>
  <c r="QK30" i="6"/>
  <c r="QJ30" i="6"/>
  <c r="QI30" i="6"/>
  <c r="QH30" i="6"/>
  <c r="QG30" i="6"/>
  <c r="QF30" i="6"/>
  <c r="QE30" i="6"/>
  <c r="QD30" i="6"/>
  <c r="QC30" i="6"/>
  <c r="QB30" i="6"/>
  <c r="QA30" i="6"/>
  <c r="PZ30" i="6"/>
  <c r="PY30" i="6"/>
  <c r="PX30" i="6"/>
  <c r="PW30" i="6"/>
  <c r="PV30" i="6"/>
  <c r="PU30" i="6"/>
  <c r="PT30" i="6"/>
  <c r="PS30" i="6"/>
  <c r="PR30" i="6"/>
  <c r="PQ30" i="6"/>
  <c r="PP30" i="6"/>
  <c r="PO30" i="6"/>
  <c r="PN30" i="6"/>
  <c r="PM30" i="6"/>
  <c r="PL30" i="6"/>
  <c r="PK30" i="6"/>
  <c r="PJ30" i="6"/>
  <c r="PI30" i="6"/>
  <c r="PH30" i="6"/>
  <c r="PG30" i="6"/>
  <c r="PF30" i="6"/>
  <c r="PE30" i="6"/>
  <c r="RP29" i="6"/>
  <c r="RO29" i="6"/>
  <c r="RN29" i="6"/>
  <c r="RM29" i="6"/>
  <c r="RL29" i="6"/>
  <c r="RK29" i="6"/>
  <c r="RJ29" i="6"/>
  <c r="RI29" i="6"/>
  <c r="RH29" i="6"/>
  <c r="RG29" i="6"/>
  <c r="RF29" i="6"/>
  <c r="RE29" i="6"/>
  <c r="RD29" i="6"/>
  <c r="RC29" i="6"/>
  <c r="RB29" i="6"/>
  <c r="RA29" i="6"/>
  <c r="QZ29" i="6"/>
  <c r="QY29" i="6"/>
  <c r="QX29" i="6"/>
  <c r="QW29" i="6"/>
  <c r="QV29" i="6"/>
  <c r="QU29" i="6"/>
  <c r="QT29" i="6"/>
  <c r="QS29" i="6"/>
  <c r="QR29" i="6"/>
  <c r="QQ29" i="6"/>
  <c r="QP29" i="6"/>
  <c r="QO29" i="6"/>
  <c r="QN29" i="6"/>
  <c r="QM29" i="6"/>
  <c r="QL29" i="6"/>
  <c r="QK29" i="6"/>
  <c r="QJ29" i="6"/>
  <c r="QI29" i="6"/>
  <c r="QH29" i="6"/>
  <c r="QG29" i="6"/>
  <c r="QF29" i="6"/>
  <c r="QE29" i="6"/>
  <c r="QD29" i="6"/>
  <c r="QC29" i="6"/>
  <c r="QB29" i="6"/>
  <c r="QA29" i="6"/>
  <c r="PZ29" i="6"/>
  <c r="PY29" i="6"/>
  <c r="PX29" i="6"/>
  <c r="PW29" i="6"/>
  <c r="PV29" i="6"/>
  <c r="PU29" i="6"/>
  <c r="PT29" i="6"/>
  <c r="PS29" i="6"/>
  <c r="PR29" i="6"/>
  <c r="PQ29" i="6"/>
  <c r="PP29" i="6"/>
  <c r="PO29" i="6"/>
  <c r="PN29" i="6"/>
  <c r="PM29" i="6"/>
  <c r="PL29" i="6"/>
  <c r="PK29" i="6"/>
  <c r="PJ29" i="6"/>
  <c r="PI29" i="6"/>
  <c r="PH29" i="6"/>
  <c r="PG29" i="6"/>
  <c r="PF29" i="6"/>
  <c r="PE29" i="6"/>
  <c r="RP28" i="6"/>
  <c r="RO28" i="6"/>
  <c r="RN28" i="6"/>
  <c r="RM28" i="6"/>
  <c r="RL28" i="6"/>
  <c r="RK28" i="6"/>
  <c r="RJ28" i="6"/>
  <c r="RI28" i="6"/>
  <c r="RH28" i="6"/>
  <c r="RG28" i="6"/>
  <c r="RF28" i="6"/>
  <c r="RE28" i="6"/>
  <c r="RD28" i="6"/>
  <c r="RC28" i="6"/>
  <c r="RB28" i="6"/>
  <c r="RA28" i="6"/>
  <c r="QZ28" i="6"/>
  <c r="QY28" i="6"/>
  <c r="QX28" i="6"/>
  <c r="QW28" i="6"/>
  <c r="QV28" i="6"/>
  <c r="QU28" i="6"/>
  <c r="QT28" i="6"/>
  <c r="QS28" i="6"/>
  <c r="QR28" i="6"/>
  <c r="QQ28" i="6"/>
  <c r="QP28" i="6"/>
  <c r="QO28" i="6"/>
  <c r="QN28" i="6"/>
  <c r="QM28" i="6"/>
  <c r="QL28" i="6"/>
  <c r="QK28" i="6"/>
  <c r="QJ28" i="6"/>
  <c r="QI28" i="6"/>
  <c r="QH28" i="6"/>
  <c r="QG28" i="6"/>
  <c r="QF28" i="6"/>
  <c r="QE28" i="6"/>
  <c r="QD28" i="6"/>
  <c r="QC28" i="6"/>
  <c r="QB28" i="6"/>
  <c r="QA28" i="6"/>
  <c r="PZ28" i="6"/>
  <c r="PY28" i="6"/>
  <c r="PX28" i="6"/>
  <c r="PW28" i="6"/>
  <c r="PV28" i="6"/>
  <c r="PU28" i="6"/>
  <c r="PT28" i="6"/>
  <c r="PS28" i="6"/>
  <c r="PR28" i="6"/>
  <c r="PQ28" i="6"/>
  <c r="PP28" i="6"/>
  <c r="PO28" i="6"/>
  <c r="PN28" i="6"/>
  <c r="PM28" i="6"/>
  <c r="PL28" i="6"/>
  <c r="PK28" i="6"/>
  <c r="PJ28" i="6"/>
  <c r="PI28" i="6"/>
  <c r="PH28" i="6"/>
  <c r="PG28" i="6"/>
  <c r="PF28" i="6"/>
  <c r="PE28" i="6"/>
  <c r="RP27" i="6"/>
  <c r="RO27" i="6"/>
  <c r="RN27" i="6"/>
  <c r="RM27" i="6"/>
  <c r="RL27" i="6"/>
  <c r="RK27" i="6"/>
  <c r="RJ27" i="6"/>
  <c r="RI27" i="6"/>
  <c r="RH27" i="6"/>
  <c r="RG27" i="6"/>
  <c r="RF27" i="6"/>
  <c r="RE27" i="6"/>
  <c r="RD27" i="6"/>
  <c r="RC27" i="6"/>
  <c r="RB27" i="6"/>
  <c r="RA27" i="6"/>
  <c r="QZ27" i="6"/>
  <c r="QY27" i="6"/>
  <c r="QX27" i="6"/>
  <c r="QW27" i="6"/>
  <c r="QV27" i="6"/>
  <c r="QU27" i="6"/>
  <c r="QT27" i="6"/>
  <c r="QS27" i="6"/>
  <c r="QR27" i="6"/>
  <c r="QQ27" i="6"/>
  <c r="QP27" i="6"/>
  <c r="QO27" i="6"/>
  <c r="QN27" i="6"/>
  <c r="QM27" i="6"/>
  <c r="QL27" i="6"/>
  <c r="QK27" i="6"/>
  <c r="QJ27" i="6"/>
  <c r="QI27" i="6"/>
  <c r="QH27" i="6"/>
  <c r="QG27" i="6"/>
  <c r="QF27" i="6"/>
  <c r="QE27" i="6"/>
  <c r="QD27" i="6"/>
  <c r="QC27" i="6"/>
  <c r="QB27" i="6"/>
  <c r="QA27" i="6"/>
  <c r="PZ27" i="6"/>
  <c r="PY27" i="6"/>
  <c r="PX27" i="6"/>
  <c r="PW27" i="6"/>
  <c r="PV27" i="6"/>
  <c r="PU27" i="6"/>
  <c r="PT27" i="6"/>
  <c r="PS27" i="6"/>
  <c r="PR27" i="6"/>
  <c r="PQ27" i="6"/>
  <c r="PP27" i="6"/>
  <c r="PO27" i="6"/>
  <c r="PN27" i="6"/>
  <c r="PM27" i="6"/>
  <c r="PL27" i="6"/>
  <c r="PK27" i="6"/>
  <c r="PJ27" i="6"/>
  <c r="PI27" i="6"/>
  <c r="PH27" i="6"/>
  <c r="PG27" i="6"/>
  <c r="PF27" i="6"/>
  <c r="PE27" i="6"/>
  <c r="RP26" i="6"/>
  <c r="RO26" i="6"/>
  <c r="RN26" i="6"/>
  <c r="RM26" i="6"/>
  <c r="RL26" i="6"/>
  <c r="RK26" i="6"/>
  <c r="RJ26" i="6"/>
  <c r="RI26" i="6"/>
  <c r="RH26" i="6"/>
  <c r="RG26" i="6"/>
  <c r="RF26" i="6"/>
  <c r="RE26" i="6"/>
  <c r="RD26" i="6"/>
  <c r="RC26" i="6"/>
  <c r="RB26" i="6"/>
  <c r="RA26" i="6"/>
  <c r="QZ26" i="6"/>
  <c r="QY26" i="6"/>
  <c r="QX26" i="6"/>
  <c r="QW26" i="6"/>
  <c r="QV26" i="6"/>
  <c r="QU26" i="6"/>
  <c r="QT26" i="6"/>
  <c r="QS26" i="6"/>
  <c r="QR26" i="6"/>
  <c r="QQ26" i="6"/>
  <c r="QP26" i="6"/>
  <c r="QO26" i="6"/>
  <c r="QN26" i="6"/>
  <c r="QM26" i="6"/>
  <c r="QL26" i="6"/>
  <c r="QK26" i="6"/>
  <c r="QJ26" i="6"/>
  <c r="QI26" i="6"/>
  <c r="QH26" i="6"/>
  <c r="QG26" i="6"/>
  <c r="QF26" i="6"/>
  <c r="QE26" i="6"/>
  <c r="QD26" i="6"/>
  <c r="QC26" i="6"/>
  <c r="QB26" i="6"/>
  <c r="QA26" i="6"/>
  <c r="PZ26" i="6"/>
  <c r="PY26" i="6"/>
  <c r="PX26" i="6"/>
  <c r="PW26" i="6"/>
  <c r="PV26" i="6"/>
  <c r="PU26" i="6"/>
  <c r="PT26" i="6"/>
  <c r="PS26" i="6"/>
  <c r="PR26" i="6"/>
  <c r="PQ26" i="6"/>
  <c r="PP26" i="6"/>
  <c r="PO26" i="6"/>
  <c r="PN26" i="6"/>
  <c r="PM26" i="6"/>
  <c r="PL26" i="6"/>
  <c r="PK26" i="6"/>
  <c r="PJ26" i="6"/>
  <c r="PI26" i="6"/>
  <c r="PH26" i="6"/>
  <c r="PG26" i="6"/>
  <c r="PF26" i="6"/>
  <c r="PE26" i="6"/>
  <c r="RP25" i="6"/>
  <c r="RO25" i="6"/>
  <c r="RN25" i="6"/>
  <c r="RM25" i="6"/>
  <c r="RL25" i="6"/>
  <c r="RK25" i="6"/>
  <c r="RJ25" i="6"/>
  <c r="RI25" i="6"/>
  <c r="RH25" i="6"/>
  <c r="RG25" i="6"/>
  <c r="RF25" i="6"/>
  <c r="RE25" i="6"/>
  <c r="RD25" i="6"/>
  <c r="RC25" i="6"/>
  <c r="RB25" i="6"/>
  <c r="RA25" i="6"/>
  <c r="QZ25" i="6"/>
  <c r="QY25" i="6"/>
  <c r="QX25" i="6"/>
  <c r="QW25" i="6"/>
  <c r="QV25" i="6"/>
  <c r="QU25" i="6"/>
  <c r="QT25" i="6"/>
  <c r="QS25" i="6"/>
  <c r="QR25" i="6"/>
  <c r="QQ25" i="6"/>
  <c r="QP25" i="6"/>
  <c r="QO25" i="6"/>
  <c r="QN25" i="6"/>
  <c r="QM25" i="6"/>
  <c r="QL25" i="6"/>
  <c r="QK25" i="6"/>
  <c r="QJ25" i="6"/>
  <c r="QI25" i="6"/>
  <c r="QH25" i="6"/>
  <c r="QG25" i="6"/>
  <c r="QF25" i="6"/>
  <c r="QE25" i="6"/>
  <c r="QD25" i="6"/>
  <c r="QC25" i="6"/>
  <c r="QB25" i="6"/>
  <c r="QA25" i="6"/>
  <c r="PZ25" i="6"/>
  <c r="PY25" i="6"/>
  <c r="PX25" i="6"/>
  <c r="PW25" i="6"/>
  <c r="PV25" i="6"/>
  <c r="PU25" i="6"/>
  <c r="PT25" i="6"/>
  <c r="PS25" i="6"/>
  <c r="PR25" i="6"/>
  <c r="PQ25" i="6"/>
  <c r="PP25" i="6"/>
  <c r="PO25" i="6"/>
  <c r="PN25" i="6"/>
  <c r="PM25" i="6"/>
  <c r="PL25" i="6"/>
  <c r="PK25" i="6"/>
  <c r="PJ25" i="6"/>
  <c r="PI25" i="6"/>
  <c r="PH25" i="6"/>
  <c r="PG25" i="6"/>
  <c r="PF25" i="6"/>
  <c r="PE25" i="6"/>
  <c r="RP24" i="6"/>
  <c r="RO24" i="6"/>
  <c r="RN24" i="6"/>
  <c r="RM24" i="6"/>
  <c r="RL24" i="6"/>
  <c r="RK24" i="6"/>
  <c r="RJ24" i="6"/>
  <c r="RI24" i="6"/>
  <c r="RH24" i="6"/>
  <c r="RG24" i="6"/>
  <c r="RF24" i="6"/>
  <c r="RE24" i="6"/>
  <c r="RD24" i="6"/>
  <c r="RC24" i="6"/>
  <c r="RB24" i="6"/>
  <c r="RA24" i="6"/>
  <c r="QZ24" i="6"/>
  <c r="QY24" i="6"/>
  <c r="QX24" i="6"/>
  <c r="QW24" i="6"/>
  <c r="QV24" i="6"/>
  <c r="QU24" i="6"/>
  <c r="QT24" i="6"/>
  <c r="QS24" i="6"/>
  <c r="QR24" i="6"/>
  <c r="QQ24" i="6"/>
  <c r="QP24" i="6"/>
  <c r="QO24" i="6"/>
  <c r="QN24" i="6"/>
  <c r="QM24" i="6"/>
  <c r="QL24" i="6"/>
  <c r="QK24" i="6"/>
  <c r="QJ24" i="6"/>
  <c r="QI24" i="6"/>
  <c r="QH24" i="6"/>
  <c r="QG24" i="6"/>
  <c r="QF24" i="6"/>
  <c r="QE24" i="6"/>
  <c r="QD24" i="6"/>
  <c r="QC24" i="6"/>
  <c r="QB24" i="6"/>
  <c r="QA24" i="6"/>
  <c r="PZ24" i="6"/>
  <c r="PY24" i="6"/>
  <c r="PX24" i="6"/>
  <c r="PW24" i="6"/>
  <c r="PV24" i="6"/>
  <c r="PU24" i="6"/>
  <c r="PT24" i="6"/>
  <c r="PS24" i="6"/>
  <c r="PR24" i="6"/>
  <c r="PQ24" i="6"/>
  <c r="PP24" i="6"/>
  <c r="PO24" i="6"/>
  <c r="PN24" i="6"/>
  <c r="PM24" i="6"/>
  <c r="PL24" i="6"/>
  <c r="PK24" i="6"/>
  <c r="PJ24" i="6"/>
  <c r="PI24" i="6"/>
  <c r="PH24" i="6"/>
  <c r="PG24" i="6"/>
  <c r="PF24" i="6"/>
  <c r="PE24" i="6"/>
  <c r="RP23" i="6"/>
  <c r="RO23" i="6"/>
  <c r="RN23" i="6"/>
  <c r="RM23" i="6"/>
  <c r="RL23" i="6"/>
  <c r="RK23" i="6"/>
  <c r="RJ23" i="6"/>
  <c r="RI23" i="6"/>
  <c r="RH23" i="6"/>
  <c r="RG23" i="6"/>
  <c r="RF23" i="6"/>
  <c r="RE23" i="6"/>
  <c r="RD23" i="6"/>
  <c r="RC23" i="6"/>
  <c r="RB23" i="6"/>
  <c r="RA23" i="6"/>
  <c r="QZ23" i="6"/>
  <c r="QY23" i="6"/>
  <c r="QX23" i="6"/>
  <c r="QW23" i="6"/>
  <c r="QV23" i="6"/>
  <c r="QU23" i="6"/>
  <c r="QT23" i="6"/>
  <c r="QS23" i="6"/>
  <c r="QR23" i="6"/>
  <c r="QQ23" i="6"/>
  <c r="QP23" i="6"/>
  <c r="QO23" i="6"/>
  <c r="QN23" i="6"/>
  <c r="QM23" i="6"/>
  <c r="QL23" i="6"/>
  <c r="QK23" i="6"/>
  <c r="QJ23" i="6"/>
  <c r="QI23" i="6"/>
  <c r="QH23" i="6"/>
  <c r="QG23" i="6"/>
  <c r="QF23" i="6"/>
  <c r="QE23" i="6"/>
  <c r="QD23" i="6"/>
  <c r="QC23" i="6"/>
  <c r="QB23" i="6"/>
  <c r="PZ23" i="6"/>
  <c r="PY23" i="6"/>
  <c r="PX23" i="6"/>
  <c r="PW23" i="6"/>
  <c r="PV23" i="6"/>
  <c r="PU23" i="6"/>
  <c r="PT23" i="6"/>
  <c r="PS23" i="6"/>
  <c r="PR23" i="6"/>
  <c r="PQ23" i="6"/>
  <c r="PP23" i="6"/>
  <c r="PO23" i="6"/>
  <c r="PN23" i="6"/>
  <c r="PM23" i="6"/>
  <c r="PL23" i="6"/>
  <c r="PK23" i="6"/>
  <c r="PJ23" i="6"/>
  <c r="PI23" i="6"/>
  <c r="PH23" i="6"/>
  <c r="PG23" i="6"/>
  <c r="PF23" i="6"/>
  <c r="PE23" i="6"/>
  <c r="RP22" i="6"/>
  <c r="RO22" i="6"/>
  <c r="RN22" i="6"/>
  <c r="RM22" i="6"/>
  <c r="RL22" i="6"/>
  <c r="RK22" i="6"/>
  <c r="RJ22" i="6"/>
  <c r="RI22" i="6"/>
  <c r="RH22" i="6"/>
  <c r="RG22" i="6"/>
  <c r="RF22" i="6"/>
  <c r="RE22" i="6"/>
  <c r="RD22" i="6"/>
  <c r="RC22" i="6"/>
  <c r="RB22" i="6"/>
  <c r="RA22" i="6"/>
  <c r="QZ22" i="6"/>
  <c r="QY22" i="6"/>
  <c r="QX22" i="6"/>
  <c r="QW22" i="6"/>
  <c r="QV22" i="6"/>
  <c r="QU22" i="6"/>
  <c r="QT22" i="6"/>
  <c r="QS22" i="6"/>
  <c r="QR22" i="6"/>
  <c r="QQ22" i="6"/>
  <c r="QP22" i="6"/>
  <c r="QO22" i="6"/>
  <c r="QN22" i="6"/>
  <c r="QM22" i="6"/>
  <c r="QL22" i="6"/>
  <c r="QK22" i="6"/>
  <c r="QJ22" i="6"/>
  <c r="QI22" i="6"/>
  <c r="QH22" i="6"/>
  <c r="QG22" i="6"/>
  <c r="QF22" i="6"/>
  <c r="QE22" i="6"/>
  <c r="QD22" i="6"/>
  <c r="QC22" i="6"/>
  <c r="QB22" i="6"/>
  <c r="QA22" i="6"/>
  <c r="PZ22" i="6"/>
  <c r="PY22" i="6"/>
  <c r="PX22" i="6"/>
  <c r="PW22" i="6"/>
  <c r="PV22" i="6"/>
  <c r="PU22" i="6"/>
  <c r="PT22" i="6"/>
  <c r="PS22" i="6"/>
  <c r="PR22" i="6"/>
  <c r="PQ22" i="6"/>
  <c r="PP22" i="6"/>
  <c r="PO22" i="6"/>
  <c r="PN22" i="6"/>
  <c r="PM22" i="6"/>
  <c r="PL22" i="6"/>
  <c r="PK22" i="6"/>
  <c r="PJ22" i="6"/>
  <c r="PI22" i="6"/>
  <c r="PH22" i="6"/>
  <c r="PG22" i="6"/>
  <c r="PF22" i="6"/>
  <c r="PE22" i="6"/>
  <c r="RP21" i="6"/>
  <c r="RO21" i="6"/>
  <c r="RN21" i="6"/>
  <c r="RM21" i="6"/>
  <c r="RL21" i="6"/>
  <c r="RK21" i="6"/>
  <c r="RJ21" i="6"/>
  <c r="RI21" i="6"/>
  <c r="RH21" i="6"/>
  <c r="RG21" i="6"/>
  <c r="RF21" i="6"/>
  <c r="RE21" i="6"/>
  <c r="RD21" i="6"/>
  <c r="RC21" i="6"/>
  <c r="RB21" i="6"/>
  <c r="RA21" i="6"/>
  <c r="QZ21" i="6"/>
  <c r="QY21" i="6"/>
  <c r="QX21" i="6"/>
  <c r="QW21" i="6"/>
  <c r="QV21" i="6"/>
  <c r="QU21" i="6"/>
  <c r="QT21" i="6"/>
  <c r="QS21" i="6"/>
  <c r="QR21" i="6"/>
  <c r="QQ21" i="6"/>
  <c r="QP21" i="6"/>
  <c r="QO21" i="6"/>
  <c r="QN21" i="6"/>
  <c r="QM21" i="6"/>
  <c r="QL21" i="6"/>
  <c r="QK21" i="6"/>
  <c r="QJ21" i="6"/>
  <c r="QI21" i="6"/>
  <c r="QH21" i="6"/>
  <c r="QG21" i="6"/>
  <c r="QF21" i="6"/>
  <c r="QE21" i="6"/>
  <c r="QD21" i="6"/>
  <c r="QC21" i="6"/>
  <c r="QB21" i="6"/>
  <c r="QA21" i="6"/>
  <c r="PZ21" i="6"/>
  <c r="PY21" i="6"/>
  <c r="PX21" i="6"/>
  <c r="PW21" i="6"/>
  <c r="PV21" i="6"/>
  <c r="PU21" i="6"/>
  <c r="PT21" i="6"/>
  <c r="PS21" i="6"/>
  <c r="PR21" i="6"/>
  <c r="PQ21" i="6"/>
  <c r="PP21" i="6"/>
  <c r="PO21" i="6"/>
  <c r="PN21" i="6"/>
  <c r="PM21" i="6"/>
  <c r="PL21" i="6"/>
  <c r="PK21" i="6"/>
  <c r="PJ21" i="6"/>
  <c r="PI21" i="6"/>
  <c r="PH21" i="6"/>
  <c r="PG21" i="6"/>
  <c r="PF21" i="6"/>
  <c r="PE21" i="6"/>
  <c r="RP20" i="6"/>
  <c r="RO20" i="6"/>
  <c r="RN20" i="6"/>
  <c r="RM20" i="6"/>
  <c r="RL20" i="6"/>
  <c r="RK20" i="6"/>
  <c r="RJ20" i="6"/>
  <c r="RI20" i="6"/>
  <c r="RH20" i="6"/>
  <c r="RG20" i="6"/>
  <c r="RF20" i="6"/>
  <c r="RE20" i="6"/>
  <c r="RD20" i="6"/>
  <c r="RC20" i="6"/>
  <c r="RB20" i="6"/>
  <c r="RA20" i="6"/>
  <c r="QZ20" i="6"/>
  <c r="QY20" i="6"/>
  <c r="QX20" i="6"/>
  <c r="QW20" i="6"/>
  <c r="QV20" i="6"/>
  <c r="QU20" i="6"/>
  <c r="QT20" i="6"/>
  <c r="QS20" i="6"/>
  <c r="QR20" i="6"/>
  <c r="QQ20" i="6"/>
  <c r="QP20" i="6"/>
  <c r="QO20" i="6"/>
  <c r="QN20" i="6"/>
  <c r="QM20" i="6"/>
  <c r="QL20" i="6"/>
  <c r="QK20" i="6"/>
  <c r="QJ20" i="6"/>
  <c r="QI20" i="6"/>
  <c r="QH20" i="6"/>
  <c r="QG20" i="6"/>
  <c r="QF20" i="6"/>
  <c r="QE20" i="6"/>
  <c r="QD20" i="6"/>
  <c r="QC20" i="6"/>
  <c r="QB20" i="6"/>
  <c r="QA20" i="6"/>
  <c r="PZ20" i="6"/>
  <c r="PY20" i="6"/>
  <c r="PX20" i="6"/>
  <c r="PW20" i="6"/>
  <c r="PV20" i="6"/>
  <c r="PU20" i="6"/>
  <c r="PT20" i="6"/>
  <c r="PS20" i="6"/>
  <c r="PR20" i="6"/>
  <c r="PQ20" i="6"/>
  <c r="PP20" i="6"/>
  <c r="PO20" i="6"/>
  <c r="PN20" i="6"/>
  <c r="PM20" i="6"/>
  <c r="PL20" i="6"/>
  <c r="PK20" i="6"/>
  <c r="PJ20" i="6"/>
  <c r="PI20" i="6"/>
  <c r="PH20" i="6"/>
  <c r="PG20" i="6"/>
  <c r="PF20" i="6"/>
  <c r="PE20" i="6"/>
  <c r="RP19" i="6"/>
  <c r="RO19" i="6"/>
  <c r="RN19" i="6"/>
  <c r="RM19" i="6"/>
  <c r="RL19" i="6"/>
  <c r="RK19" i="6"/>
  <c r="RJ19" i="6"/>
  <c r="RI19" i="6"/>
  <c r="RH19" i="6"/>
  <c r="RG19" i="6"/>
  <c r="RF19" i="6"/>
  <c r="RE19" i="6"/>
  <c r="RD19" i="6"/>
  <c r="RC19" i="6"/>
  <c r="RB19" i="6"/>
  <c r="RA19" i="6"/>
  <c r="QZ19" i="6"/>
  <c r="QY19" i="6"/>
  <c r="QX19" i="6"/>
  <c r="QW19" i="6"/>
  <c r="QV19" i="6"/>
  <c r="QU19" i="6"/>
  <c r="QT19" i="6"/>
  <c r="QS19" i="6"/>
  <c r="QR19" i="6"/>
  <c r="QQ19" i="6"/>
  <c r="QP19" i="6"/>
  <c r="QO19" i="6"/>
  <c r="QN19" i="6"/>
  <c r="QM19" i="6"/>
  <c r="QL19" i="6"/>
  <c r="QK19" i="6"/>
  <c r="QJ19" i="6"/>
  <c r="QI19" i="6"/>
  <c r="QH19" i="6"/>
  <c r="QG19" i="6"/>
  <c r="QF19" i="6"/>
  <c r="QE19" i="6"/>
  <c r="QD19" i="6"/>
  <c r="QC19" i="6"/>
  <c r="QB19" i="6"/>
  <c r="QA19" i="6"/>
  <c r="PZ19" i="6"/>
  <c r="PY19" i="6"/>
  <c r="PX19" i="6"/>
  <c r="PW19" i="6"/>
  <c r="PV19" i="6"/>
  <c r="PU19" i="6"/>
  <c r="PT19" i="6"/>
  <c r="PS19" i="6"/>
  <c r="PR19" i="6"/>
  <c r="PQ19" i="6"/>
  <c r="PP19" i="6"/>
  <c r="PO19" i="6"/>
  <c r="PN19" i="6"/>
  <c r="PM19" i="6"/>
  <c r="PL19" i="6"/>
  <c r="PK19" i="6"/>
  <c r="PJ19" i="6"/>
  <c r="PI19" i="6"/>
  <c r="PH19" i="6"/>
  <c r="PG19" i="6"/>
  <c r="PF19" i="6"/>
  <c r="PE19" i="6"/>
  <c r="RP18" i="6"/>
  <c r="RO18" i="6"/>
  <c r="RN18" i="6"/>
  <c r="RM18" i="6"/>
  <c r="RL18" i="6"/>
  <c r="RK18" i="6"/>
  <c r="RJ18" i="6"/>
  <c r="RI18" i="6"/>
  <c r="RH18" i="6"/>
  <c r="RG18" i="6"/>
  <c r="RF18" i="6"/>
  <c r="RE18" i="6"/>
  <c r="RD18" i="6"/>
  <c r="RC18" i="6"/>
  <c r="RB18" i="6"/>
  <c r="RA18" i="6"/>
  <c r="QZ18" i="6"/>
  <c r="QY18" i="6"/>
  <c r="QX18" i="6"/>
  <c r="QW18" i="6"/>
  <c r="QV18" i="6"/>
  <c r="QU18" i="6"/>
  <c r="QT18" i="6"/>
  <c r="QS18" i="6"/>
  <c r="QR18" i="6"/>
  <c r="QQ18" i="6"/>
  <c r="QP18" i="6"/>
  <c r="QO18" i="6"/>
  <c r="QN18" i="6"/>
  <c r="QM18" i="6"/>
  <c r="QL18" i="6"/>
  <c r="QK18" i="6"/>
  <c r="QJ18" i="6"/>
  <c r="QI18" i="6"/>
  <c r="QH18" i="6"/>
  <c r="QG18" i="6"/>
  <c r="QF18" i="6"/>
  <c r="QE18" i="6"/>
  <c r="QD18" i="6"/>
  <c r="QC18" i="6"/>
  <c r="QB18" i="6"/>
  <c r="QA18" i="6"/>
  <c r="PZ18" i="6"/>
  <c r="PY18" i="6"/>
  <c r="PX18" i="6"/>
  <c r="PW18" i="6"/>
  <c r="PV18" i="6"/>
  <c r="PU18" i="6"/>
  <c r="PT18" i="6"/>
  <c r="PS18" i="6"/>
  <c r="PR18" i="6"/>
  <c r="PQ18" i="6"/>
  <c r="PP18" i="6"/>
  <c r="PO18" i="6"/>
  <c r="PN18" i="6"/>
  <c r="PM18" i="6"/>
  <c r="PL18" i="6"/>
  <c r="PK18" i="6"/>
  <c r="PJ18" i="6"/>
  <c r="PI18" i="6"/>
  <c r="PH18" i="6"/>
  <c r="PG18" i="6"/>
  <c r="PF18" i="6"/>
  <c r="PE18" i="6"/>
  <c r="RP17" i="6"/>
  <c r="RO17" i="6"/>
  <c r="RN17" i="6"/>
  <c r="RM17" i="6"/>
  <c r="RL17" i="6"/>
  <c r="RK17" i="6"/>
  <c r="RJ17" i="6"/>
  <c r="RI17" i="6"/>
  <c r="RH17" i="6"/>
  <c r="RG17" i="6"/>
  <c r="RF17" i="6"/>
  <c r="RE17" i="6"/>
  <c r="RD17" i="6"/>
  <c r="RC17" i="6"/>
  <c r="RB17" i="6"/>
  <c r="RA17" i="6"/>
  <c r="QZ17" i="6"/>
  <c r="QY17" i="6"/>
  <c r="QX17" i="6"/>
  <c r="QW17" i="6"/>
  <c r="QV17" i="6"/>
  <c r="QU17" i="6"/>
  <c r="QT17" i="6"/>
  <c r="QS17" i="6"/>
  <c r="QR17" i="6"/>
  <c r="QQ17" i="6"/>
  <c r="QP17" i="6"/>
  <c r="QO17" i="6"/>
  <c r="QN17" i="6"/>
  <c r="QM17" i="6"/>
  <c r="QL17" i="6"/>
  <c r="QK17" i="6"/>
  <c r="QJ17" i="6"/>
  <c r="QI17" i="6"/>
  <c r="QH17" i="6"/>
  <c r="QG17" i="6"/>
  <c r="QF17" i="6"/>
  <c r="QE17" i="6"/>
  <c r="QD17" i="6"/>
  <c r="QC17" i="6"/>
  <c r="QB17" i="6"/>
  <c r="QA17" i="6"/>
  <c r="PZ17" i="6"/>
  <c r="PX17" i="6"/>
  <c r="PW17" i="6"/>
  <c r="PV17" i="6"/>
  <c r="PU17" i="6"/>
  <c r="PT17" i="6"/>
  <c r="PS17" i="6"/>
  <c r="PR17" i="6"/>
  <c r="PQ17" i="6"/>
  <c r="PP17" i="6"/>
  <c r="PO17" i="6"/>
  <c r="PN17" i="6"/>
  <c r="PM17" i="6"/>
  <c r="PL17" i="6"/>
  <c r="PK17" i="6"/>
  <c r="PJ17" i="6"/>
  <c r="PI17" i="6"/>
  <c r="PH17" i="6"/>
  <c r="PG17" i="6"/>
  <c r="PF17" i="6"/>
  <c r="PE17" i="6"/>
  <c r="RP16" i="6"/>
  <c r="RO16" i="6"/>
  <c r="RN16" i="6"/>
  <c r="RM16" i="6"/>
  <c r="RL16" i="6"/>
  <c r="RK16" i="6"/>
  <c r="RJ16" i="6"/>
  <c r="RI16" i="6"/>
  <c r="RH16" i="6"/>
  <c r="RG16" i="6"/>
  <c r="RF16" i="6"/>
  <c r="RE16" i="6"/>
  <c r="RD16" i="6"/>
  <c r="RC16" i="6"/>
  <c r="RB16" i="6"/>
  <c r="RA16" i="6"/>
  <c r="QZ16" i="6"/>
  <c r="QY16" i="6"/>
  <c r="QX16" i="6"/>
  <c r="QW16" i="6"/>
  <c r="QV16" i="6"/>
  <c r="QU16" i="6"/>
  <c r="QT16" i="6"/>
  <c r="QS16" i="6"/>
  <c r="QR16" i="6"/>
  <c r="QQ16" i="6"/>
  <c r="QP16" i="6"/>
  <c r="QO16" i="6"/>
  <c r="QN16" i="6"/>
  <c r="QM16" i="6"/>
  <c r="QL16" i="6"/>
  <c r="QK16" i="6"/>
  <c r="QJ16" i="6"/>
  <c r="QI16" i="6"/>
  <c r="QH16" i="6"/>
  <c r="QG16" i="6"/>
  <c r="QF16" i="6"/>
  <c r="QE16" i="6"/>
  <c r="QD16" i="6"/>
  <c r="QC16" i="6"/>
  <c r="QB16" i="6"/>
  <c r="QA16" i="6"/>
  <c r="PZ16" i="6"/>
  <c r="PY16" i="6"/>
  <c r="PX16" i="6"/>
  <c r="PW16" i="6"/>
  <c r="PV16" i="6"/>
  <c r="PU16" i="6"/>
  <c r="PT16" i="6"/>
  <c r="PS16" i="6"/>
  <c r="PR16" i="6"/>
  <c r="PQ16" i="6"/>
  <c r="PP16" i="6"/>
  <c r="PO16" i="6"/>
  <c r="PN16" i="6"/>
  <c r="PM16" i="6"/>
  <c r="PL16" i="6"/>
  <c r="PK16" i="6"/>
  <c r="PJ16" i="6"/>
  <c r="PI16" i="6"/>
  <c r="PH16" i="6"/>
  <c r="PG16" i="6"/>
  <c r="PF16" i="6"/>
  <c r="PE16" i="6"/>
  <c r="RP15" i="6"/>
  <c r="RO15" i="6"/>
  <c r="RN15" i="6"/>
  <c r="RM15" i="6"/>
  <c r="RL15" i="6"/>
  <c r="RK15" i="6"/>
  <c r="RJ15" i="6"/>
  <c r="RI15" i="6"/>
  <c r="RH15" i="6"/>
  <c r="RG15" i="6"/>
  <c r="RF15" i="6"/>
  <c r="RE15" i="6"/>
  <c r="RD15" i="6"/>
  <c r="RC15" i="6"/>
  <c r="RB15" i="6"/>
  <c r="RA15" i="6"/>
  <c r="QZ15" i="6"/>
  <c r="QY15" i="6"/>
  <c r="QX15" i="6"/>
  <c r="QW15" i="6"/>
  <c r="QV15" i="6"/>
  <c r="QU15" i="6"/>
  <c r="QT15" i="6"/>
  <c r="QS15" i="6"/>
  <c r="QR15" i="6"/>
  <c r="QQ15" i="6"/>
  <c r="QP15" i="6"/>
  <c r="QO15" i="6"/>
  <c r="QN15" i="6"/>
  <c r="QM15" i="6"/>
  <c r="QL15" i="6"/>
  <c r="QK15" i="6"/>
  <c r="QJ15" i="6"/>
  <c r="QI15" i="6"/>
  <c r="QH15" i="6"/>
  <c r="QG15" i="6"/>
  <c r="QF15" i="6"/>
  <c r="QE15" i="6"/>
  <c r="QD15" i="6"/>
  <c r="QC15" i="6"/>
  <c r="QB15" i="6"/>
  <c r="QA15" i="6"/>
  <c r="PZ15" i="6"/>
  <c r="PY15" i="6"/>
  <c r="PX15" i="6"/>
  <c r="PW15" i="6"/>
  <c r="PV15" i="6"/>
  <c r="PU15" i="6"/>
  <c r="PT15" i="6"/>
  <c r="PS15" i="6"/>
  <c r="PR15" i="6"/>
  <c r="PQ15" i="6"/>
  <c r="PP15" i="6"/>
  <c r="PO15" i="6"/>
  <c r="PN15" i="6"/>
  <c r="PM15" i="6"/>
  <c r="PL15" i="6"/>
  <c r="PK15" i="6"/>
  <c r="PJ15" i="6"/>
  <c r="PI15" i="6"/>
  <c r="PH15" i="6"/>
  <c r="PG15" i="6"/>
  <c r="PF15" i="6"/>
  <c r="PE15" i="6"/>
  <c r="RP14" i="6"/>
  <c r="RO14" i="6"/>
  <c r="RN14" i="6"/>
  <c r="RM14" i="6"/>
  <c r="RL14" i="6"/>
  <c r="RK14" i="6"/>
  <c r="RJ14" i="6"/>
  <c r="RI14" i="6"/>
  <c r="RH14" i="6"/>
  <c r="RG14" i="6"/>
  <c r="RF14" i="6"/>
  <c r="RE14" i="6"/>
  <c r="RD14" i="6"/>
  <c r="RC14" i="6"/>
  <c r="RB14" i="6"/>
  <c r="RA14" i="6"/>
  <c r="QZ14" i="6"/>
  <c r="QY14" i="6"/>
  <c r="QX14" i="6"/>
  <c r="QW14" i="6"/>
  <c r="QV14" i="6"/>
  <c r="QU14" i="6"/>
  <c r="QT14" i="6"/>
  <c r="QS14" i="6"/>
  <c r="QR14" i="6"/>
  <c r="QQ14" i="6"/>
  <c r="QP14" i="6"/>
  <c r="QO14" i="6"/>
  <c r="QN14" i="6"/>
  <c r="QM14" i="6"/>
  <c r="QL14" i="6"/>
  <c r="QK14" i="6"/>
  <c r="QJ14" i="6"/>
  <c r="QI14" i="6"/>
  <c r="QH14" i="6"/>
  <c r="QG14" i="6"/>
  <c r="QF14" i="6"/>
  <c r="QE14" i="6"/>
  <c r="QD14" i="6"/>
  <c r="QC14" i="6"/>
  <c r="QB14" i="6"/>
  <c r="QA14" i="6"/>
  <c r="PZ14" i="6"/>
  <c r="PY14" i="6"/>
  <c r="PX14" i="6"/>
  <c r="PW14" i="6"/>
  <c r="PV14" i="6"/>
  <c r="PU14" i="6"/>
  <c r="PT14" i="6"/>
  <c r="PS14" i="6"/>
  <c r="PR14" i="6"/>
  <c r="PQ14" i="6"/>
  <c r="PP14" i="6"/>
  <c r="PO14" i="6"/>
  <c r="PN14" i="6"/>
  <c r="PM14" i="6"/>
  <c r="PL14" i="6"/>
  <c r="PK14" i="6"/>
  <c r="PJ14" i="6"/>
  <c r="PI14" i="6"/>
  <c r="PH14" i="6"/>
  <c r="PG14" i="6"/>
  <c r="PF14" i="6"/>
  <c r="PE14" i="6"/>
  <c r="RP13" i="6"/>
  <c r="RO13" i="6"/>
  <c r="RN13" i="6"/>
  <c r="RM13" i="6"/>
  <c r="RL13" i="6"/>
  <c r="RK13" i="6"/>
  <c r="RJ13" i="6"/>
  <c r="RI13" i="6"/>
  <c r="RH13" i="6"/>
  <c r="RG13" i="6"/>
  <c r="RF13" i="6"/>
  <c r="RE13" i="6"/>
  <c r="RD13" i="6"/>
  <c r="RC13" i="6"/>
  <c r="RB13" i="6"/>
  <c r="RA13" i="6"/>
  <c r="QZ13" i="6"/>
  <c r="QY13" i="6"/>
  <c r="QX13" i="6"/>
  <c r="QW13" i="6"/>
  <c r="QV13" i="6"/>
  <c r="QU13" i="6"/>
  <c r="QT13" i="6"/>
  <c r="QS13" i="6"/>
  <c r="QR13" i="6"/>
  <c r="QQ13" i="6"/>
  <c r="QP13" i="6"/>
  <c r="QO13" i="6"/>
  <c r="QN13" i="6"/>
  <c r="QM13" i="6"/>
  <c r="QL13" i="6"/>
  <c r="QK13" i="6"/>
  <c r="QJ13" i="6"/>
  <c r="QI13" i="6"/>
  <c r="QH13" i="6"/>
  <c r="QG13" i="6"/>
  <c r="QF13" i="6"/>
  <c r="QE13" i="6"/>
  <c r="QD13" i="6"/>
  <c r="QC13" i="6"/>
  <c r="QB13" i="6"/>
  <c r="QA13" i="6"/>
  <c r="PZ13" i="6"/>
  <c r="PY13" i="6"/>
  <c r="PX13" i="6"/>
  <c r="PW13" i="6"/>
  <c r="PV13" i="6"/>
  <c r="PU13" i="6"/>
  <c r="PT13" i="6"/>
  <c r="PS13" i="6"/>
  <c r="PR13" i="6"/>
  <c r="PQ13" i="6"/>
  <c r="PP13" i="6"/>
  <c r="PO13" i="6"/>
  <c r="PN13" i="6"/>
  <c r="PM13" i="6"/>
  <c r="PL13" i="6"/>
  <c r="PK13" i="6"/>
  <c r="PJ13" i="6"/>
  <c r="PI13" i="6"/>
  <c r="PH13" i="6"/>
  <c r="PG13" i="6"/>
  <c r="PF13" i="6"/>
  <c r="PE13" i="6"/>
  <c r="RP12" i="6"/>
  <c r="RO12" i="6"/>
  <c r="RN12" i="6"/>
  <c r="RM12" i="6"/>
  <c r="RL12" i="6"/>
  <c r="RK12" i="6"/>
  <c r="RJ12" i="6"/>
  <c r="RI12" i="6"/>
  <c r="RH12" i="6"/>
  <c r="RG12" i="6"/>
  <c r="RF12" i="6"/>
  <c r="RE12" i="6"/>
  <c r="RD12" i="6"/>
  <c r="RC12" i="6"/>
  <c r="RB12" i="6"/>
  <c r="RA12" i="6"/>
  <c r="QZ12" i="6"/>
  <c r="QY12" i="6"/>
  <c r="QX12" i="6"/>
  <c r="QW12" i="6"/>
  <c r="QV12" i="6"/>
  <c r="QU12" i="6"/>
  <c r="QT12" i="6"/>
  <c r="QS12" i="6"/>
  <c r="QR12" i="6"/>
  <c r="QQ12" i="6"/>
  <c r="QP12" i="6"/>
  <c r="QO12" i="6"/>
  <c r="QN12" i="6"/>
  <c r="QM12" i="6"/>
  <c r="QL12" i="6"/>
  <c r="QK12" i="6"/>
  <c r="QJ12" i="6"/>
  <c r="QI12" i="6"/>
  <c r="QH12" i="6"/>
  <c r="QG12" i="6"/>
  <c r="QF12" i="6"/>
  <c r="QE12" i="6"/>
  <c r="QD12" i="6"/>
  <c r="QC12" i="6"/>
  <c r="QB12" i="6"/>
  <c r="QA12" i="6"/>
  <c r="PZ12" i="6"/>
  <c r="PY12" i="6"/>
  <c r="PX12" i="6"/>
  <c r="PW12" i="6"/>
  <c r="PV12" i="6"/>
  <c r="PU12" i="6"/>
  <c r="PT12" i="6"/>
  <c r="PS12" i="6"/>
  <c r="PR12" i="6"/>
  <c r="PQ12" i="6"/>
  <c r="PP12" i="6"/>
  <c r="PO12" i="6"/>
  <c r="PN12" i="6"/>
  <c r="PM12" i="6"/>
  <c r="PL12" i="6"/>
  <c r="RP11" i="6"/>
  <c r="RO11" i="6"/>
  <c r="RN11" i="6"/>
  <c r="RM11" i="6"/>
  <c r="RL11" i="6"/>
  <c r="RK11" i="6"/>
  <c r="RJ11" i="6"/>
  <c r="RI11" i="6"/>
  <c r="RH11" i="6"/>
  <c r="RG11" i="6"/>
  <c r="RF11" i="6"/>
  <c r="RE11" i="6"/>
  <c r="RD11" i="6"/>
  <c r="RC11" i="6"/>
  <c r="RB11" i="6"/>
  <c r="RA11" i="6"/>
  <c r="QZ11" i="6"/>
  <c r="QY11" i="6"/>
  <c r="QX11" i="6"/>
  <c r="QW11" i="6"/>
  <c r="QV11" i="6"/>
  <c r="QU11" i="6"/>
  <c r="QT11" i="6"/>
  <c r="QS11" i="6"/>
  <c r="QR11" i="6"/>
  <c r="QQ11" i="6"/>
  <c r="QP11" i="6"/>
  <c r="QO11" i="6"/>
  <c r="QN11" i="6"/>
  <c r="QM11" i="6"/>
  <c r="QL11" i="6"/>
  <c r="QK11" i="6"/>
  <c r="QJ11" i="6"/>
  <c r="QI11" i="6"/>
  <c r="QH11" i="6"/>
  <c r="QG11" i="6"/>
  <c r="QF11" i="6"/>
  <c r="QE11" i="6"/>
  <c r="QD11" i="6"/>
  <c r="QC11" i="6"/>
  <c r="QB11" i="6"/>
  <c r="QA11" i="6"/>
  <c r="PZ11" i="6"/>
  <c r="PY11" i="6"/>
  <c r="PX11" i="6"/>
  <c r="PW11" i="6"/>
  <c r="PV11" i="6"/>
  <c r="PU11" i="6"/>
  <c r="PT11" i="6"/>
  <c r="PS11" i="6"/>
  <c r="PR11" i="6"/>
  <c r="PQ11" i="6"/>
  <c r="PP11" i="6"/>
  <c r="PO11" i="6"/>
  <c r="PN11" i="6"/>
  <c r="PM11" i="6"/>
  <c r="PL11" i="6"/>
  <c r="RP10" i="6"/>
  <c r="RO10" i="6"/>
  <c r="RN10" i="6"/>
  <c r="RM10" i="6"/>
  <c r="RL10" i="6"/>
  <c r="RK10" i="6"/>
  <c r="RJ10" i="6"/>
  <c r="RI10" i="6"/>
  <c r="RH10" i="6"/>
  <c r="RG10" i="6"/>
  <c r="RF10" i="6"/>
  <c r="RE10" i="6"/>
  <c r="RD10" i="6"/>
  <c r="RC10" i="6"/>
  <c r="RB10" i="6"/>
  <c r="RA10" i="6"/>
  <c r="QZ10" i="6"/>
  <c r="QY10" i="6"/>
  <c r="QX10" i="6"/>
  <c r="QW10" i="6"/>
  <c r="QV10" i="6"/>
  <c r="QU10" i="6"/>
  <c r="QT10" i="6"/>
  <c r="QS10" i="6"/>
  <c r="QR10" i="6"/>
  <c r="QQ10" i="6"/>
  <c r="QP10" i="6"/>
  <c r="QO10" i="6"/>
  <c r="QN10" i="6"/>
  <c r="QM10" i="6"/>
  <c r="QL10" i="6"/>
  <c r="QK10" i="6"/>
  <c r="QJ10" i="6"/>
  <c r="QI10" i="6"/>
  <c r="QH10" i="6"/>
  <c r="QG10" i="6"/>
  <c r="QF10" i="6"/>
  <c r="QE10" i="6"/>
  <c r="QD10" i="6"/>
  <c r="QC10" i="6"/>
  <c r="QB10" i="6"/>
  <c r="QA10" i="6"/>
  <c r="PZ10" i="6"/>
  <c r="PY10" i="6"/>
  <c r="PX10" i="6"/>
  <c r="PW10" i="6"/>
  <c r="PV10" i="6"/>
  <c r="PU10" i="6"/>
  <c r="PT10" i="6"/>
  <c r="PS10" i="6"/>
  <c r="PR10" i="6"/>
  <c r="PQ10" i="6"/>
  <c r="PP10" i="6"/>
  <c r="PO10" i="6"/>
  <c r="PN10" i="6"/>
  <c r="PM10" i="6"/>
  <c r="PL10" i="6"/>
  <c r="RP9" i="6"/>
  <c r="RO9" i="6"/>
  <c r="RN9" i="6"/>
  <c r="RM9" i="6"/>
  <c r="RL9" i="6"/>
  <c r="RK9" i="6"/>
  <c r="RJ9" i="6"/>
  <c r="RI9" i="6"/>
  <c r="RH9" i="6"/>
  <c r="RG9" i="6"/>
  <c r="RF9" i="6"/>
  <c r="RE9" i="6"/>
  <c r="RD9" i="6"/>
  <c r="RC9" i="6"/>
  <c r="RB9" i="6"/>
  <c r="RA9" i="6"/>
  <c r="QZ9" i="6"/>
  <c r="QY9" i="6"/>
  <c r="QX9" i="6"/>
  <c r="QW9" i="6"/>
  <c r="QV9" i="6"/>
  <c r="QU9" i="6"/>
  <c r="QT9" i="6"/>
  <c r="QS9" i="6"/>
  <c r="QR9" i="6"/>
  <c r="QQ9" i="6"/>
  <c r="QP9" i="6"/>
  <c r="QO9" i="6"/>
  <c r="QN9" i="6"/>
  <c r="QM9" i="6"/>
  <c r="QL9" i="6"/>
  <c r="QK9" i="6"/>
  <c r="QJ9" i="6"/>
  <c r="QI9" i="6"/>
  <c r="QH9" i="6"/>
  <c r="QG9" i="6"/>
  <c r="QF9" i="6"/>
  <c r="QE9" i="6"/>
  <c r="QD9" i="6"/>
  <c r="QC9" i="6"/>
  <c r="QB9" i="6"/>
  <c r="QA9" i="6"/>
  <c r="PZ9" i="6"/>
  <c r="PY9" i="6"/>
  <c r="PX9" i="6"/>
  <c r="PW9" i="6"/>
  <c r="PV9" i="6"/>
  <c r="PU9" i="6"/>
  <c r="PT9" i="6"/>
  <c r="PS9" i="6"/>
  <c r="PR9" i="6"/>
  <c r="PQ9" i="6"/>
  <c r="PP9" i="6"/>
  <c r="PO9" i="6"/>
  <c r="PN9" i="6"/>
  <c r="PM9" i="6"/>
  <c r="PL9" i="6"/>
  <c r="RP8" i="6"/>
  <c r="RO8" i="6"/>
  <c r="RN8" i="6"/>
  <c r="RM8" i="6"/>
  <c r="RL8" i="6"/>
  <c r="RK8" i="6"/>
  <c r="RJ8" i="6"/>
  <c r="RI8" i="6"/>
  <c r="RH8" i="6"/>
  <c r="RG8" i="6"/>
  <c r="RF8" i="6"/>
  <c r="RE8" i="6"/>
  <c r="RD8" i="6"/>
  <c r="RC8" i="6"/>
  <c r="RB8" i="6"/>
  <c r="RA8" i="6"/>
  <c r="QZ8" i="6"/>
  <c r="QY8" i="6"/>
  <c r="QX8" i="6"/>
  <c r="QW8" i="6"/>
  <c r="QV8" i="6"/>
  <c r="QU8" i="6"/>
  <c r="QT8" i="6"/>
  <c r="QS8" i="6"/>
  <c r="QR8" i="6"/>
  <c r="QQ8" i="6"/>
  <c r="QP8" i="6"/>
  <c r="QO8" i="6"/>
  <c r="QN8" i="6"/>
  <c r="QM8" i="6"/>
  <c r="QL8" i="6"/>
  <c r="QK8" i="6"/>
  <c r="QJ8" i="6"/>
  <c r="QI8" i="6"/>
  <c r="QH8" i="6"/>
  <c r="QG8" i="6"/>
  <c r="QF8" i="6"/>
  <c r="QE8" i="6"/>
  <c r="QD8" i="6"/>
  <c r="QC8" i="6"/>
  <c r="QB8" i="6"/>
  <c r="QA8" i="6"/>
  <c r="PZ8" i="6"/>
  <c r="PY8" i="6"/>
  <c r="PX8" i="6"/>
  <c r="PW8" i="6"/>
  <c r="PV8" i="6"/>
  <c r="PU8" i="6"/>
  <c r="PT8" i="6"/>
  <c r="PS8" i="6"/>
  <c r="PR8" i="6"/>
  <c r="PQ8" i="6"/>
  <c r="PP8" i="6"/>
  <c r="PO8" i="6"/>
  <c r="PN8" i="6"/>
  <c r="PM8" i="6"/>
  <c r="PL8" i="6"/>
  <c r="RP7" i="6"/>
  <c r="RO7" i="6"/>
  <c r="RN7" i="6"/>
  <c r="RM7" i="6"/>
  <c r="RL7" i="6"/>
  <c r="RK7" i="6"/>
  <c r="RJ7" i="6"/>
  <c r="RI7" i="6"/>
  <c r="RH7" i="6"/>
  <c r="RG7" i="6"/>
  <c r="RF7" i="6"/>
  <c r="RE7" i="6"/>
  <c r="RD7" i="6"/>
  <c r="RC7" i="6"/>
  <c r="RB7" i="6"/>
  <c r="RA7" i="6"/>
  <c r="QZ7" i="6"/>
  <c r="QY7" i="6"/>
  <c r="QX7" i="6"/>
  <c r="QW7" i="6"/>
  <c r="QV7" i="6"/>
  <c r="QU7" i="6"/>
  <c r="QT7" i="6"/>
  <c r="QS7" i="6"/>
  <c r="QR7" i="6"/>
  <c r="QQ7" i="6"/>
  <c r="QP7" i="6"/>
  <c r="QO7" i="6"/>
  <c r="QN7" i="6"/>
  <c r="QM7" i="6"/>
  <c r="QL7" i="6"/>
  <c r="QK7" i="6"/>
  <c r="QJ7" i="6"/>
  <c r="QI7" i="6"/>
  <c r="QH7" i="6"/>
  <c r="QG7" i="6"/>
  <c r="QF7" i="6"/>
  <c r="QE7" i="6"/>
  <c r="QD7" i="6"/>
  <c r="QC7" i="6"/>
  <c r="QB7" i="6"/>
  <c r="QA7" i="6"/>
  <c r="PZ7" i="6"/>
  <c r="PY7" i="6"/>
  <c r="PX7" i="6"/>
  <c r="PW7" i="6"/>
  <c r="PV7" i="6"/>
  <c r="PU7" i="6"/>
  <c r="PT7" i="6"/>
  <c r="PS7" i="6"/>
  <c r="PR7" i="6"/>
  <c r="PQ7" i="6"/>
  <c r="PP7" i="6"/>
  <c r="PO7" i="6"/>
  <c r="PN7" i="6"/>
  <c r="PM7" i="6"/>
  <c r="PL7" i="6"/>
  <c r="RP6" i="6"/>
  <c r="RO6" i="6"/>
  <c r="RN6" i="6"/>
  <c r="RM6" i="6"/>
  <c r="RL6" i="6"/>
  <c r="RK6" i="6"/>
  <c r="RJ6" i="6"/>
  <c r="RI6" i="6"/>
  <c r="RH6" i="6"/>
  <c r="RG6" i="6"/>
  <c r="RF6" i="6"/>
  <c r="RE6" i="6"/>
  <c r="RD6" i="6"/>
  <c r="RC6" i="6"/>
  <c r="RB6" i="6"/>
  <c r="RA6" i="6"/>
  <c r="QZ6" i="6"/>
  <c r="QY6" i="6"/>
  <c r="QX6" i="6"/>
  <c r="QW6" i="6"/>
  <c r="QV6" i="6"/>
  <c r="QU6" i="6"/>
  <c r="QT6" i="6"/>
  <c r="QS6" i="6"/>
  <c r="QR6" i="6"/>
  <c r="QQ6" i="6"/>
  <c r="QP6" i="6"/>
  <c r="QO6" i="6"/>
  <c r="QN6" i="6"/>
  <c r="QM6" i="6"/>
  <c r="QL6" i="6"/>
  <c r="QK6" i="6"/>
  <c r="QJ6" i="6"/>
  <c r="QI6" i="6"/>
  <c r="QH6" i="6"/>
  <c r="QG6" i="6"/>
  <c r="QF6" i="6"/>
  <c r="QE6" i="6"/>
  <c r="QD6" i="6"/>
  <c r="QC6" i="6"/>
  <c r="QB6" i="6"/>
  <c r="QA6" i="6"/>
  <c r="PZ6" i="6"/>
  <c r="PY6" i="6"/>
  <c r="PX6" i="6"/>
  <c r="PW6" i="6"/>
  <c r="PV6" i="6"/>
  <c r="PU6" i="6"/>
  <c r="PT6" i="6"/>
  <c r="PS6" i="6"/>
  <c r="PR6" i="6"/>
  <c r="PQ6" i="6"/>
  <c r="PP6" i="6"/>
  <c r="PO6" i="6"/>
  <c r="PN6" i="6"/>
  <c r="PM6" i="6"/>
  <c r="PL6" i="6"/>
  <c r="RP5" i="6"/>
  <c r="RO5" i="6"/>
  <c r="RN5" i="6"/>
  <c r="RM5" i="6"/>
  <c r="RL5" i="6"/>
  <c r="RK5" i="6"/>
  <c r="RJ5" i="6"/>
  <c r="RI5" i="6"/>
  <c r="RH5" i="6"/>
  <c r="RG5" i="6"/>
  <c r="RF5" i="6"/>
  <c r="RE5" i="6"/>
  <c r="RD5" i="6"/>
  <c r="RC5" i="6"/>
  <c r="RB5" i="6"/>
  <c r="RA5" i="6"/>
  <c r="QZ5" i="6"/>
  <c r="QY5" i="6"/>
  <c r="QX5" i="6"/>
  <c r="QW5" i="6"/>
  <c r="QV5" i="6"/>
  <c r="QU5" i="6"/>
  <c r="QT5" i="6"/>
  <c r="QS5" i="6"/>
  <c r="QR5" i="6"/>
  <c r="QQ5" i="6"/>
  <c r="QP5" i="6"/>
  <c r="QO5" i="6"/>
  <c r="QN5" i="6"/>
  <c r="QM5" i="6"/>
  <c r="QL5" i="6"/>
  <c r="QK5" i="6"/>
  <c r="QJ5" i="6"/>
  <c r="QI5" i="6"/>
  <c r="QH5" i="6"/>
  <c r="QG5" i="6"/>
  <c r="QF5" i="6"/>
  <c r="QE5" i="6"/>
  <c r="QD5" i="6"/>
  <c r="QC5" i="6"/>
  <c r="QB5" i="6"/>
  <c r="QA5" i="6"/>
  <c r="PZ5" i="6"/>
  <c r="PY5" i="6"/>
  <c r="PX5" i="6"/>
  <c r="PW5" i="6"/>
  <c r="PV5" i="6"/>
  <c r="PU5" i="6"/>
  <c r="PT5" i="6"/>
  <c r="PS5" i="6"/>
  <c r="PR5" i="6"/>
  <c r="PQ5" i="6"/>
  <c r="PP5" i="6"/>
  <c r="PO5" i="6"/>
  <c r="PN5" i="6"/>
  <c r="PM5" i="6"/>
  <c r="PL5" i="6"/>
  <c r="RP4" i="6"/>
  <c r="RO4" i="6"/>
  <c r="RN4" i="6"/>
  <c r="RM4" i="6"/>
  <c r="RL4" i="6"/>
  <c r="RK4" i="6"/>
  <c r="RJ4" i="6"/>
  <c r="RI4" i="6"/>
  <c r="RH4" i="6"/>
  <c r="RG4" i="6"/>
  <c r="RF4" i="6"/>
  <c r="RE4" i="6"/>
  <c r="RD4" i="6"/>
  <c r="RC4" i="6"/>
  <c r="RB4" i="6"/>
  <c r="RA4" i="6"/>
  <c r="QZ4" i="6"/>
  <c r="QY4" i="6"/>
  <c r="QX4" i="6"/>
  <c r="QW4" i="6"/>
  <c r="QV4" i="6"/>
  <c r="QU4" i="6"/>
  <c r="QT4" i="6"/>
  <c r="QS4" i="6"/>
  <c r="QR4" i="6"/>
  <c r="QQ4" i="6"/>
  <c r="QP4" i="6"/>
  <c r="QO4" i="6"/>
  <c r="QN4" i="6"/>
  <c r="QM4" i="6"/>
  <c r="QL4" i="6"/>
  <c r="QK4" i="6"/>
  <c r="QJ4" i="6"/>
  <c r="QI4" i="6"/>
  <c r="QH4" i="6"/>
  <c r="QG4" i="6"/>
  <c r="QF4" i="6"/>
  <c r="QE4" i="6"/>
  <c r="QD4" i="6"/>
  <c r="QC4" i="6"/>
  <c r="QB4" i="6"/>
  <c r="QA4" i="6"/>
  <c r="PZ4" i="6"/>
  <c r="PY4" i="6"/>
  <c r="PX4" i="6"/>
  <c r="PW4" i="6"/>
  <c r="PV4" i="6"/>
  <c r="PU4" i="6"/>
  <c r="PT4" i="6"/>
  <c r="PS4" i="6"/>
  <c r="PR4" i="6"/>
  <c r="PQ4" i="6"/>
  <c r="PP4" i="6"/>
  <c r="PO4" i="6"/>
  <c r="PN4" i="6"/>
  <c r="PM4" i="6"/>
  <c r="PL4" i="6"/>
  <c r="BT42" i="2"/>
  <c r="BS42" i="2"/>
  <c r="BR42" i="2"/>
  <c r="BQ42" i="2"/>
  <c r="BP42" i="2"/>
  <c r="BO42" i="2"/>
  <c r="BN42" i="2"/>
  <c r="BM42" i="2"/>
  <c r="BL42" i="2"/>
  <c r="BK42" i="2"/>
  <c r="BJ42" i="2"/>
  <c r="BI42" i="2"/>
  <c r="BH42" i="2"/>
  <c r="BG42" i="2"/>
  <c r="BF42" i="2"/>
  <c r="BT41" i="2"/>
  <c r="BS41" i="2"/>
  <c r="BR41" i="2"/>
  <c r="BQ41" i="2"/>
  <c r="BP41" i="2"/>
  <c r="BO41" i="2"/>
  <c r="BN41" i="2"/>
  <c r="BM41" i="2"/>
  <c r="BL41" i="2"/>
  <c r="BK41" i="2"/>
  <c r="BJ41" i="2"/>
  <c r="BI41" i="2"/>
  <c r="BH41" i="2"/>
  <c r="BG41" i="2"/>
  <c r="BF41" i="2"/>
  <c r="BT40" i="2"/>
  <c r="BS40" i="2"/>
  <c r="BR40" i="2"/>
  <c r="BQ40" i="2"/>
  <c r="BP40" i="2"/>
  <c r="BO40" i="2"/>
  <c r="BN40" i="2"/>
  <c r="BM40" i="2"/>
  <c r="BL40" i="2"/>
  <c r="BK40" i="2"/>
  <c r="BJ40" i="2"/>
  <c r="BI40" i="2"/>
  <c r="BH40" i="2"/>
  <c r="BG40" i="2"/>
  <c r="BF40" i="2"/>
  <c r="BT39" i="2"/>
  <c r="BS39" i="2"/>
  <c r="BR39" i="2"/>
  <c r="BQ39" i="2"/>
  <c r="BP39" i="2"/>
  <c r="BO39" i="2"/>
  <c r="BN39" i="2"/>
  <c r="BM39" i="2"/>
  <c r="BL39" i="2"/>
  <c r="BK39" i="2"/>
  <c r="BJ39" i="2"/>
  <c r="BI39" i="2"/>
  <c r="BH39" i="2"/>
  <c r="BG39" i="2"/>
  <c r="BF39" i="2"/>
  <c r="BT38" i="2"/>
  <c r="BS38" i="2"/>
  <c r="BR38" i="2"/>
  <c r="BQ38" i="2"/>
  <c r="BP38" i="2"/>
  <c r="BO38" i="2"/>
  <c r="BN38" i="2"/>
  <c r="BM38" i="2"/>
  <c r="BL38" i="2"/>
  <c r="BK38" i="2"/>
  <c r="BJ38" i="2"/>
  <c r="BI38" i="2"/>
  <c r="BH38" i="2"/>
  <c r="BG38" i="2"/>
  <c r="BF38" i="2"/>
  <c r="BT37" i="2"/>
  <c r="BS37" i="2"/>
  <c r="BR37" i="2"/>
  <c r="BQ37" i="2"/>
  <c r="BP37" i="2"/>
  <c r="BO37" i="2"/>
  <c r="BN37" i="2"/>
  <c r="BM37" i="2"/>
  <c r="BL37" i="2"/>
  <c r="BK37" i="2"/>
  <c r="BJ37" i="2"/>
  <c r="BI37" i="2"/>
  <c r="BH37" i="2"/>
  <c r="BG37" i="2"/>
  <c r="BF37" i="2"/>
  <c r="BT36" i="2"/>
  <c r="BS36" i="2"/>
  <c r="BR36" i="2"/>
  <c r="BQ36" i="2"/>
  <c r="BP36" i="2"/>
  <c r="BO36" i="2"/>
  <c r="BN36" i="2"/>
  <c r="BM36" i="2"/>
  <c r="BL36" i="2"/>
  <c r="BK36" i="2"/>
  <c r="BJ36" i="2"/>
  <c r="BI36" i="2"/>
  <c r="BH36" i="2"/>
  <c r="BG36" i="2"/>
  <c r="BF36" i="2"/>
  <c r="BT35" i="2"/>
  <c r="BS35" i="2"/>
  <c r="BR35" i="2"/>
  <c r="BQ35" i="2"/>
  <c r="BP35" i="2"/>
  <c r="BO35" i="2"/>
  <c r="BN35" i="2"/>
  <c r="BM35" i="2"/>
  <c r="BL35" i="2"/>
  <c r="BK35" i="2"/>
  <c r="BJ35" i="2"/>
  <c r="BI35" i="2"/>
  <c r="BH35" i="2"/>
  <c r="BG35" i="2"/>
  <c r="BF35" i="2"/>
  <c r="BT34" i="2"/>
  <c r="BS34" i="2"/>
  <c r="BR34" i="2"/>
  <c r="BQ34" i="2"/>
  <c r="BP34" i="2"/>
  <c r="BO34" i="2"/>
  <c r="BN34" i="2"/>
  <c r="BM34" i="2"/>
  <c r="BL34" i="2"/>
  <c r="BK34" i="2"/>
  <c r="BJ34" i="2"/>
  <c r="BI34" i="2"/>
  <c r="BH34" i="2"/>
  <c r="BG34" i="2"/>
  <c r="BF34" i="2"/>
  <c r="BT33" i="2"/>
  <c r="BS33" i="2"/>
  <c r="BR33" i="2"/>
  <c r="BQ33" i="2"/>
  <c r="BP33" i="2"/>
  <c r="BO33" i="2"/>
  <c r="BN33" i="2"/>
  <c r="BM33" i="2"/>
  <c r="BL33" i="2"/>
  <c r="BK33" i="2"/>
  <c r="BJ33" i="2"/>
  <c r="BI33" i="2"/>
  <c r="BH33" i="2"/>
  <c r="BG33" i="2"/>
  <c r="BF33" i="2"/>
  <c r="BT32" i="2"/>
  <c r="BS32" i="2"/>
  <c r="BR32" i="2"/>
  <c r="BQ32" i="2"/>
  <c r="BP32" i="2"/>
  <c r="BO32" i="2"/>
  <c r="BN32" i="2"/>
  <c r="BM32" i="2"/>
  <c r="BL32" i="2"/>
  <c r="BK32" i="2"/>
  <c r="BJ32" i="2"/>
  <c r="BI32" i="2"/>
  <c r="BH32" i="2"/>
  <c r="BG32" i="2"/>
  <c r="BF32" i="2"/>
  <c r="BT31" i="2"/>
  <c r="BS31" i="2"/>
  <c r="BR31" i="2"/>
  <c r="BQ31" i="2"/>
  <c r="BP31" i="2"/>
  <c r="BO31" i="2"/>
  <c r="BN31" i="2"/>
  <c r="BM31" i="2"/>
  <c r="BL31" i="2"/>
  <c r="BK31" i="2"/>
  <c r="BJ31" i="2"/>
  <c r="BI31" i="2"/>
  <c r="BH31" i="2"/>
  <c r="BG31" i="2"/>
  <c r="BF31" i="2"/>
  <c r="BT30" i="2"/>
  <c r="BS30" i="2"/>
  <c r="BR30" i="2"/>
  <c r="BQ30" i="2"/>
  <c r="BP30" i="2"/>
  <c r="BO30" i="2"/>
  <c r="BN30" i="2"/>
  <c r="BM30" i="2"/>
  <c r="BL30" i="2"/>
  <c r="BK30" i="2"/>
  <c r="BJ30" i="2"/>
  <c r="BI30" i="2"/>
  <c r="BH30" i="2"/>
  <c r="BG30" i="2"/>
  <c r="BF30" i="2"/>
  <c r="BT29" i="2"/>
  <c r="BS29" i="2"/>
  <c r="BR29" i="2"/>
  <c r="BQ29" i="2"/>
  <c r="BP29" i="2"/>
  <c r="BO29" i="2"/>
  <c r="BN29" i="2"/>
  <c r="BM29" i="2"/>
  <c r="BL29" i="2"/>
  <c r="BK29" i="2"/>
  <c r="BJ29" i="2"/>
  <c r="BI29" i="2"/>
  <c r="BH29" i="2"/>
  <c r="BG29" i="2"/>
  <c r="BF29" i="2"/>
  <c r="BT28" i="2"/>
  <c r="BS28" i="2"/>
  <c r="BR28" i="2"/>
  <c r="BQ28" i="2"/>
  <c r="BP28" i="2"/>
  <c r="BO28" i="2"/>
  <c r="BN28" i="2"/>
  <c r="BM28" i="2"/>
  <c r="BL28" i="2"/>
  <c r="BK28" i="2"/>
  <c r="BJ28" i="2"/>
  <c r="BI28" i="2"/>
  <c r="BH28" i="2"/>
  <c r="BG28" i="2"/>
  <c r="BF28" i="2"/>
  <c r="BT27" i="2"/>
  <c r="BS27" i="2"/>
  <c r="BR27" i="2"/>
  <c r="BQ27" i="2"/>
  <c r="BP27" i="2"/>
  <c r="BO27" i="2"/>
  <c r="BN27" i="2"/>
  <c r="BM27" i="2"/>
  <c r="BL27" i="2"/>
  <c r="BK27" i="2"/>
  <c r="BJ27" i="2"/>
  <c r="BI27" i="2"/>
  <c r="BH27" i="2"/>
  <c r="BG27" i="2"/>
  <c r="BF27" i="2"/>
  <c r="BT26" i="2"/>
  <c r="BS26" i="2"/>
  <c r="BR26" i="2"/>
  <c r="BQ26" i="2"/>
  <c r="BP26" i="2"/>
  <c r="BO26" i="2"/>
  <c r="BN26" i="2"/>
  <c r="BM26" i="2"/>
  <c r="BL26" i="2"/>
  <c r="BK26" i="2"/>
  <c r="BJ26" i="2"/>
  <c r="BI26" i="2"/>
  <c r="BH26" i="2"/>
  <c r="BG26" i="2"/>
  <c r="BF26" i="2"/>
  <c r="BT25" i="2"/>
  <c r="BS25" i="2"/>
  <c r="BR25" i="2"/>
  <c r="BQ25" i="2"/>
  <c r="BP25" i="2"/>
  <c r="BO25" i="2"/>
  <c r="BN25" i="2"/>
  <c r="BM25" i="2"/>
  <c r="BL25" i="2"/>
  <c r="BK25" i="2"/>
  <c r="BJ25" i="2"/>
  <c r="BI25" i="2"/>
  <c r="BH25" i="2"/>
  <c r="BG25" i="2"/>
  <c r="BF25" i="2"/>
  <c r="BT24" i="2"/>
  <c r="BS24" i="2"/>
  <c r="BR24" i="2"/>
  <c r="BQ24" i="2"/>
  <c r="BP24" i="2"/>
  <c r="BO24" i="2"/>
  <c r="BN24" i="2"/>
  <c r="BM24" i="2"/>
  <c r="BL24" i="2"/>
  <c r="BK24" i="2"/>
  <c r="BJ24" i="2"/>
  <c r="BI24" i="2"/>
  <c r="BH24" i="2"/>
  <c r="BG24" i="2"/>
  <c r="BF24" i="2"/>
  <c r="BT23" i="2"/>
  <c r="BS23" i="2"/>
  <c r="BR23" i="2"/>
  <c r="BQ23" i="2"/>
  <c r="BP23" i="2"/>
  <c r="BO23" i="2"/>
  <c r="BN23" i="2"/>
  <c r="BM23" i="2"/>
  <c r="BL23" i="2"/>
  <c r="BK23" i="2"/>
  <c r="BJ23" i="2"/>
  <c r="BI23" i="2"/>
  <c r="BH23" i="2"/>
  <c r="BG23" i="2"/>
  <c r="BF23" i="2"/>
  <c r="BT22" i="2"/>
  <c r="BS22" i="2"/>
  <c r="BR22" i="2"/>
  <c r="BQ22" i="2"/>
  <c r="BP22" i="2"/>
  <c r="BO22" i="2"/>
  <c r="BN22" i="2"/>
  <c r="BM22" i="2"/>
  <c r="BL22" i="2"/>
  <c r="BK22" i="2"/>
  <c r="BJ22" i="2"/>
  <c r="BI22" i="2"/>
  <c r="BH22" i="2"/>
  <c r="BG22" i="2"/>
  <c r="BF22" i="2"/>
  <c r="BT21" i="2"/>
  <c r="BS21" i="2"/>
  <c r="BR21" i="2"/>
  <c r="BQ21" i="2"/>
  <c r="BP21" i="2"/>
  <c r="BO21" i="2"/>
  <c r="BN21" i="2"/>
  <c r="BM21" i="2"/>
  <c r="BL21" i="2"/>
  <c r="BK21" i="2"/>
  <c r="BJ21" i="2"/>
  <c r="BI21" i="2"/>
  <c r="BH21" i="2"/>
  <c r="BG21" i="2"/>
  <c r="BF21" i="2"/>
  <c r="BT20" i="2"/>
  <c r="BS20" i="2"/>
  <c r="BR20" i="2"/>
  <c r="BQ20" i="2"/>
  <c r="BP20" i="2"/>
  <c r="BO20" i="2"/>
  <c r="BN20" i="2"/>
  <c r="BM20" i="2"/>
  <c r="BL20" i="2"/>
  <c r="BK20" i="2"/>
  <c r="BJ20" i="2"/>
  <c r="BI20" i="2"/>
  <c r="BH20" i="2"/>
  <c r="BG20" i="2"/>
  <c r="BF20" i="2"/>
  <c r="BS19" i="2"/>
  <c r="BR19" i="2"/>
  <c r="BQ19" i="2"/>
  <c r="BP19" i="2"/>
  <c r="BO19" i="2"/>
  <c r="BN19" i="2"/>
  <c r="BM19" i="2"/>
  <c r="BL19" i="2"/>
  <c r="BK19" i="2"/>
  <c r="BJ19" i="2"/>
  <c r="BI19" i="2"/>
  <c r="BG19" i="2"/>
  <c r="BF19" i="2"/>
  <c r="BT18" i="2"/>
  <c r="BS18" i="2"/>
  <c r="BR18" i="2"/>
  <c r="BQ18" i="2"/>
  <c r="BP18" i="2"/>
  <c r="BO18" i="2"/>
  <c r="BN18" i="2"/>
  <c r="BM18" i="2"/>
  <c r="BL18" i="2"/>
  <c r="BK18" i="2"/>
  <c r="BJ18" i="2"/>
  <c r="BI18" i="2"/>
  <c r="BH18" i="2"/>
  <c r="BG18" i="2"/>
  <c r="BF18" i="2"/>
  <c r="BT17" i="2"/>
  <c r="BS17" i="2"/>
  <c r="BR17" i="2"/>
  <c r="BQ17" i="2"/>
  <c r="BP17" i="2"/>
  <c r="BO17" i="2"/>
  <c r="BN17" i="2"/>
  <c r="BM17" i="2"/>
  <c r="BL17" i="2"/>
  <c r="BK17" i="2"/>
  <c r="BJ17" i="2"/>
  <c r="BI17" i="2"/>
  <c r="BH17" i="2"/>
  <c r="BG17" i="2"/>
  <c r="BF17" i="2"/>
  <c r="BT16" i="2"/>
  <c r="BS16" i="2"/>
  <c r="BR16" i="2"/>
  <c r="BQ16" i="2"/>
  <c r="BP16" i="2"/>
  <c r="BO16" i="2"/>
  <c r="BN16" i="2"/>
  <c r="BM16" i="2"/>
  <c r="BL16" i="2"/>
  <c r="BK16" i="2"/>
  <c r="BJ16" i="2"/>
  <c r="BI16" i="2"/>
  <c r="BH16" i="2"/>
  <c r="BG16" i="2"/>
  <c r="BF16" i="2"/>
  <c r="BT15" i="2"/>
  <c r="BS15" i="2"/>
  <c r="BR15" i="2"/>
  <c r="BQ15" i="2"/>
  <c r="BP15" i="2"/>
  <c r="BO15" i="2"/>
  <c r="BN15" i="2"/>
  <c r="BM15" i="2"/>
  <c r="BL15" i="2"/>
  <c r="BK15" i="2"/>
  <c r="BJ15" i="2"/>
  <c r="BI15" i="2"/>
  <c r="BH15" i="2"/>
  <c r="BG15" i="2"/>
  <c r="BF15" i="2"/>
  <c r="BT14" i="2"/>
  <c r="BS14" i="2"/>
  <c r="BR14" i="2"/>
  <c r="BQ14" i="2"/>
  <c r="BP14" i="2"/>
  <c r="BO14" i="2"/>
  <c r="BN14" i="2"/>
  <c r="BM14" i="2"/>
  <c r="BL14" i="2"/>
  <c r="BK14" i="2"/>
  <c r="BJ14" i="2"/>
  <c r="BI14" i="2"/>
  <c r="BH14" i="2"/>
  <c r="BG14" i="2"/>
  <c r="BF14" i="2"/>
  <c r="BT13" i="2"/>
  <c r="BS13" i="2"/>
  <c r="BR13" i="2"/>
  <c r="BQ13" i="2"/>
  <c r="BP13" i="2"/>
  <c r="BO13" i="2"/>
  <c r="BN13" i="2"/>
  <c r="BM13" i="2"/>
  <c r="BL13" i="2"/>
  <c r="BK13" i="2"/>
  <c r="BJ13" i="2"/>
  <c r="BI13" i="2"/>
  <c r="BH13" i="2"/>
  <c r="BG13" i="2"/>
  <c r="BF13" i="2"/>
  <c r="BT12" i="2"/>
  <c r="BS12" i="2"/>
  <c r="BR12" i="2"/>
  <c r="BQ12" i="2"/>
  <c r="BP12" i="2"/>
  <c r="BO12" i="2"/>
  <c r="BN12" i="2"/>
  <c r="BM12" i="2"/>
  <c r="BL12" i="2"/>
  <c r="BK12" i="2"/>
  <c r="BJ12" i="2"/>
  <c r="BI12" i="2"/>
  <c r="BH12" i="2"/>
  <c r="BG12" i="2"/>
  <c r="BF12" i="2"/>
  <c r="BT11" i="2"/>
  <c r="BS11" i="2"/>
  <c r="BR11" i="2"/>
  <c r="BQ11" i="2"/>
  <c r="BP11" i="2"/>
  <c r="BO11" i="2"/>
  <c r="BN11" i="2"/>
  <c r="BM11" i="2"/>
  <c r="BL11" i="2"/>
  <c r="BK11" i="2"/>
  <c r="BJ11" i="2"/>
  <c r="BI11" i="2"/>
  <c r="BH11" i="2"/>
  <c r="BG11" i="2"/>
  <c r="BF11" i="2"/>
  <c r="BT10" i="2"/>
  <c r="BS10" i="2"/>
  <c r="BR10" i="2"/>
  <c r="BQ10" i="2"/>
  <c r="BP10" i="2"/>
  <c r="BO10" i="2"/>
  <c r="BN10" i="2"/>
  <c r="BM10" i="2"/>
  <c r="BK10" i="2"/>
  <c r="BJ10" i="2"/>
  <c r="BI10" i="2"/>
  <c r="BH10" i="2"/>
  <c r="BG10" i="2"/>
  <c r="BF10" i="2"/>
  <c r="AB23" i="26"/>
  <c r="K47" i="6"/>
  <c r="L85" i="6"/>
  <c r="K85" i="6"/>
  <c r="J85" i="6"/>
  <c r="I85" i="6"/>
  <c r="H85" i="6"/>
  <c r="G85" i="6"/>
  <c r="B85" i="6"/>
  <c r="L84" i="6"/>
  <c r="K84" i="6"/>
  <c r="J84" i="6"/>
  <c r="I84" i="6"/>
  <c r="H84" i="6"/>
  <c r="G84" i="6"/>
  <c r="B84" i="6"/>
  <c r="L83" i="6"/>
  <c r="K83" i="6"/>
  <c r="J83" i="6"/>
  <c r="I83" i="6"/>
  <c r="H83" i="6"/>
  <c r="G83" i="6"/>
  <c r="B83" i="6"/>
  <c r="L82" i="6"/>
  <c r="K82" i="6"/>
  <c r="J82" i="6"/>
  <c r="I82" i="6"/>
  <c r="H82" i="6"/>
  <c r="G82" i="6"/>
  <c r="B82" i="6"/>
  <c r="L81" i="6"/>
  <c r="K81" i="6"/>
  <c r="J81" i="6"/>
  <c r="I81" i="6"/>
  <c r="H81" i="6"/>
  <c r="G81" i="6"/>
  <c r="B81" i="6"/>
  <c r="L80" i="6"/>
  <c r="K80" i="6"/>
  <c r="J80" i="6"/>
  <c r="I80" i="6"/>
  <c r="H80" i="6"/>
  <c r="G80" i="6"/>
  <c r="B80" i="6"/>
  <c r="L79" i="6"/>
  <c r="K79" i="6"/>
  <c r="J79" i="6"/>
  <c r="I79" i="6"/>
  <c r="H79" i="6"/>
  <c r="G79" i="6"/>
  <c r="B79" i="6"/>
  <c r="L78" i="6"/>
  <c r="K78" i="6"/>
  <c r="J78" i="6"/>
  <c r="I78" i="6"/>
  <c r="H78" i="6"/>
  <c r="G78" i="6"/>
  <c r="B78" i="6"/>
  <c r="L77" i="6"/>
  <c r="K77" i="6"/>
  <c r="J77" i="6"/>
  <c r="I77" i="6"/>
  <c r="H77" i="6"/>
  <c r="G77" i="6"/>
  <c r="B77" i="6"/>
  <c r="L76" i="6"/>
  <c r="K76" i="6"/>
  <c r="J76" i="6"/>
  <c r="I76" i="6"/>
  <c r="H76" i="6"/>
  <c r="G76" i="6"/>
  <c r="B76" i="6"/>
  <c r="L75" i="6"/>
  <c r="K75" i="6"/>
  <c r="J75" i="6"/>
  <c r="I75" i="6"/>
  <c r="H75" i="6"/>
  <c r="G75" i="6"/>
  <c r="B75" i="6"/>
  <c r="L74" i="6"/>
  <c r="K74" i="6"/>
  <c r="J74" i="6"/>
  <c r="I74" i="6"/>
  <c r="H74" i="6"/>
  <c r="G74" i="6"/>
  <c r="B74" i="6"/>
  <c r="L73" i="6"/>
  <c r="K73" i="6"/>
  <c r="J73" i="6"/>
  <c r="I73" i="6"/>
  <c r="H73" i="6"/>
  <c r="G73" i="6"/>
  <c r="B73" i="6"/>
  <c r="L72" i="6"/>
  <c r="K72" i="6"/>
  <c r="J72" i="6"/>
  <c r="I72" i="6"/>
  <c r="H72" i="6"/>
  <c r="G72" i="6"/>
  <c r="B72" i="6"/>
  <c r="L71" i="6"/>
  <c r="K71" i="6"/>
  <c r="J71" i="6"/>
  <c r="I71" i="6"/>
  <c r="H71" i="6"/>
  <c r="G71" i="6"/>
  <c r="B71" i="6"/>
  <c r="L70" i="6"/>
  <c r="K70" i="6"/>
  <c r="J70" i="6"/>
  <c r="I70" i="6"/>
  <c r="H70" i="6"/>
  <c r="G70" i="6"/>
  <c r="B70" i="6"/>
  <c r="L69" i="6"/>
  <c r="K69" i="6"/>
  <c r="J69" i="6"/>
  <c r="I69" i="6"/>
  <c r="H69" i="6"/>
  <c r="G69" i="6"/>
  <c r="B69" i="6"/>
  <c r="L68" i="6"/>
  <c r="K68" i="6"/>
  <c r="J68" i="6"/>
  <c r="I68" i="6"/>
  <c r="H68" i="6"/>
  <c r="G68" i="6"/>
  <c r="B68" i="6"/>
  <c r="L67" i="6"/>
  <c r="K67" i="6"/>
  <c r="J67" i="6"/>
  <c r="I67" i="6"/>
  <c r="H67" i="6"/>
  <c r="G67" i="6"/>
  <c r="B67" i="6"/>
  <c r="L66" i="6"/>
  <c r="K66" i="6"/>
  <c r="J66" i="6"/>
  <c r="I66" i="6"/>
  <c r="H66" i="6"/>
  <c r="G66" i="6"/>
  <c r="B66" i="6"/>
  <c r="L65" i="6"/>
  <c r="K65" i="6"/>
  <c r="J65" i="6"/>
  <c r="I65" i="6"/>
  <c r="H65" i="6"/>
  <c r="G65" i="6"/>
  <c r="B65" i="6"/>
  <c r="L64" i="6"/>
  <c r="K64" i="6"/>
  <c r="J64" i="6"/>
  <c r="I64" i="6"/>
  <c r="H64" i="6"/>
  <c r="G64" i="6"/>
  <c r="B64" i="6"/>
  <c r="L63" i="6"/>
  <c r="K63" i="6"/>
  <c r="J63" i="6"/>
  <c r="I63" i="6"/>
  <c r="H63" i="6"/>
  <c r="G63" i="6"/>
  <c r="B63" i="6"/>
  <c r="L62" i="6"/>
  <c r="K62" i="6"/>
  <c r="J62" i="6"/>
  <c r="I62" i="6"/>
  <c r="H62" i="6"/>
  <c r="G62" i="6"/>
  <c r="B62" i="6"/>
  <c r="L61" i="6"/>
  <c r="K61" i="6"/>
  <c r="J61" i="6"/>
  <c r="I61" i="6"/>
  <c r="H61" i="6"/>
  <c r="G61" i="6"/>
  <c r="B61" i="6"/>
  <c r="L60" i="6"/>
  <c r="K60" i="6"/>
  <c r="J60" i="6"/>
  <c r="I60" i="6"/>
  <c r="H60" i="6"/>
  <c r="G60" i="6"/>
  <c r="B60" i="6"/>
  <c r="L59" i="6"/>
  <c r="K59" i="6"/>
  <c r="J59" i="6"/>
  <c r="I59" i="6"/>
  <c r="H59" i="6"/>
  <c r="G59" i="6"/>
  <c r="B59" i="6"/>
  <c r="L58" i="6"/>
  <c r="K58" i="6"/>
  <c r="J58" i="6"/>
  <c r="I58" i="6"/>
  <c r="H58" i="6"/>
  <c r="G58" i="6"/>
  <c r="B58" i="6"/>
  <c r="L57" i="6"/>
  <c r="K57" i="6"/>
  <c r="J57" i="6"/>
  <c r="I57" i="6"/>
  <c r="H57" i="6"/>
  <c r="G57" i="6"/>
  <c r="B57" i="6"/>
  <c r="L56" i="6"/>
  <c r="K56" i="6"/>
  <c r="J56" i="6"/>
  <c r="I56" i="6"/>
  <c r="H56" i="6"/>
  <c r="G56" i="6"/>
  <c r="B56" i="6"/>
  <c r="L55" i="6"/>
  <c r="K55" i="6"/>
  <c r="J55" i="6"/>
  <c r="I55" i="6"/>
  <c r="H55" i="6"/>
  <c r="G55" i="6"/>
  <c r="B55" i="6"/>
  <c r="K54" i="6"/>
  <c r="J54" i="6"/>
  <c r="I54" i="6"/>
  <c r="H54" i="6"/>
  <c r="G54" i="6"/>
  <c r="B54" i="6"/>
  <c r="L53" i="6"/>
  <c r="K53" i="6"/>
  <c r="J53" i="6"/>
  <c r="I53" i="6"/>
  <c r="H53" i="6"/>
  <c r="G53" i="6"/>
  <c r="B53" i="6"/>
  <c r="L52" i="6"/>
  <c r="K52" i="6"/>
  <c r="J52" i="6"/>
  <c r="I52" i="6"/>
  <c r="H52" i="6"/>
  <c r="G52" i="6"/>
  <c r="B52" i="6"/>
  <c r="L51" i="6"/>
  <c r="K51" i="6"/>
  <c r="J51" i="6"/>
  <c r="I51" i="6"/>
  <c r="H51" i="6"/>
  <c r="G51" i="6"/>
  <c r="B51" i="6"/>
  <c r="L50" i="6"/>
  <c r="K50" i="6"/>
  <c r="J50" i="6"/>
  <c r="I50" i="6"/>
  <c r="H50" i="6"/>
  <c r="G50" i="6"/>
  <c r="B50" i="6"/>
  <c r="L49" i="6"/>
  <c r="K49" i="6"/>
  <c r="J49" i="6"/>
  <c r="I49" i="6"/>
  <c r="H49" i="6"/>
  <c r="G49" i="6"/>
  <c r="B49" i="6"/>
  <c r="L48" i="6"/>
  <c r="K48" i="6"/>
  <c r="J48" i="6"/>
  <c r="I48" i="6"/>
  <c r="H48" i="6"/>
  <c r="G48" i="6"/>
  <c r="B48" i="6"/>
  <c r="L47" i="6"/>
  <c r="J47" i="6"/>
  <c r="I47" i="6"/>
  <c r="H47" i="6"/>
  <c r="G47" i="6"/>
  <c r="B47" i="6"/>
  <c r="B46" i="6"/>
  <c r="X85" i="6"/>
  <c r="X84" i="6"/>
  <c r="X83" i="6"/>
  <c r="X82" i="6"/>
  <c r="X81" i="6"/>
  <c r="X80" i="6"/>
  <c r="X79" i="6"/>
  <c r="X78" i="6"/>
  <c r="X77" i="6"/>
  <c r="X76" i="6"/>
  <c r="X75" i="6"/>
  <c r="X74" i="6"/>
  <c r="X73" i="6"/>
  <c r="X72" i="6"/>
  <c r="X71" i="6"/>
  <c r="X70" i="6"/>
  <c r="X69" i="6"/>
  <c r="X68" i="6"/>
  <c r="X67" i="6"/>
  <c r="X66" i="6"/>
  <c r="X65" i="6"/>
  <c r="X64" i="6"/>
  <c r="X63" i="6"/>
  <c r="X62" i="6"/>
  <c r="X61" i="6"/>
  <c r="X60" i="6"/>
  <c r="X59" i="6"/>
  <c r="X58" i="6"/>
  <c r="X57" i="6"/>
  <c r="X56" i="6"/>
  <c r="X55" i="6"/>
  <c r="X54" i="6"/>
  <c r="X53" i="6"/>
  <c r="L85" i="2"/>
  <c r="K85" i="2"/>
  <c r="J85" i="2"/>
  <c r="I85" i="2"/>
  <c r="H85" i="2"/>
  <c r="G85" i="2"/>
  <c r="B85" i="2"/>
  <c r="L84" i="2"/>
  <c r="K84" i="2"/>
  <c r="J84" i="2"/>
  <c r="I84" i="2"/>
  <c r="H84" i="2"/>
  <c r="G84" i="2"/>
  <c r="B84" i="2"/>
  <c r="L83" i="2"/>
  <c r="K83" i="2"/>
  <c r="J83" i="2"/>
  <c r="I83" i="2"/>
  <c r="H83" i="2"/>
  <c r="G83" i="2"/>
  <c r="B83" i="2"/>
  <c r="L82" i="2"/>
  <c r="K82" i="2"/>
  <c r="J82" i="2"/>
  <c r="I82" i="2"/>
  <c r="H82" i="2"/>
  <c r="G82" i="2"/>
  <c r="B82" i="2"/>
  <c r="L81" i="2"/>
  <c r="K81" i="2"/>
  <c r="J81" i="2"/>
  <c r="I81" i="2"/>
  <c r="H81" i="2"/>
  <c r="G81" i="2"/>
  <c r="B81" i="2"/>
  <c r="L80" i="2"/>
  <c r="K80" i="2"/>
  <c r="J80" i="2"/>
  <c r="I80" i="2"/>
  <c r="H80" i="2"/>
  <c r="G80" i="2"/>
  <c r="B80" i="2"/>
  <c r="L79" i="2"/>
  <c r="K79" i="2"/>
  <c r="J79" i="2"/>
  <c r="I79" i="2"/>
  <c r="H79" i="2"/>
  <c r="G79" i="2"/>
  <c r="B79" i="2"/>
  <c r="L78" i="2"/>
  <c r="K78" i="2"/>
  <c r="J78" i="2"/>
  <c r="I78" i="2"/>
  <c r="H78" i="2"/>
  <c r="G78" i="2"/>
  <c r="B78" i="2"/>
  <c r="L77" i="2"/>
  <c r="K77" i="2"/>
  <c r="J77" i="2"/>
  <c r="I77" i="2"/>
  <c r="H77" i="2"/>
  <c r="G77" i="2"/>
  <c r="B77" i="2"/>
  <c r="L76" i="2"/>
  <c r="K76" i="2"/>
  <c r="J76" i="2"/>
  <c r="I76" i="2"/>
  <c r="H76" i="2"/>
  <c r="G76" i="2"/>
  <c r="B76" i="2"/>
  <c r="L75" i="2"/>
  <c r="K75" i="2"/>
  <c r="J75" i="2"/>
  <c r="I75" i="2"/>
  <c r="H75" i="2"/>
  <c r="G75" i="2"/>
  <c r="B75" i="2"/>
  <c r="L74" i="2"/>
  <c r="K74" i="2"/>
  <c r="J74" i="2"/>
  <c r="I74" i="2"/>
  <c r="H74" i="2"/>
  <c r="G74" i="2"/>
  <c r="B74" i="2"/>
  <c r="L73" i="2"/>
  <c r="K73" i="2"/>
  <c r="J73" i="2"/>
  <c r="I73" i="2"/>
  <c r="H73" i="2"/>
  <c r="G73" i="2"/>
  <c r="B73" i="2"/>
  <c r="L72" i="2"/>
  <c r="K72" i="2"/>
  <c r="J72" i="2"/>
  <c r="I72" i="2"/>
  <c r="H72" i="2"/>
  <c r="G72" i="2"/>
  <c r="B72" i="2"/>
  <c r="L71" i="2"/>
  <c r="K71" i="2"/>
  <c r="J71" i="2"/>
  <c r="I71" i="2"/>
  <c r="H71" i="2"/>
  <c r="G71" i="2"/>
  <c r="B71" i="2"/>
  <c r="L70" i="2"/>
  <c r="K70" i="2"/>
  <c r="J70" i="2"/>
  <c r="I70" i="2"/>
  <c r="H70" i="2"/>
  <c r="G70" i="2"/>
  <c r="B70" i="2"/>
  <c r="L69" i="2"/>
  <c r="K69" i="2"/>
  <c r="J69" i="2"/>
  <c r="I69" i="2"/>
  <c r="H69" i="2"/>
  <c r="G69" i="2"/>
  <c r="B69" i="2"/>
  <c r="L68" i="2"/>
  <c r="K68" i="2"/>
  <c r="J68" i="2"/>
  <c r="I68" i="2"/>
  <c r="H68" i="2"/>
  <c r="G68" i="2"/>
  <c r="B68" i="2"/>
  <c r="L67" i="2"/>
  <c r="K67" i="2"/>
  <c r="J67" i="2"/>
  <c r="I67" i="2"/>
  <c r="H67" i="2"/>
  <c r="G67" i="2"/>
  <c r="B67" i="2"/>
  <c r="L66" i="2"/>
  <c r="K66" i="2"/>
  <c r="J66" i="2"/>
  <c r="I66" i="2"/>
  <c r="H66" i="2"/>
  <c r="G66" i="2"/>
  <c r="B66" i="2"/>
  <c r="L65" i="2"/>
  <c r="K65" i="2"/>
  <c r="J65" i="2"/>
  <c r="I65" i="2"/>
  <c r="H65" i="2"/>
  <c r="G65" i="2"/>
  <c r="B65" i="2"/>
  <c r="L64" i="2"/>
  <c r="K64" i="2"/>
  <c r="J64" i="2"/>
  <c r="I64" i="2"/>
  <c r="H64" i="2"/>
  <c r="G64" i="2"/>
  <c r="B64" i="2"/>
  <c r="L63" i="2"/>
  <c r="K63" i="2"/>
  <c r="J63" i="2"/>
  <c r="I63" i="2"/>
  <c r="H63" i="2"/>
  <c r="G63" i="2"/>
  <c r="B63" i="2"/>
  <c r="L62" i="2"/>
  <c r="K62" i="2"/>
  <c r="J62" i="2"/>
  <c r="I62" i="2"/>
  <c r="H62" i="2"/>
  <c r="G62" i="2"/>
  <c r="B62" i="2"/>
  <c r="L61" i="2"/>
  <c r="K61" i="2"/>
  <c r="J61" i="2"/>
  <c r="I61" i="2"/>
  <c r="H61" i="2"/>
  <c r="G61" i="2"/>
  <c r="B61" i="2"/>
  <c r="L60" i="2"/>
  <c r="K60" i="2"/>
  <c r="J60" i="2"/>
  <c r="I60" i="2"/>
  <c r="H60" i="2"/>
  <c r="G60" i="2"/>
  <c r="B60" i="2"/>
  <c r="L59" i="2"/>
  <c r="K59" i="2"/>
  <c r="J59" i="2"/>
  <c r="I59" i="2"/>
  <c r="H59" i="2"/>
  <c r="G59" i="2"/>
  <c r="B59" i="2"/>
  <c r="L58" i="2"/>
  <c r="K58" i="2"/>
  <c r="J58" i="2"/>
  <c r="I58" i="2"/>
  <c r="H58" i="2"/>
  <c r="G58" i="2"/>
  <c r="B58" i="2"/>
  <c r="L57" i="2"/>
  <c r="K57" i="2"/>
  <c r="J57" i="2"/>
  <c r="I57" i="2"/>
  <c r="H57" i="2"/>
  <c r="G57" i="2"/>
  <c r="B57" i="2"/>
  <c r="L56" i="2"/>
  <c r="K56" i="2"/>
  <c r="J56" i="2"/>
  <c r="I56" i="2"/>
  <c r="H56" i="2"/>
  <c r="G56" i="2"/>
  <c r="B56" i="2"/>
  <c r="K55" i="2"/>
  <c r="J55" i="2"/>
  <c r="I55" i="2"/>
  <c r="H55" i="2"/>
  <c r="G55" i="2"/>
  <c r="B55" i="2"/>
  <c r="L54" i="2"/>
  <c r="K54" i="2"/>
  <c r="J54" i="2"/>
  <c r="I54" i="2"/>
  <c r="H54" i="2"/>
  <c r="G54" i="2"/>
  <c r="B54" i="2"/>
  <c r="L53" i="2"/>
  <c r="K53" i="2"/>
  <c r="J53" i="2"/>
  <c r="I53" i="2"/>
  <c r="H53" i="2"/>
  <c r="G53" i="2"/>
  <c r="B53" i="2"/>
  <c r="L52" i="2"/>
  <c r="K52" i="2"/>
  <c r="J52" i="2"/>
  <c r="I52" i="2"/>
  <c r="H52" i="2"/>
  <c r="G52" i="2"/>
  <c r="B52" i="2"/>
  <c r="L51" i="2"/>
  <c r="K51" i="2"/>
  <c r="J51" i="2"/>
  <c r="I51" i="2"/>
  <c r="H51" i="2"/>
  <c r="G51" i="2"/>
  <c r="B51" i="2"/>
  <c r="L50" i="2"/>
  <c r="K50" i="2"/>
  <c r="J50" i="2"/>
  <c r="I50" i="2"/>
  <c r="H50" i="2"/>
  <c r="G50" i="2"/>
  <c r="B50" i="2"/>
  <c r="L49" i="2"/>
  <c r="K49" i="2"/>
  <c r="J49" i="2"/>
  <c r="I49" i="2"/>
  <c r="H49" i="2"/>
  <c r="G49" i="2"/>
  <c r="B49" i="2"/>
  <c r="L48" i="2"/>
  <c r="K48" i="2"/>
  <c r="J48" i="2"/>
  <c r="I48" i="2"/>
  <c r="H48" i="2"/>
  <c r="G48" i="2"/>
  <c r="B48" i="2"/>
  <c r="K47" i="2"/>
  <c r="J47" i="2"/>
  <c r="I47" i="2"/>
  <c r="H47" i="2"/>
  <c r="B47" i="2"/>
  <c r="L46" i="2"/>
  <c r="K46" i="2"/>
  <c r="J46" i="2"/>
  <c r="I46" i="2"/>
  <c r="H46" i="2"/>
  <c r="G46" i="2"/>
  <c r="F46" i="2"/>
  <c r="E46" i="2"/>
  <c r="D46" i="2"/>
  <c r="C46" i="2"/>
  <c r="B46" i="2"/>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47" i="6"/>
  <c r="N46" i="6"/>
  <c r="O46" i="6"/>
  <c r="P46" i="6"/>
  <c r="Q46" i="6"/>
  <c r="R46" i="6"/>
  <c r="S46" i="6"/>
  <c r="T46" i="6"/>
  <c r="U46" i="6"/>
  <c r="V46" i="6"/>
  <c r="W46" i="6"/>
  <c r="M46" i="6"/>
  <c r="AA22" i="26"/>
  <c r="Y19" i="26"/>
  <c r="AA14" i="26"/>
  <c r="AA16" i="26"/>
  <c r="AB18" i="26"/>
  <c r="Y12" i="26"/>
  <c r="M8" i="17"/>
  <c r="Z22" i="26"/>
  <c r="Y22" i="26"/>
  <c r="AA20" i="26"/>
  <c r="AB19" i="26"/>
  <c r="AC19" i="26"/>
  <c r="Z19" i="26"/>
  <c r="AB17" i="26"/>
  <c r="AC17" i="26"/>
  <c r="AD17" i="26"/>
  <c r="Z13" i="26"/>
  <c r="AB12" i="26"/>
  <c r="Z12" i="26"/>
  <c r="AA11" i="26"/>
  <c r="Z11" i="26"/>
  <c r="R48" i="6"/>
  <c r="S48" i="6"/>
  <c r="T48" i="6"/>
  <c r="U48" i="6"/>
  <c r="V48" i="6"/>
  <c r="W48" i="6"/>
  <c r="R49" i="6"/>
  <c r="S49" i="6"/>
  <c r="T49" i="6"/>
  <c r="U49" i="6"/>
  <c r="V49" i="6"/>
  <c r="W49" i="6"/>
  <c r="R50" i="6"/>
  <c r="S50" i="6"/>
  <c r="T50" i="6"/>
  <c r="U50" i="6"/>
  <c r="V50" i="6"/>
  <c r="W50" i="6"/>
  <c r="R51" i="6"/>
  <c r="S51" i="6"/>
  <c r="T51" i="6"/>
  <c r="U51" i="6"/>
  <c r="V51" i="6"/>
  <c r="W51" i="6"/>
  <c r="R52" i="6"/>
  <c r="S52" i="6"/>
  <c r="T52" i="6"/>
  <c r="U52" i="6"/>
  <c r="V52" i="6"/>
  <c r="W52" i="6"/>
  <c r="R53" i="6"/>
  <c r="S53" i="6"/>
  <c r="T53" i="6"/>
  <c r="U53" i="6"/>
  <c r="V53" i="6"/>
  <c r="W53" i="6"/>
  <c r="R54" i="6"/>
  <c r="S54" i="6"/>
  <c r="T54" i="6"/>
  <c r="U54" i="6"/>
  <c r="V54" i="6"/>
  <c r="W54" i="6"/>
  <c r="R55" i="6"/>
  <c r="S55" i="6"/>
  <c r="T55" i="6"/>
  <c r="U55" i="6"/>
  <c r="V55" i="6"/>
  <c r="W55" i="6"/>
  <c r="R56" i="6"/>
  <c r="S56" i="6"/>
  <c r="T56" i="6"/>
  <c r="U56" i="6"/>
  <c r="V56" i="6"/>
  <c r="W56" i="6"/>
  <c r="R57" i="6"/>
  <c r="S57" i="6"/>
  <c r="T57" i="6"/>
  <c r="U57" i="6"/>
  <c r="V57" i="6"/>
  <c r="W57" i="6"/>
  <c r="R58" i="6"/>
  <c r="S58" i="6"/>
  <c r="T58" i="6"/>
  <c r="U58" i="6"/>
  <c r="V58" i="6"/>
  <c r="W58" i="6"/>
  <c r="R59" i="6"/>
  <c r="S59" i="6"/>
  <c r="T59" i="6"/>
  <c r="U59" i="6"/>
  <c r="V59" i="6"/>
  <c r="W59" i="6"/>
  <c r="R60" i="6"/>
  <c r="S60" i="6"/>
  <c r="T60" i="6"/>
  <c r="U60" i="6"/>
  <c r="V60" i="6"/>
  <c r="W60" i="6"/>
  <c r="R61" i="6"/>
  <c r="S61" i="6"/>
  <c r="T61" i="6"/>
  <c r="U61" i="6"/>
  <c r="V61" i="6"/>
  <c r="W61" i="6"/>
  <c r="R62" i="6"/>
  <c r="S62" i="6"/>
  <c r="T62" i="6"/>
  <c r="U62" i="6"/>
  <c r="V62" i="6"/>
  <c r="W62" i="6"/>
  <c r="R63" i="6"/>
  <c r="S63" i="6"/>
  <c r="T63" i="6"/>
  <c r="U63" i="6"/>
  <c r="V63" i="6"/>
  <c r="W63" i="6"/>
  <c r="R64" i="6"/>
  <c r="S64" i="6"/>
  <c r="T64" i="6"/>
  <c r="U64" i="6"/>
  <c r="V64" i="6"/>
  <c r="W64" i="6"/>
  <c r="R65" i="6"/>
  <c r="S65" i="6"/>
  <c r="T65" i="6"/>
  <c r="U65" i="6"/>
  <c r="V65" i="6"/>
  <c r="W65" i="6"/>
  <c r="R66" i="6"/>
  <c r="S66" i="6"/>
  <c r="T66" i="6"/>
  <c r="U66" i="6"/>
  <c r="V66" i="6"/>
  <c r="W66" i="6"/>
  <c r="R67" i="6"/>
  <c r="S67" i="6"/>
  <c r="T67" i="6"/>
  <c r="U67" i="6"/>
  <c r="V67" i="6"/>
  <c r="W67" i="6"/>
  <c r="R68" i="6"/>
  <c r="S68" i="6"/>
  <c r="T68" i="6"/>
  <c r="U68" i="6"/>
  <c r="V68" i="6"/>
  <c r="W68" i="6"/>
  <c r="R69" i="6"/>
  <c r="S69" i="6"/>
  <c r="T69" i="6"/>
  <c r="U69" i="6"/>
  <c r="V69" i="6"/>
  <c r="W69" i="6"/>
  <c r="R70" i="6"/>
  <c r="S70" i="6"/>
  <c r="T70" i="6"/>
  <c r="U70" i="6"/>
  <c r="V70" i="6"/>
  <c r="W70" i="6"/>
  <c r="R71" i="6"/>
  <c r="S71" i="6"/>
  <c r="T71" i="6"/>
  <c r="U71" i="6"/>
  <c r="V71" i="6"/>
  <c r="W71" i="6"/>
  <c r="R72" i="6"/>
  <c r="S72" i="6"/>
  <c r="T72" i="6"/>
  <c r="U72" i="6"/>
  <c r="V72" i="6"/>
  <c r="W72" i="6"/>
  <c r="R73" i="6"/>
  <c r="S73" i="6"/>
  <c r="T73" i="6"/>
  <c r="U73" i="6"/>
  <c r="V73" i="6"/>
  <c r="W73" i="6"/>
  <c r="R74" i="6"/>
  <c r="S74" i="6"/>
  <c r="T74" i="6"/>
  <c r="U74" i="6"/>
  <c r="V74" i="6"/>
  <c r="W74" i="6"/>
  <c r="R75" i="6"/>
  <c r="S75" i="6"/>
  <c r="T75" i="6"/>
  <c r="U75" i="6"/>
  <c r="V75" i="6"/>
  <c r="W75" i="6"/>
  <c r="R76" i="6"/>
  <c r="S76" i="6"/>
  <c r="T76" i="6"/>
  <c r="U76" i="6"/>
  <c r="V76" i="6"/>
  <c r="W76" i="6"/>
  <c r="R77" i="6"/>
  <c r="S77" i="6"/>
  <c r="T77" i="6"/>
  <c r="U77" i="6"/>
  <c r="V77" i="6"/>
  <c r="W77" i="6"/>
  <c r="R78" i="6"/>
  <c r="S78" i="6"/>
  <c r="T78" i="6"/>
  <c r="U78" i="6"/>
  <c r="V78" i="6"/>
  <c r="W78" i="6"/>
  <c r="R79" i="6"/>
  <c r="S79" i="6"/>
  <c r="T79" i="6"/>
  <c r="U79" i="6"/>
  <c r="V79" i="6"/>
  <c r="W79" i="6"/>
  <c r="R80" i="6"/>
  <c r="S80" i="6"/>
  <c r="T80" i="6"/>
  <c r="U80" i="6"/>
  <c r="V80" i="6"/>
  <c r="W80" i="6"/>
  <c r="R81" i="6"/>
  <c r="S81" i="6"/>
  <c r="T81" i="6"/>
  <c r="U81" i="6"/>
  <c r="V81" i="6"/>
  <c r="W81" i="6"/>
  <c r="R82" i="6"/>
  <c r="S82" i="6"/>
  <c r="T82" i="6"/>
  <c r="U82" i="6"/>
  <c r="V82" i="6"/>
  <c r="W82" i="6"/>
  <c r="R83" i="6"/>
  <c r="S83" i="6"/>
  <c r="T83" i="6"/>
  <c r="U83" i="6"/>
  <c r="V83" i="6"/>
  <c r="W83" i="6"/>
  <c r="R84" i="6"/>
  <c r="S84" i="6"/>
  <c r="T84" i="6"/>
  <c r="U84" i="6"/>
  <c r="V84" i="6"/>
  <c r="W84" i="6"/>
  <c r="R85" i="6"/>
  <c r="S85" i="6"/>
  <c r="T85" i="6"/>
  <c r="U85" i="6"/>
  <c r="V85" i="6"/>
  <c r="W85" i="6"/>
  <c r="S47" i="6"/>
  <c r="T47" i="6"/>
  <c r="U47" i="6"/>
  <c r="V47" i="6"/>
  <c r="W47" i="6"/>
  <c r="R47" i="6"/>
  <c r="Y20" i="26"/>
  <c r="AA19" i="26"/>
  <c r="AC18" i="26"/>
  <c r="AD18" i="26"/>
  <c r="AA17" i="26"/>
  <c r="AA15" i="26"/>
  <c r="AB15" i="26"/>
  <c r="AC15" i="26"/>
  <c r="AD15" i="26"/>
  <c r="Y15" i="26"/>
  <c r="Y13" i="26"/>
  <c r="AA12" i="26"/>
  <c r="Y17" i="26"/>
  <c r="AC12" i="26"/>
  <c r="AD12" i="26"/>
  <c r="AD19" i="26"/>
  <c r="AB20" i="26"/>
  <c r="AD20" i="26"/>
  <c r="AB14" i="26"/>
  <c r="AC14" i="26"/>
  <c r="AA13" i="26"/>
  <c r="Z15" i="26"/>
  <c r="Z18" i="26"/>
  <c r="AA18" i="26"/>
  <c r="Z20" i="26"/>
  <c r="Y31" i="26"/>
  <c r="Y32" i="26"/>
  <c r="Y33" i="26"/>
  <c r="Y30" i="26"/>
  <c r="M8" i="26"/>
  <c r="B8" i="26"/>
  <c r="C1001" i="8"/>
  <c r="D1001" i="8"/>
  <c r="E1001" i="8"/>
  <c r="F1001" i="8"/>
  <c r="G1001" i="8"/>
  <c r="H1001" i="8"/>
  <c r="I1001" i="8"/>
  <c r="J1001" i="8"/>
  <c r="K1001" i="8"/>
  <c r="B1001" i="8"/>
  <c r="C1001" i="1"/>
  <c r="D1001" i="1"/>
  <c r="E1001" i="1"/>
  <c r="F1001" i="1"/>
  <c r="G1001" i="1"/>
  <c r="H1001" i="1"/>
  <c r="I1001" i="1"/>
  <c r="J1001" i="1"/>
  <c r="K1001" i="1"/>
  <c r="B1001" i="1"/>
  <c r="K1036" i="22"/>
  <c r="J1036" i="22"/>
  <c r="I1036" i="22"/>
  <c r="H1036" i="22"/>
  <c r="G1036" i="22"/>
  <c r="F1036" i="22"/>
  <c r="E1036" i="22"/>
  <c r="D1036" i="22"/>
  <c r="C1036" i="22"/>
  <c r="B1036" i="22"/>
  <c r="A1036" i="22"/>
  <c r="K1035" i="22"/>
  <c r="J1035" i="22"/>
  <c r="I1035" i="22"/>
  <c r="H1035" i="22"/>
  <c r="G1035" i="22"/>
  <c r="F1035" i="22"/>
  <c r="E1035" i="22"/>
  <c r="D1035" i="22"/>
  <c r="C1035" i="22"/>
  <c r="B1035" i="22"/>
  <c r="A1035" i="22"/>
  <c r="K1034" i="22"/>
  <c r="J1034" i="22"/>
  <c r="I1034" i="22"/>
  <c r="H1034" i="22"/>
  <c r="G1034" i="22"/>
  <c r="F1034" i="22"/>
  <c r="E1034" i="22"/>
  <c r="D1034" i="22"/>
  <c r="C1034" i="22"/>
  <c r="B1034" i="22"/>
  <c r="A1034" i="22"/>
  <c r="K1033" i="22"/>
  <c r="J1033" i="22"/>
  <c r="I1033" i="22"/>
  <c r="H1033" i="22"/>
  <c r="G1033" i="22"/>
  <c r="F1033" i="22"/>
  <c r="E1033" i="22"/>
  <c r="D1033" i="22"/>
  <c r="C1033" i="22"/>
  <c r="B1033" i="22"/>
  <c r="A1033" i="22"/>
  <c r="K1032" i="22"/>
  <c r="J1032" i="22"/>
  <c r="I1032" i="22"/>
  <c r="H1032" i="22"/>
  <c r="G1032" i="22"/>
  <c r="F1032" i="22"/>
  <c r="E1032" i="22"/>
  <c r="D1032" i="22"/>
  <c r="C1032" i="22"/>
  <c r="B1032" i="22"/>
  <c r="A1032" i="22"/>
  <c r="K1031" i="22"/>
  <c r="J1031" i="22"/>
  <c r="I1031" i="22"/>
  <c r="H1031" i="22"/>
  <c r="G1031" i="22"/>
  <c r="F1031" i="22"/>
  <c r="E1031" i="22"/>
  <c r="D1031" i="22"/>
  <c r="C1031" i="22"/>
  <c r="B1031" i="22"/>
  <c r="A1031" i="22"/>
  <c r="K1030" i="22"/>
  <c r="J1030" i="22"/>
  <c r="I1030" i="22"/>
  <c r="H1030" i="22"/>
  <c r="G1030" i="22"/>
  <c r="F1030" i="22"/>
  <c r="E1030" i="22"/>
  <c r="D1030" i="22"/>
  <c r="C1030" i="22"/>
  <c r="B1030" i="22"/>
  <c r="A1030" i="22"/>
  <c r="K1029" i="22"/>
  <c r="J1029" i="22"/>
  <c r="I1029" i="22"/>
  <c r="H1029" i="22"/>
  <c r="G1029" i="22"/>
  <c r="F1029" i="22"/>
  <c r="E1029" i="22"/>
  <c r="D1029" i="22"/>
  <c r="C1029" i="22"/>
  <c r="B1029" i="22"/>
  <c r="A1029" i="22"/>
  <c r="K1028" i="22"/>
  <c r="J1028" i="22"/>
  <c r="I1028" i="22"/>
  <c r="H1028" i="22"/>
  <c r="G1028" i="22"/>
  <c r="F1028" i="22"/>
  <c r="E1028" i="22"/>
  <c r="D1028" i="22"/>
  <c r="C1028" i="22"/>
  <c r="B1028" i="22"/>
  <c r="A1028" i="22"/>
  <c r="P1027" i="22"/>
  <c r="K1027" i="22"/>
  <c r="J1027" i="22"/>
  <c r="I1027" i="22"/>
  <c r="H1027" i="22"/>
  <c r="G1027" i="22"/>
  <c r="F1027" i="22"/>
  <c r="E1027" i="22"/>
  <c r="D1027" i="22"/>
  <c r="C1027" i="22"/>
  <c r="B1027" i="22"/>
  <c r="A1027" i="22"/>
  <c r="K1026" i="22"/>
  <c r="J1026" i="22"/>
  <c r="I1026" i="22"/>
  <c r="H1026" i="22"/>
  <c r="G1026" i="22"/>
  <c r="F1026" i="22"/>
  <c r="E1026" i="22"/>
  <c r="D1026" i="22"/>
  <c r="C1026" i="22"/>
  <c r="B1026" i="22"/>
  <c r="A1026" i="22"/>
  <c r="K1025" i="22"/>
  <c r="J1025" i="22"/>
  <c r="I1025" i="22"/>
  <c r="H1025" i="22"/>
  <c r="G1025" i="22"/>
  <c r="F1025" i="22"/>
  <c r="E1025" i="22"/>
  <c r="D1025" i="22"/>
  <c r="C1025" i="22"/>
  <c r="B1025" i="22"/>
  <c r="A1025" i="22"/>
  <c r="K1024" i="22"/>
  <c r="J1024" i="22"/>
  <c r="I1024" i="22"/>
  <c r="H1024" i="22"/>
  <c r="G1024" i="22"/>
  <c r="F1024" i="22"/>
  <c r="E1024" i="22"/>
  <c r="D1024" i="22"/>
  <c r="C1024" i="22"/>
  <c r="B1024" i="22"/>
  <c r="K1023" i="22"/>
  <c r="J1023" i="22"/>
  <c r="I1023" i="22"/>
  <c r="H1023" i="22"/>
  <c r="G1023" i="22"/>
  <c r="F1023" i="22"/>
  <c r="E1023" i="22"/>
  <c r="D1023" i="22"/>
  <c r="C1023" i="22"/>
  <c r="B1023" i="22"/>
  <c r="K1022" i="22"/>
  <c r="J1022" i="22"/>
  <c r="I1022" i="22"/>
  <c r="H1022" i="22"/>
  <c r="G1022" i="22"/>
  <c r="F1022" i="22"/>
  <c r="E1022" i="22"/>
  <c r="D1022" i="22"/>
  <c r="C1022" i="22"/>
  <c r="B1022" i="22"/>
  <c r="K1021" i="22"/>
  <c r="J1021" i="22"/>
  <c r="I1021" i="22"/>
  <c r="H1021" i="22"/>
  <c r="G1021" i="22"/>
  <c r="F1021" i="22"/>
  <c r="E1021" i="22"/>
  <c r="D1021" i="22"/>
  <c r="C1021" i="22"/>
  <c r="B1021" i="22"/>
  <c r="K1020" i="22"/>
  <c r="J1020" i="22"/>
  <c r="I1020" i="22"/>
  <c r="H1020" i="22"/>
  <c r="G1020" i="22"/>
  <c r="F1020" i="22"/>
  <c r="E1020" i="22"/>
  <c r="D1020" i="22"/>
  <c r="C1020" i="22"/>
  <c r="B1020" i="22"/>
  <c r="K1019" i="22"/>
  <c r="J1019" i="22"/>
  <c r="I1019" i="22"/>
  <c r="H1019" i="22"/>
  <c r="G1019" i="22"/>
  <c r="F1019" i="22"/>
  <c r="E1019" i="22"/>
  <c r="D1019" i="22"/>
  <c r="C1019" i="22"/>
  <c r="B1019" i="22"/>
  <c r="K1018" i="22"/>
  <c r="J1018" i="22"/>
  <c r="I1018" i="22"/>
  <c r="H1018" i="22"/>
  <c r="G1018" i="22"/>
  <c r="F1018" i="22"/>
  <c r="E1018" i="22"/>
  <c r="D1018" i="22"/>
  <c r="C1018" i="22"/>
  <c r="B1018" i="22"/>
  <c r="K1017" i="22"/>
  <c r="J1017" i="22"/>
  <c r="I1017" i="22"/>
  <c r="H1017" i="22"/>
  <c r="G1017" i="22"/>
  <c r="F1017" i="22"/>
  <c r="E1017" i="22"/>
  <c r="D1017" i="22"/>
  <c r="C1017" i="22"/>
  <c r="B1017" i="22"/>
  <c r="K1016" i="22"/>
  <c r="J1016" i="22"/>
  <c r="I1016" i="22"/>
  <c r="H1016" i="22"/>
  <c r="G1016" i="22"/>
  <c r="F1016" i="22"/>
  <c r="E1016" i="22"/>
  <c r="D1016" i="22"/>
  <c r="C1016" i="22"/>
  <c r="B1016" i="22"/>
  <c r="K1015" i="22"/>
  <c r="J1015" i="22"/>
  <c r="I1015" i="22"/>
  <c r="H1015" i="22"/>
  <c r="G1015" i="22"/>
  <c r="F1015" i="22"/>
  <c r="E1015" i="22"/>
  <c r="D1015" i="22"/>
  <c r="C1015" i="22"/>
  <c r="B1015" i="22"/>
  <c r="K1014" i="22"/>
  <c r="J1014" i="22"/>
  <c r="I1014" i="22"/>
  <c r="H1014" i="22"/>
  <c r="G1014" i="22"/>
  <c r="F1014" i="22"/>
  <c r="E1014" i="22"/>
  <c r="D1014" i="22"/>
  <c r="C1014" i="22"/>
  <c r="B1014" i="22"/>
  <c r="K1013" i="22"/>
  <c r="J1013" i="22"/>
  <c r="I1013" i="22"/>
  <c r="H1013" i="22"/>
  <c r="G1013" i="22"/>
  <c r="F1013" i="22"/>
  <c r="E1013" i="22"/>
  <c r="D1013" i="22"/>
  <c r="C1013" i="22"/>
  <c r="B1013" i="22"/>
  <c r="K1012" i="22"/>
  <c r="J1012" i="22"/>
  <c r="I1012" i="22"/>
  <c r="H1012" i="22"/>
  <c r="G1012" i="22"/>
  <c r="F1012" i="22"/>
  <c r="E1012" i="22"/>
  <c r="D1012" i="22"/>
  <c r="C1012" i="22"/>
  <c r="B1012" i="22"/>
  <c r="K1011" i="22"/>
  <c r="J1011" i="22"/>
  <c r="I1011" i="22"/>
  <c r="H1011" i="22"/>
  <c r="G1011" i="22"/>
  <c r="F1011" i="22"/>
  <c r="E1011" i="22"/>
  <c r="D1011" i="22"/>
  <c r="C1011" i="22"/>
  <c r="B1011" i="22"/>
  <c r="K1009" i="22"/>
  <c r="J1009" i="22"/>
  <c r="I1009" i="22"/>
  <c r="H1009" i="22"/>
  <c r="G1009" i="22"/>
  <c r="F1009" i="22"/>
  <c r="E1009" i="22"/>
  <c r="D1009" i="22"/>
  <c r="C1009" i="22"/>
  <c r="B1009" i="22"/>
  <c r="K1008" i="22"/>
  <c r="J1008" i="22"/>
  <c r="I1008" i="22"/>
  <c r="H1008" i="22"/>
  <c r="G1008" i="22"/>
  <c r="F1008" i="22"/>
  <c r="E1008" i="22"/>
  <c r="D1008" i="22"/>
  <c r="C1008" i="22"/>
  <c r="B1008" i="22"/>
  <c r="K1007" i="22"/>
  <c r="J1007" i="22"/>
  <c r="I1007" i="22"/>
  <c r="H1007" i="22"/>
  <c r="G1007" i="22"/>
  <c r="F1007" i="22"/>
  <c r="E1007" i="22"/>
  <c r="D1007" i="22"/>
  <c r="C1007" i="22"/>
  <c r="B1007" i="22"/>
  <c r="K1006" i="22"/>
  <c r="J1006" i="22"/>
  <c r="I1006" i="22"/>
  <c r="H1006" i="22"/>
  <c r="G1006" i="22"/>
  <c r="F1006" i="22"/>
  <c r="E1006" i="22"/>
  <c r="D1006" i="22"/>
  <c r="C1006" i="22"/>
  <c r="B1006" i="22"/>
  <c r="K1005" i="22"/>
  <c r="J1005" i="22"/>
  <c r="I1005" i="22"/>
  <c r="H1005" i="22"/>
  <c r="G1005" i="22"/>
  <c r="F1005" i="22"/>
  <c r="E1005" i="22"/>
  <c r="D1005" i="22"/>
  <c r="C1005" i="22"/>
  <c r="B1005" i="22"/>
  <c r="K1004" i="22"/>
  <c r="J1004" i="22"/>
  <c r="I1004" i="22"/>
  <c r="H1004" i="22"/>
  <c r="G1004" i="22"/>
  <c r="F1004" i="22"/>
  <c r="E1004" i="22"/>
  <c r="D1004" i="22"/>
  <c r="C1004" i="22"/>
  <c r="B1004" i="22"/>
  <c r="K1003" i="22"/>
  <c r="J1003" i="22"/>
  <c r="I1003" i="22"/>
  <c r="H1003" i="22"/>
  <c r="G1003" i="22"/>
  <c r="F1003" i="22"/>
  <c r="E1003" i="22"/>
  <c r="D1003" i="22"/>
  <c r="C1003" i="22"/>
  <c r="B1003" i="22"/>
  <c r="Q1002" i="22"/>
  <c r="P1002" i="22"/>
  <c r="K1002" i="22"/>
  <c r="J1002" i="22"/>
  <c r="I1002" i="22"/>
  <c r="H1002" i="22"/>
  <c r="G1002" i="22"/>
  <c r="F1002" i="22"/>
  <c r="E1002" i="22"/>
  <c r="D1002" i="22"/>
  <c r="C1002" i="22"/>
  <c r="B1002" i="22"/>
  <c r="B999" i="22"/>
  <c r="B7" i="22" s="1"/>
  <c r="AG1002" i="17"/>
  <c r="AG1005" i="17" s="1"/>
  <c r="AH1002" i="17"/>
  <c r="AH1005" i="17" s="1"/>
  <c r="AI1002" i="17"/>
  <c r="AI1005" i="17" s="1"/>
  <c r="T1002" i="17"/>
  <c r="T1005" i="17" s="1"/>
  <c r="U1002" i="17"/>
  <c r="U1005" i="17" s="1"/>
  <c r="V1002" i="17"/>
  <c r="V1005" i="17" s="1"/>
  <c r="W1002" i="17"/>
  <c r="W1005" i="17" s="1"/>
  <c r="X1002" i="17"/>
  <c r="X1005" i="17" s="1"/>
  <c r="Y1002" i="17"/>
  <c r="Y1005" i="17" s="1"/>
  <c r="Z1002" i="17"/>
  <c r="Z1005" i="17" s="1"/>
  <c r="AA1002" i="17"/>
  <c r="AA1005" i="17" s="1"/>
  <c r="AB1002" i="17"/>
  <c r="AB1005" i="17" s="1"/>
  <c r="AC1002" i="17"/>
  <c r="AC1005" i="17" s="1"/>
  <c r="AD1002" i="17"/>
  <c r="AD1005" i="17" s="1"/>
  <c r="AE1002" i="17"/>
  <c r="AE1005" i="17" s="1"/>
  <c r="AF1002" i="17"/>
  <c r="AF1005" i="17" s="1"/>
  <c r="M1002" i="17"/>
  <c r="M1005" i="17" s="1"/>
  <c r="N1002" i="17"/>
  <c r="N1005" i="17" s="1"/>
  <c r="O1002" i="17"/>
  <c r="O1005" i="17" s="1"/>
  <c r="P1002" i="17"/>
  <c r="P1005" i="17" s="1"/>
  <c r="Q1002" i="17"/>
  <c r="Q1005" i="17" s="1"/>
  <c r="R1002" i="17"/>
  <c r="R1005" i="17" s="1"/>
  <c r="S1002" i="17"/>
  <c r="S1005" i="17" s="1"/>
  <c r="B1002" i="17"/>
  <c r="B1005" i="17" s="1"/>
  <c r="C1005" i="17"/>
  <c r="D1002" i="17"/>
  <c r="D1005" i="17" s="1"/>
  <c r="E1002" i="17"/>
  <c r="E1005" i="17" s="1"/>
  <c r="F1002" i="17"/>
  <c r="F1005" i="17" s="1"/>
  <c r="G1002" i="17"/>
  <c r="G1005" i="17" s="1"/>
  <c r="H1002" i="17"/>
  <c r="H1005" i="17" s="1"/>
  <c r="I1002" i="17"/>
  <c r="I1005" i="17" s="1"/>
  <c r="J1002" i="17"/>
  <c r="J1005" i="17" s="1"/>
  <c r="K1002" i="17"/>
  <c r="K1005" i="17" s="1"/>
  <c r="L1002" i="17"/>
  <c r="L1005" i="17" s="1"/>
  <c r="B1000" i="17"/>
  <c r="P1027" i="8"/>
  <c r="AD1008" i="26"/>
  <c r="AI1008" i="26"/>
  <c r="T48" i="32" l="1"/>
  <c r="U47" i="32"/>
  <c r="S48" i="32"/>
  <c r="U49" i="32"/>
  <c r="U51" i="32"/>
  <c r="S54" i="32"/>
  <c r="U55" i="32"/>
  <c r="S56" i="32"/>
  <c r="U57" i="32"/>
  <c r="S58" i="32"/>
  <c r="W58" i="32"/>
  <c r="S60" i="32"/>
  <c r="W60" i="32"/>
  <c r="U61" i="32"/>
  <c r="U63" i="32"/>
  <c r="S64" i="32"/>
  <c r="W64" i="32"/>
  <c r="S66" i="32"/>
  <c r="S70" i="32"/>
  <c r="W70" i="32"/>
  <c r="S72" i="32"/>
  <c r="U73" i="32"/>
  <c r="U75" i="32"/>
  <c r="U77" i="32"/>
  <c r="W78" i="32"/>
  <c r="U81" i="32"/>
  <c r="U83" i="32"/>
  <c r="U85" i="32"/>
  <c r="W47" i="32"/>
  <c r="S51" i="32"/>
  <c r="S55" i="32"/>
  <c r="W57" i="32"/>
  <c r="S61" i="32"/>
  <c r="W63" i="32"/>
  <c r="U66" i="32"/>
  <c r="S69" i="32"/>
  <c r="W69" i="32"/>
  <c r="U70" i="32"/>
  <c r="S73" i="32"/>
  <c r="U74" i="32"/>
  <c r="U76" i="32"/>
  <c r="U78" i="32"/>
  <c r="S81" i="32"/>
  <c r="U84" i="32"/>
  <c r="S50" i="32"/>
  <c r="W52" i="32"/>
  <c r="W54" i="32"/>
  <c r="W66" i="32"/>
  <c r="U67" i="32"/>
  <c r="U69" i="32"/>
  <c r="S76" i="32"/>
  <c r="S78" i="32"/>
  <c r="S80" i="32"/>
  <c r="W48" i="32"/>
  <c r="W50" i="32"/>
  <c r="W56" i="32"/>
  <c r="U59" i="32"/>
  <c r="S62" i="32"/>
  <c r="W62" i="32"/>
  <c r="U65" i="32"/>
  <c r="W68" i="32"/>
  <c r="U71" i="32"/>
  <c r="W72" i="32"/>
  <c r="S74" i="32"/>
  <c r="W74" i="32"/>
  <c r="W76" i="32"/>
  <c r="U79" i="32"/>
  <c r="W80" i="32"/>
  <c r="S82" i="32"/>
  <c r="W82" i="32"/>
  <c r="W84" i="32"/>
  <c r="R53" i="32"/>
  <c r="T76" i="32"/>
  <c r="T47" i="32"/>
  <c r="R48" i="32"/>
  <c r="V48" i="32"/>
  <c r="T49" i="32"/>
  <c r="V50" i="32"/>
  <c r="T51" i="32"/>
  <c r="V52" i="32"/>
  <c r="T53" i="32"/>
  <c r="R54" i="32"/>
  <c r="V54" i="32"/>
  <c r="R56" i="32"/>
  <c r="V56" i="32"/>
  <c r="T57" i="32"/>
  <c r="R58" i="32"/>
  <c r="V58" i="32"/>
  <c r="R60" i="32"/>
  <c r="R62" i="32"/>
  <c r="V62" i="32"/>
  <c r="T63" i="32"/>
  <c r="R64" i="32"/>
  <c r="V64" i="32"/>
  <c r="R66" i="32"/>
  <c r="V66" i="32"/>
  <c r="T67" i="32"/>
  <c r="V68" i="32"/>
  <c r="T69" i="32"/>
  <c r="R70" i="32"/>
  <c r="V70" i="32"/>
  <c r="T71" i="32"/>
  <c r="R72" i="32"/>
  <c r="R74" i="32"/>
  <c r="V74" i="32"/>
  <c r="T75" i="32"/>
  <c r="V76" i="32"/>
  <c r="V78" i="32"/>
  <c r="T79" i="32"/>
  <c r="R80" i="32"/>
  <c r="V80" i="32"/>
  <c r="T81" i="32"/>
  <c r="V82" i="32"/>
  <c r="T83" i="32"/>
  <c r="R84" i="32"/>
  <c r="V84" i="32"/>
  <c r="G85" i="32"/>
  <c r="G84" i="32"/>
  <c r="G58" i="32"/>
  <c r="L72" i="32"/>
  <c r="L68" i="32"/>
  <c r="L48" i="32"/>
  <c r="G73" i="32"/>
  <c r="K67" i="32"/>
  <c r="G66" i="32"/>
  <c r="I64" i="32"/>
  <c r="L67" i="32"/>
  <c r="L77" i="32"/>
  <c r="J84" i="32"/>
  <c r="G82" i="32"/>
  <c r="G81" i="32"/>
  <c r="G76" i="32"/>
  <c r="K74" i="32"/>
  <c r="L82" i="32"/>
  <c r="L78" i="32"/>
  <c r="L66" i="32"/>
  <c r="L62" i="32"/>
  <c r="G72" i="32"/>
  <c r="G68" i="32"/>
  <c r="G60" i="32"/>
  <c r="H84" i="32"/>
  <c r="G80" i="32"/>
  <c r="G64" i="32"/>
  <c r="K62" i="32"/>
  <c r="L53" i="32"/>
  <c r="H54" i="32"/>
  <c r="G57" i="32"/>
  <c r="K83" i="32"/>
  <c r="H81" i="32"/>
  <c r="I81" i="32"/>
  <c r="G78" i="32"/>
  <c r="K77" i="32"/>
  <c r="G71" i="32"/>
  <c r="G69" i="32"/>
  <c r="G62" i="32"/>
  <c r="G59" i="32"/>
  <c r="G51" i="32"/>
  <c r="L64" i="32"/>
  <c r="G83" i="32"/>
  <c r="G48" i="32"/>
  <c r="L75" i="32"/>
  <c r="L55" i="32"/>
  <c r="I84" i="32"/>
  <c r="G75" i="32"/>
  <c r="G56" i="32"/>
  <c r="G55" i="32"/>
  <c r="G77" i="32"/>
  <c r="G54" i="32"/>
  <c r="G79" i="32"/>
  <c r="I77" i="32"/>
  <c r="G52" i="32"/>
  <c r="L50" i="32"/>
  <c r="F1004" i="1"/>
  <c r="L52" i="31"/>
  <c r="L67" i="31"/>
  <c r="L74" i="31"/>
  <c r="L85" i="31"/>
  <c r="G82" i="31"/>
  <c r="K72" i="31"/>
  <c r="H70" i="31"/>
  <c r="K53" i="31"/>
  <c r="J51" i="31"/>
  <c r="J50" i="31"/>
  <c r="K82" i="31"/>
  <c r="J80" i="31"/>
  <c r="I72" i="31"/>
  <c r="I57" i="31"/>
  <c r="K55" i="31"/>
  <c r="G53" i="31"/>
  <c r="L84" i="31"/>
  <c r="G83" i="31"/>
  <c r="G72" i="31"/>
  <c r="G48" i="31"/>
  <c r="K83" i="31"/>
  <c r="I83" i="31"/>
  <c r="J81" i="31"/>
  <c r="G81" i="31"/>
  <c r="K75" i="31"/>
  <c r="I75" i="31"/>
  <c r="J62" i="31"/>
  <c r="G62" i="31"/>
  <c r="J58" i="31"/>
  <c r="K52" i="31"/>
  <c r="I50" i="31"/>
  <c r="J49" i="31"/>
  <c r="I1004" i="1"/>
  <c r="AK1010" i="26"/>
  <c r="AN1010" i="26"/>
  <c r="AD1013" i="26"/>
  <c r="M7" i="26"/>
  <c r="AV1008" i="26"/>
  <c r="S1010" i="26"/>
  <c r="K1013" i="26"/>
  <c r="AH1008" i="26"/>
  <c r="AX1013" i="26"/>
  <c r="O1008" i="26"/>
  <c r="AB1013" i="26"/>
  <c r="T1013" i="26"/>
  <c r="Z1013" i="26"/>
  <c r="Z1010" i="26"/>
  <c r="AF1010" i="26"/>
  <c r="W1008" i="26"/>
  <c r="AY1008" i="26"/>
  <c r="AT1008" i="26"/>
  <c r="M1009" i="26"/>
  <c r="N1009" i="26"/>
  <c r="S1009" i="26"/>
  <c r="AV1010" i="26"/>
  <c r="AP1010" i="26"/>
  <c r="U1010" i="26"/>
  <c r="R1013" i="26"/>
  <c r="AD1010" i="26"/>
  <c r="K1010" i="26"/>
  <c r="AM1008" i="26"/>
  <c r="O1013" i="26"/>
  <c r="AJ1008" i="26"/>
  <c r="X1008" i="26"/>
  <c r="AB1008" i="26"/>
  <c r="J1013" i="26"/>
  <c r="R1010" i="26"/>
  <c r="T1008" i="26"/>
  <c r="X1009" i="26"/>
  <c r="AC1009" i="26"/>
  <c r="AD1009" i="26"/>
  <c r="AI1009" i="26"/>
  <c r="AR1009" i="26"/>
  <c r="AW1009" i="26"/>
  <c r="O1009" i="26"/>
  <c r="O1010" i="26"/>
  <c r="Q1010" i="26"/>
  <c r="V1008" i="26"/>
  <c r="AF1013" i="26"/>
  <c r="P1008" i="26"/>
  <c r="AB1009" i="26"/>
  <c r="AG1009" i="26"/>
  <c r="AL1009" i="26"/>
  <c r="J1010" i="26"/>
  <c r="AH1013" i="26"/>
  <c r="AH1010" i="26"/>
  <c r="AM1013" i="26"/>
  <c r="AM1010" i="26"/>
  <c r="AJ1013" i="26"/>
  <c r="AJ1010" i="26"/>
  <c r="P1013" i="26"/>
  <c r="P1010" i="26"/>
  <c r="AV1013" i="26"/>
  <c r="AR1013" i="26"/>
  <c r="AR1010" i="26"/>
  <c r="X1013" i="26"/>
  <c r="X1010" i="26"/>
  <c r="AP1013" i="26"/>
  <c r="AC1010" i="26"/>
  <c r="AC1013" i="26"/>
  <c r="B7" i="17"/>
  <c r="M7" i="17"/>
  <c r="AQ1009" i="26"/>
  <c r="AY1009" i="26"/>
  <c r="AY1012" i="26" s="1"/>
  <c r="AE1009" i="26"/>
  <c r="AT1009" i="26"/>
  <c r="Z1009" i="26"/>
  <c r="AL1012" i="26" s="1"/>
  <c r="AS1009" i="26"/>
  <c r="U1009" i="26"/>
  <c r="AN1009" i="26"/>
  <c r="T1009" i="26"/>
  <c r="L1008" i="26"/>
  <c r="AS1008" i="26"/>
  <c r="S1008" i="26"/>
  <c r="AR1008" i="26"/>
  <c r="AN1008" i="26"/>
  <c r="Z1008" i="26"/>
  <c r="AG1008" i="26"/>
  <c r="AA1010" i="26"/>
  <c r="AI1013" i="26"/>
  <c r="Y1008" i="26"/>
  <c r="AE1008" i="26"/>
  <c r="B7" i="26"/>
  <c r="AU1009" i="26"/>
  <c r="AU1012" i="26" s="1"/>
  <c r="W1009" i="26"/>
  <c r="AP1009" i="26"/>
  <c r="V1009" i="26"/>
  <c r="AK1009" i="26"/>
  <c r="Q1009" i="26"/>
  <c r="AJ1009" i="26"/>
  <c r="L1009" i="26"/>
  <c r="N1008" i="26"/>
  <c r="AU1008" i="26"/>
  <c r="Q1008" i="26"/>
  <c r="AP1008" i="26"/>
  <c r="AO1008" i="26"/>
  <c r="AA1013" i="26"/>
  <c r="AA1008" i="26"/>
  <c r="AK1008" i="26"/>
  <c r="AC1008" i="26"/>
  <c r="AL1008" i="26"/>
  <c r="AF1008" i="26"/>
  <c r="U1008" i="26"/>
  <c r="Y1013" i="26"/>
  <c r="M1010" i="26"/>
  <c r="AN1013" i="26"/>
  <c r="AK1013" i="26"/>
  <c r="AE1013" i="26"/>
  <c r="AB1010" i="26"/>
  <c r="AN1011" i="26" s="1"/>
  <c r="T1010" i="26"/>
  <c r="AT1010" i="26"/>
  <c r="AO1013" i="26"/>
  <c r="AL1013" i="26"/>
  <c r="AG1010" i="26"/>
  <c r="Y1010" i="26"/>
  <c r="V1013" i="26"/>
  <c r="Q1013" i="26"/>
  <c r="N1010" i="26"/>
  <c r="Z1011" i="26" s="1"/>
  <c r="AO1010" i="26"/>
  <c r="AO1011" i="26" s="1"/>
  <c r="AI1010" i="26"/>
  <c r="S1013" i="26"/>
  <c r="AG1013" i="26"/>
  <c r="AE1010" i="26"/>
  <c r="AE1011" i="26" s="1"/>
  <c r="AL1010" i="26"/>
  <c r="AL1011" i="26" s="1"/>
  <c r="A1003" i="17"/>
  <c r="B8" i="17" s="1"/>
  <c r="V1010" i="26"/>
  <c r="M1013" i="26"/>
  <c r="N1013" i="26"/>
  <c r="AT1013" i="26"/>
  <c r="AX1010" i="26"/>
  <c r="U1013" i="26"/>
  <c r="G1004" i="1"/>
  <c r="K1004" i="1"/>
  <c r="H1004" i="1"/>
  <c r="J1004" i="1"/>
  <c r="B24" i="1"/>
  <c r="I7" i="1"/>
  <c r="P7" i="1"/>
  <c r="P24" i="1"/>
  <c r="B7" i="1"/>
  <c r="I24" i="8"/>
  <c r="P7" i="8"/>
  <c r="P24" i="8"/>
  <c r="B24" i="22"/>
  <c r="B7" i="8"/>
  <c r="I7" i="8"/>
  <c r="P24" i="22"/>
  <c r="I7" i="22"/>
  <c r="P7" i="22"/>
  <c r="I24" i="22"/>
  <c r="G1010" i="8"/>
  <c r="G1010" i="22"/>
  <c r="K1010" i="22"/>
  <c r="J1010" i="22"/>
  <c r="B1010" i="8"/>
  <c r="F1010" i="8"/>
  <c r="E1010" i="22"/>
  <c r="I1010" i="22"/>
  <c r="J1010" i="8"/>
  <c r="V49" i="32"/>
  <c r="T50" i="32"/>
  <c r="T56" i="32"/>
  <c r="R61" i="32"/>
  <c r="R63" i="32"/>
  <c r="V63" i="32"/>
  <c r="R67" i="32"/>
  <c r="T70" i="32"/>
  <c r="T72" i="32"/>
  <c r="R73" i="32"/>
  <c r="R75" i="32"/>
  <c r="R79" i="32"/>
  <c r="T80" i="32"/>
  <c r="T82" i="32"/>
  <c r="T84" i="32"/>
  <c r="D1010" i="22"/>
  <c r="H1010" i="22"/>
  <c r="F1010" i="22"/>
  <c r="E1010" i="8"/>
  <c r="I1010" i="8"/>
  <c r="K79" i="32"/>
  <c r="L83" i="32"/>
  <c r="L51" i="32"/>
  <c r="B1010" i="22"/>
  <c r="C1010" i="8"/>
  <c r="K1010" i="8"/>
  <c r="L65" i="32"/>
  <c r="L85" i="32"/>
  <c r="J81" i="32"/>
  <c r="J77" i="32"/>
  <c r="K72" i="32"/>
  <c r="J64" i="32"/>
  <c r="K63" i="32"/>
  <c r="J54" i="32"/>
  <c r="G61" i="32"/>
  <c r="I72" i="32"/>
  <c r="J69" i="32"/>
  <c r="J62" i="32"/>
  <c r="C1010" i="22"/>
  <c r="D1010" i="8"/>
  <c r="H1010" i="8"/>
  <c r="J72" i="32"/>
  <c r="G70" i="32"/>
  <c r="J69" i="31"/>
  <c r="L78" i="31"/>
  <c r="L61" i="31"/>
  <c r="G55" i="31"/>
  <c r="I84" i="31"/>
  <c r="K81" i="31"/>
  <c r="I80" i="31"/>
  <c r="I76" i="31"/>
  <c r="I58" i="31"/>
  <c r="I54" i="31"/>
  <c r="H50" i="31"/>
  <c r="G56" i="31"/>
  <c r="L59" i="31"/>
  <c r="L72" i="31"/>
  <c r="G51" i="31"/>
  <c r="I81" i="31"/>
  <c r="I77" i="31"/>
  <c r="G71" i="31"/>
  <c r="I65" i="31"/>
  <c r="I55" i="31"/>
  <c r="I51" i="31"/>
  <c r="L62" i="31"/>
  <c r="L73" i="31"/>
  <c r="L48" i="31"/>
  <c r="L66" i="31"/>
  <c r="L69" i="31"/>
  <c r="L80" i="31"/>
  <c r="G65" i="31"/>
  <c r="I82" i="31"/>
  <c r="I78" i="31"/>
  <c r="K65" i="31"/>
  <c r="I56" i="31"/>
  <c r="I52" i="31"/>
  <c r="AU1013" i="26"/>
  <c r="AU1010" i="26"/>
  <c r="W1010" i="26"/>
  <c r="W1013" i="26"/>
  <c r="L1010" i="26"/>
  <c r="L1013" i="26"/>
  <c r="AW1013" i="26"/>
  <c r="AW1010" i="26"/>
  <c r="AY1010" i="26"/>
  <c r="AY1013" i="26"/>
  <c r="AQ1013" i="26"/>
  <c r="AQ1010" i="26"/>
  <c r="AS1013" i="26"/>
  <c r="AS1010" i="26"/>
  <c r="L64" i="31"/>
  <c r="G61" i="31"/>
  <c r="H57" i="32"/>
  <c r="L57" i="32"/>
  <c r="L49" i="32"/>
  <c r="H49" i="32"/>
  <c r="AQ1008" i="26"/>
  <c r="M1008" i="26"/>
  <c r="AW1008" i="26"/>
  <c r="R1008" i="26"/>
  <c r="AX1008" i="26"/>
  <c r="P1009" i="26"/>
  <c r="AF1009" i="26"/>
  <c r="AV1009" i="26"/>
  <c r="Y1009" i="26"/>
  <c r="AO1009" i="26"/>
  <c r="R1009" i="26"/>
  <c r="AH1009" i="26"/>
  <c r="AX1009" i="26"/>
  <c r="AA1009" i="26"/>
  <c r="H80" i="32"/>
  <c r="L80" i="32"/>
  <c r="L76" i="32"/>
  <c r="H76" i="32"/>
  <c r="H61" i="32"/>
  <c r="L61" i="32"/>
  <c r="L60" i="32"/>
  <c r="H60" i="32"/>
  <c r="H47" i="32"/>
  <c r="L47" i="32"/>
  <c r="R47" i="32"/>
  <c r="V47" i="32"/>
  <c r="R49" i="32"/>
  <c r="R51" i="32"/>
  <c r="V51" i="32"/>
  <c r="T52" i="32"/>
  <c r="V53" i="32"/>
  <c r="T54" i="32"/>
  <c r="R55" i="32"/>
  <c r="V55" i="32"/>
  <c r="R57" i="32"/>
  <c r="V57" i="32"/>
  <c r="T58" i="32"/>
  <c r="R59" i="32"/>
  <c r="T60" i="32"/>
  <c r="V61" i="32"/>
  <c r="T62" i="32"/>
  <c r="T64" i="32"/>
  <c r="R65" i="32"/>
  <c r="V65" i="32"/>
  <c r="T66" i="32"/>
  <c r="V67" i="32"/>
  <c r="T68" i="32"/>
  <c r="R69" i="32"/>
  <c r="V69" i="32"/>
  <c r="R71" i="32"/>
  <c r="V71" i="32"/>
  <c r="V73" i="32"/>
  <c r="T74" i="32"/>
  <c r="V75" i="32"/>
  <c r="V77" i="32"/>
  <c r="T78" i="32"/>
  <c r="V79" i="32"/>
  <c r="R81" i="32"/>
  <c r="V81" i="32"/>
  <c r="R83" i="32"/>
  <c r="V83" i="32"/>
  <c r="R85" i="32"/>
  <c r="V85" i="32"/>
  <c r="K65" i="32"/>
  <c r="G65" i="32"/>
  <c r="AE1012" i="26" l="1"/>
  <c r="AO1012" i="26"/>
  <c r="Y1011" i="26"/>
  <c r="AX1011" i="26"/>
  <c r="AB1011" i="26"/>
  <c r="AX1012" i="26"/>
  <c r="AP1012" i="26"/>
  <c r="AC1012" i="26"/>
  <c r="AG1012" i="26"/>
  <c r="AD1012" i="26"/>
  <c r="AW1012" i="26"/>
  <c r="AS1012" i="26"/>
  <c r="AT1011" i="26"/>
  <c r="AW1011" i="26"/>
  <c r="AA1011" i="26"/>
  <c r="AQ1011" i="26"/>
  <c r="AI1012" i="26"/>
  <c r="AU1011" i="26"/>
  <c r="AY1011" i="26"/>
  <c r="AG1011" i="26"/>
  <c r="AF1011" i="26"/>
  <c r="AJ1012" i="26"/>
  <c r="AN1012" i="26"/>
  <c r="AR1011" i="26"/>
  <c r="AV1012" i="26"/>
  <c r="AP1011" i="26"/>
  <c r="X1011" i="26"/>
  <c r="AD1011" i="26"/>
  <c r="AB1012" i="26"/>
  <c r="X1012" i="26"/>
  <c r="AC1011" i="26"/>
  <c r="AJ1011" i="26"/>
  <c r="AM1011" i="26"/>
  <c r="Z1012" i="26"/>
  <c r="AS1011" i="26"/>
  <c r="AQ1012" i="26"/>
  <c r="AK1011" i="26"/>
  <c r="AV1011" i="26"/>
  <c r="V1011" i="26"/>
  <c r="AH1011" i="26"/>
  <c r="AH1012" i="26"/>
  <c r="AT1012" i="26"/>
  <c r="W1011" i="26"/>
  <c r="AI1011" i="26"/>
  <c r="AR1012" i="26"/>
  <c r="AF1012" i="26"/>
  <c r="AA1012" i="26"/>
  <c r="AM1012" i="26"/>
  <c r="Y1012" i="26"/>
  <c r="AK1012" i="26"/>
</calcChain>
</file>

<file path=xl/sharedStrings.xml><?xml version="1.0" encoding="utf-8"?>
<sst xmlns="http://schemas.openxmlformats.org/spreadsheetml/2006/main" count="7321" uniqueCount="576">
  <si>
    <t>INDIC_EM</t>
  </si>
  <si>
    <t>GEO/TIME</t>
  </si>
  <si>
    <t>2013Q3</t>
  </si>
  <si>
    <t>2013Q4</t>
  </si>
  <si>
    <t>2014Q1</t>
  </si>
  <si>
    <t>2014Q2</t>
  </si>
  <si>
    <t>2014Q3</t>
  </si>
  <si>
    <t>2014Q4</t>
  </si>
  <si>
    <t>2015Q1</t>
  </si>
  <si>
    <t>2015Q2</t>
  </si>
  <si>
    <t>2015Q3</t>
  </si>
  <si>
    <t>European Union (28 countries)</t>
  </si>
  <si>
    <t>European Union (27 countries)</t>
  </si>
  <si>
    <t>European Union (15 countries)</t>
  </si>
  <si>
    <t>Euro area (19 countries)</t>
  </si>
  <si>
    <t>Euro area (18 countries)</t>
  </si>
  <si>
    <t>Euro area (17 countries)</t>
  </si>
  <si>
    <t>Belgium</t>
  </si>
  <si>
    <t>Bulgaria</t>
  </si>
  <si>
    <t>Czech Republic</t>
  </si>
  <si>
    <t>Denmark</t>
  </si>
  <si>
    <t>Estonia</t>
  </si>
  <si>
    <t>Ireland</t>
  </si>
  <si>
    <t>Greece</t>
  </si>
  <si>
    <t>Spain</t>
  </si>
  <si>
    <t>France</t>
  </si>
  <si>
    <t>Croatia</t>
  </si>
  <si>
    <t>Italy</t>
  </si>
  <si>
    <t>Cyprus</t>
  </si>
  <si>
    <t>Latvia</t>
  </si>
  <si>
    <t>Lithuania</t>
  </si>
  <si>
    <t>Luxembourg</t>
  </si>
  <si>
    <t>Hungary</t>
  </si>
  <si>
    <t>Malta</t>
  </si>
  <si>
    <t>Netherlands</t>
  </si>
  <si>
    <t>Austria</t>
  </si>
  <si>
    <t>Poland</t>
  </si>
  <si>
    <t>Portugal</t>
  </si>
  <si>
    <t>Romania</t>
  </si>
  <si>
    <t>Slovenia</t>
  </si>
  <si>
    <t>Slovakia</t>
  </si>
  <si>
    <t>Finland</t>
  </si>
  <si>
    <t>Sweden</t>
  </si>
  <si>
    <t>United Kingdom</t>
  </si>
  <si>
    <t>Iceland</t>
  </si>
  <si>
    <t>Norway</t>
  </si>
  <si>
    <t>Switzerland</t>
  </si>
  <si>
    <t>Turkey</t>
  </si>
  <si>
    <t>Part-time workers in % of total employment</t>
  </si>
  <si>
    <t>Germany</t>
  </si>
  <si>
    <t>Total Employment</t>
  </si>
  <si>
    <t>Country:</t>
  </si>
  <si>
    <t>Part-time workers (%)</t>
  </si>
  <si>
    <t>Employees with temporary contracts</t>
  </si>
  <si>
    <t>% Of Employees with temp. contracts</t>
  </si>
  <si>
    <t>Country</t>
  </si>
  <si>
    <t>Macedonia</t>
  </si>
  <si>
    <t>Employment Rate (%)</t>
  </si>
  <si>
    <t>2015Q4</t>
  </si>
  <si>
    <t>Temporary employees as a percentage of the total number of employees, by sex and age (%) [lfsq_etpga]</t>
  </si>
  <si>
    <t>From 15 to 64 years</t>
  </si>
  <si>
    <t>Temporary employees by sex, age and duration of the work contract (1 000) - 1 - 3 month contracts</t>
  </si>
  <si>
    <t>Temporary employees by sex, age and duration of the work contract (1 000) - 4 - 6 month contracts</t>
  </si>
  <si>
    <t>Temporary employees by sex, age and duration of the work contract (1 000) - 7 - 12 month contracts</t>
  </si>
  <si>
    <t>Temporary employees by sex, age and educational attainment level (1 000) - Less than primary, primary and lower secondary education (levels 0-2)</t>
  </si>
  <si>
    <t>Temporary employees by sex, age and educational attainment level (1 000) - Upper secondary and post-secondary non-tertiary education (levels 3 and 4)</t>
  </si>
  <si>
    <t>Temporary employees by sex, age and educational attainment level (1 000) - Tertiary education (levels 5-8)</t>
  </si>
  <si>
    <t>Temporary employees by sex, age and educational attainment level (1 000) - No response</t>
  </si>
  <si>
    <t>Temporary employees by sex, age and occupation (1 000) - Professionals</t>
  </si>
  <si>
    <t>Temporary employees by sex, age and occupation (1 000) - Technicians and associate professionals</t>
  </si>
  <si>
    <t>Temporary employees by sex, age and occupation (1 000) - Clerical support workers</t>
  </si>
  <si>
    <t>Temporary employees by sex, age and occupation (1 000) - Service and sales workers</t>
  </si>
  <si>
    <t>Temporary employees by sex, age and occupation (1 000) - Skilled agricultural, forestry and fishery workers</t>
  </si>
  <si>
    <t>Temporary employees by sex, age and occupation (1 000) - Craft and related trades workers</t>
  </si>
  <si>
    <t>Temporary employees by sex, age and occupation (1 000) - Plant and machine operators and assemblers</t>
  </si>
  <si>
    <t>Temporary employees by sex, age and occupation (1 000) - Elementary occupations</t>
  </si>
  <si>
    <t>Temporary employees by sex, age and occupation (1 000) - Armed forces occupations</t>
  </si>
  <si>
    <t>Temporary employees by sex, age and occupation (1 000) - No response</t>
  </si>
  <si>
    <t>Temporary employees by sex, age and economic activity (from 2008 onwards, NACE Rev. 2) - 1 000 - Manufacturing</t>
  </si>
  <si>
    <t>Temporary employees by sex, age and economic activity (from 2008 onwards, NACE Rev. 2) - 1 000 - Construction</t>
  </si>
  <si>
    <t>Temporary employees by sex, age and economic activity (from 2008 onwards, NACE Rev. 2) - 1 000 - Wholesale and retail trade; repair of motor vehicles and motorcycles</t>
  </si>
  <si>
    <t>Temporary employees by sex, age and economic activity (from 2008 onwards, NACE Rev. 2) - 1 000 - Transportation and storage</t>
  </si>
  <si>
    <t>Temporary employees by sex, age and economic activity (from 2008 onwards, NACE Rev. 2) - 1 000 - Accommodation and food service activities</t>
  </si>
  <si>
    <t>Temporary employees by sex, age and economic activity (from 2008 onwards, NACE Rev. 2) - 1 000 - Information and communication</t>
  </si>
  <si>
    <t>Temporary employees by sex, age and economic activity (from 2008 onwards, NACE Rev. 2) - 1 000 - Financial and insurance activities</t>
  </si>
  <si>
    <t>Temporary employees by sex, age and economic activity (from 2008 onwards, NACE Rev. 2) - 1 000 - Professional, scientific and technical activities</t>
  </si>
  <si>
    <t>Temporary employees by sex, age and economic activity (from 2008 onwards, NACE Rev. 2) - 1 000 - Administrative and support service activities</t>
  </si>
  <si>
    <t>Temporary employees by sex, age and economic activity (from 2008 onwards, NACE Rev. 2) - 1 000 - Public administration and defence; compulsory social security</t>
  </si>
  <si>
    <t>Temporary employees by sex, age and economic activity (from 2008 onwards, NACE Rev. 2) - 1 000 - Education</t>
  </si>
  <si>
    <t>Temporary employees by sex, age and economic activity (from 2008 onwards, NACE Rev. 2) - 1 000 - Human health and social work activities</t>
  </si>
  <si>
    <t>Temporary Employees (1000s)</t>
  </si>
  <si>
    <t>&lt; 1 Month Contract</t>
  </si>
  <si>
    <t>1 - 3 Months Contract</t>
  </si>
  <si>
    <t>4 - 6 Months Contract</t>
  </si>
  <si>
    <t>7 - 12 Months Contract</t>
  </si>
  <si>
    <t>Temp Employees (%)</t>
  </si>
  <si>
    <t>Temp Employees (1000s)</t>
  </si>
  <si>
    <t>Primary</t>
  </si>
  <si>
    <t>Secondary</t>
  </si>
  <si>
    <t>Tertiary</t>
  </si>
  <si>
    <t>Manager</t>
  </si>
  <si>
    <t>Professional</t>
  </si>
  <si>
    <t>Technicians</t>
  </si>
  <si>
    <t>Clerical</t>
  </si>
  <si>
    <t>Service and Sales</t>
  </si>
  <si>
    <t>Skilled Agricultural</t>
  </si>
  <si>
    <t>Craft and trade</t>
  </si>
  <si>
    <t>Data Processing steps:</t>
  </si>
  <si>
    <t>5. Check the formula in the graphs pages to make sure nothing is broken</t>
  </si>
  <si>
    <t>Temporary employees by sex, age and duration of the work contract (1 000) - 13 - 24 month contracts</t>
  </si>
  <si>
    <t>Temporary employees by sex, age and duration of the work contract (1 000) - 25 - 36+ month contracts</t>
  </si>
  <si>
    <t>13 -24 Months Contract</t>
  </si>
  <si>
    <t>25+ Months Contract</t>
  </si>
  <si>
    <t>&lt; 1 Month</t>
  </si>
  <si>
    <t>1 - 3 Months</t>
  </si>
  <si>
    <t>4 - 6 Months</t>
  </si>
  <si>
    <t>7 - 12 Months</t>
  </si>
  <si>
    <t>13 -24 Months</t>
  </si>
  <si>
    <t>25+ Months</t>
  </si>
  <si>
    <t>Unknown</t>
  </si>
  <si>
    <t>Machine operators</t>
  </si>
  <si>
    <t>Elementary occupations</t>
  </si>
  <si>
    <t>Armed forces</t>
  </si>
  <si>
    <t xml:space="preserve">                                                                                                                                                                                                                                                                                                                                                                                                                                                                                                                                                                                                                                                                                                                                                                                                                                                                                                                                                                                                                                                                                                                                                                                                                                                                                                                                                                                                                                                                                                                                                                                                                                                                                                                                                                                                                                                                                                                                                                                                                                                                                                                                                                                                                                                                                                                                                                                                                                                                                                                                                                                                                                                                                                                                                                                                                                                                                                                                                                                                                                                                                                                                                                                                                                                                                                                                                                                                                                                                                                                                                                                                                                                                                                                                                                                                                                                                                                                                                                                                                                                                                                                                                                                                                                                                                                                                                                                                                                                                                                                                                                                                                                                                                                                                                                                                                                                                                                                                                                                                                                                                                                                                                                                                                                                                                                                                                                                                                                                                                                                                                                                                                                                                                                                                                                                                                                                                                                                                                                                                                                                                                                                                                                                                                                                                                                                                                                                                                                                                                                                                                                                                                                                                                                                                                                                                                                                                                                                                                                                                                                                                                                                                                                                                                                                                                                                                                                                                                                                                                                                                                                                                                                                                                                                                                                                                                                                                                                                                                                                                                                                                                                                                                                                                                                                                                                  </t>
  </si>
  <si>
    <t>Agri/ Fisheries/Forestry</t>
  </si>
  <si>
    <t>Manufacturing</t>
  </si>
  <si>
    <t>Construction</t>
  </si>
  <si>
    <t>Transportation and storage</t>
  </si>
  <si>
    <t>Information and communication</t>
  </si>
  <si>
    <t>Education</t>
  </si>
  <si>
    <t>Wholesale/retail trade</t>
  </si>
  <si>
    <t>Accommodation/food service</t>
  </si>
  <si>
    <t>Financial/ insurance</t>
  </si>
  <si>
    <t>Professional/ scientific/technical</t>
  </si>
  <si>
    <t>Administrative</t>
  </si>
  <si>
    <t>Public administration and defence</t>
  </si>
  <si>
    <t>Human health/social work</t>
  </si>
  <si>
    <t>Europe - Quarterly Temporary Employment Situation (2013 Q3 - 2015 Q4)</t>
  </si>
  <si>
    <t>Total Employment ( 1000s)</t>
  </si>
  <si>
    <t>Y / Y</t>
  </si>
  <si>
    <t>Part-time workers as % of total employment</t>
  </si>
  <si>
    <t>&lt;---  Click here to choose a country</t>
  </si>
  <si>
    <t>Notes and definitions</t>
  </si>
  <si>
    <t>Y/Y Change in total employment</t>
  </si>
  <si>
    <t>Part time workers as percentage of total employment</t>
  </si>
  <si>
    <t>Employment rate</t>
  </si>
  <si>
    <t>Temporary employees as a percentage of total employees</t>
  </si>
  <si>
    <t>Temporary employees by length of contracts</t>
  </si>
  <si>
    <t>Temporary employees by education</t>
  </si>
  <si>
    <t>Temporary employees by occupation</t>
  </si>
  <si>
    <t>Temporary employees by economic activity</t>
  </si>
  <si>
    <t xml:space="preserve">Staffing Industry Analysts | 1975 W. El Camino Real, Ste. 304 | Mountain View, CA 94040 | 800.950.9496 | www.staffingindustry.com </t>
  </si>
  <si>
    <t>Definitions of the total employment metrics included in this report:</t>
  </si>
  <si>
    <t>Total number of persons in thousands, aged 15 - 64 years who performed work, even for just one hour per week, for pay, profit or family gain during the reference week or were not at work but had a job or business from which they were temporarily absent because of, for instance, illness, holidays, industrial dispute, and education or training.</t>
  </si>
  <si>
    <t>Total employment</t>
  </si>
  <si>
    <t>Percent change in total employment for each quarter versus the prior year quarter.</t>
  </si>
  <si>
    <t>Part time distinction is made on the basis of a spontaneous answer given by the respondent in all countries, except for the Netherlands, Iceland and Norway, where part-time is determined on the basis of whether the usual hours worked are fewer than 35, while full-time on the basis of whether the usual hours worked are 35 or more, and in Sweden where this criterion is applied to self-employed persons as well.</t>
  </si>
  <si>
    <t>Persons who declare themselves as having a fixed term employment contract or a job which will terminate if certain objective criteria are met, such as completion of an assignment or return of the employee who was temporarily replaced.</t>
  </si>
  <si>
    <t>Employment rate represents employed persons as a percentage of the same age total population.</t>
  </si>
  <si>
    <t>Unemployed persons in transition to work.</t>
  </si>
  <si>
    <t>Definitions of temporary employment metrics and  categories:</t>
  </si>
  <si>
    <t>Temporary employees</t>
  </si>
  <si>
    <t>Persons with job/work contract of limited duration.</t>
  </si>
  <si>
    <t>Percentage of total employment in temporary work.</t>
  </si>
  <si>
    <t>Number of temporary employees by length of work contract. Categories include less than one month, 1-3 months, 4-6 months, 7-12 months, 13-24 months and 25+ months.</t>
  </si>
  <si>
    <t>Number of temporary employees by highest education level attained, based on International Standard Classification of Education (ISCED 2011). Graph displays three categories: less than primary, primary and lower secondary education (levels 0-2); Upper secondary and post-secondary non-tertiary education (levels 3 and 4); and Tertiary education (levels 5-8).</t>
  </si>
  <si>
    <t>Number of temporary employees by occupation based on International Standard Classification of Occupations (ISCO 2008). Graph displays nine categories: managers, professionals, technical and associate professionals, clerical support workers, service and sales workers, skilled agricultural, forestry and fishery workers, craft and related trades workers, plant and machine operators and assemblers, elementary occupations and armed forces occupations.</t>
  </si>
  <si>
    <t>Number of temporary employees by economic activities according to NACE Rev.2 classification (Statistical Classification of Economic Activities in the European Community). Graph displays 13 out of 21  NACE activities: agri/fisheries/forestry, manufacturing, construction, wholesale/retail trade, transportation and storage, accommodation/food service, information and communication, financial/insurance, professional/scientific/technical, administrative, public administration and defence, education, and human health/social work.</t>
  </si>
  <si>
    <t>Temporary Employment</t>
  </si>
  <si>
    <t>Data source for all graphs: Eurostat Labour Force Survey ( Please check the "notes" tab for more details)</t>
  </si>
  <si>
    <t>Unemployment in transition (%)</t>
  </si>
  <si>
    <t>Change in total employment</t>
  </si>
  <si>
    <t>Unemployment-to-employment transition</t>
  </si>
  <si>
    <t>% Change in Total Employment</t>
  </si>
  <si>
    <t>Temporary employees as % of total employees</t>
  </si>
  <si>
    <t>length of contracts</t>
  </si>
  <si>
    <t xml:space="preserve"> by occupation </t>
  </si>
  <si>
    <t xml:space="preserve"> by economic activity</t>
  </si>
  <si>
    <t xml:space="preserve"> by education - </t>
  </si>
  <si>
    <t>Definition</t>
  </si>
  <si>
    <t>Subsection</t>
  </si>
  <si>
    <t>Employment</t>
  </si>
  <si>
    <t>Full-time and part-time employment</t>
  </si>
  <si>
    <t>Employment rates</t>
  </si>
  <si>
    <t>Labour market transitions</t>
  </si>
  <si>
    <t>Temporary employment</t>
  </si>
  <si>
    <t>Labour Force Survey Section</t>
  </si>
  <si>
    <t>Series Code</t>
  </si>
  <si>
    <t>Detailed quarterly survey results</t>
  </si>
  <si>
    <t>lfsq_egan</t>
  </si>
  <si>
    <t>Metric</t>
  </si>
  <si>
    <t>lfsq_ergan</t>
  </si>
  <si>
    <t>Main indicators</t>
  </si>
  <si>
    <t>lfsi_long_q</t>
  </si>
  <si>
    <t>lfsq_etgaed</t>
  </si>
  <si>
    <t>lfsq_etpga</t>
  </si>
  <si>
    <t>lfsq_etgadc</t>
  </si>
  <si>
    <t>lfsq_etgais</t>
  </si>
  <si>
    <t>lfsq_etgan2</t>
  </si>
  <si>
    <t>Notes</t>
  </si>
  <si>
    <t>Europe (monthly)</t>
  </si>
  <si>
    <t>Europe</t>
  </si>
  <si>
    <t>FR</t>
  </si>
  <si>
    <t>BE</t>
  </si>
  <si>
    <t>NL</t>
  </si>
  <si>
    <t>SE</t>
  </si>
  <si>
    <t>PL</t>
  </si>
  <si>
    <t>NO</t>
  </si>
  <si>
    <t>FI</t>
  </si>
  <si>
    <t>DK</t>
  </si>
  <si>
    <t>Year -on-year growth</t>
  </si>
  <si>
    <t>Turnover</t>
  </si>
  <si>
    <t>countries</t>
  </si>
  <si>
    <t>Index</t>
  </si>
  <si>
    <t>Hours Worked</t>
  </si>
  <si>
    <t>(%)</t>
  </si>
  <si>
    <t>*Data on Y/Y growth of hours worked is not available for Sweden</t>
  </si>
  <si>
    <t>Column #</t>
  </si>
  <si>
    <t>Hours worked - Europe</t>
  </si>
  <si>
    <t>** Data on Y/Y change of agency turnover numbers are not available for Austria, Germany, Italy and Switzerland.</t>
  </si>
  <si>
    <t>Temporary agency work - hours worked</t>
  </si>
  <si>
    <t>Defined as the revenues generated by private employment agencies in the temporary staffing segment</t>
  </si>
  <si>
    <t>Hours worked</t>
  </si>
  <si>
    <t>Eurociett Survey</t>
  </si>
  <si>
    <t>Agency Work Sales Revenues</t>
  </si>
  <si>
    <t>Y / Y Change in</t>
  </si>
  <si>
    <t>Temporary agency work - sales revenues</t>
  </si>
  <si>
    <t>NA</t>
  </si>
  <si>
    <t>Sales revenues</t>
  </si>
  <si>
    <t>Defined as the sum of all hours invoiced by all private employment agencies to all user companies except where otherwise stated. In Germany, the indicator is total number of agency workers and the indicator for Switzerland is number of workable days.</t>
  </si>
  <si>
    <t>Hours worked by agency workers</t>
  </si>
  <si>
    <t>Turnover from agency work</t>
  </si>
  <si>
    <t>Monthly survey of the National Federations of Agency work in European countries</t>
  </si>
  <si>
    <t>Hours^ Worked by Agency Workers</t>
  </si>
  <si>
    <t>^In Germany, the indicator is total number of agency workers and the indicator for Switzerland is number of workable days.</t>
  </si>
  <si>
    <t>Data source for all graphs: Eurociett (European Confederation of Private Employment Agencies). Please check the "Notes" tab for more details.</t>
  </si>
  <si>
    <t>DE</t>
  </si>
  <si>
    <t>IT</t>
  </si>
  <si>
    <t>Montenegro</t>
  </si>
  <si>
    <t>Albania</t>
  </si>
  <si>
    <t>Serbia</t>
  </si>
  <si>
    <t>Euro Stat country codes</t>
  </si>
  <si>
    <t>European Union (EU)</t>
  </si>
  <si>
    <t>(BE)</t>
  </si>
  <si>
    <t>(EL)</t>
  </si>
  <si>
    <t>(LT)</t>
  </si>
  <si>
    <t>(PT)</t>
  </si>
  <si>
    <t>(BG)</t>
  </si>
  <si>
    <t>(ES)</t>
  </si>
  <si>
    <t>(LU)</t>
  </si>
  <si>
    <t>(RO)</t>
  </si>
  <si>
    <t>(CZ)</t>
  </si>
  <si>
    <t>(FR)</t>
  </si>
  <si>
    <t>(HU)</t>
  </si>
  <si>
    <t>(SI)</t>
  </si>
  <si>
    <t>(DK)</t>
  </si>
  <si>
    <t>(HR)</t>
  </si>
  <si>
    <t>(MT)</t>
  </si>
  <si>
    <t>(SK)</t>
  </si>
  <si>
    <t>(DE)</t>
  </si>
  <si>
    <t>(IT)</t>
  </si>
  <si>
    <t>(NL)</t>
  </si>
  <si>
    <t>(FI)</t>
  </si>
  <si>
    <t>(EE)</t>
  </si>
  <si>
    <t>(CY)</t>
  </si>
  <si>
    <t>(AT)</t>
  </si>
  <si>
    <t>(SE)</t>
  </si>
  <si>
    <t>(IE)</t>
  </si>
  <si>
    <t>(LV)</t>
  </si>
  <si>
    <t>(PL)</t>
  </si>
  <si>
    <t>(UK)</t>
  </si>
  <si>
    <t>European Free Trade Association (EFTA)</t>
  </si>
  <si>
    <t>(IS)</t>
  </si>
  <si>
    <t>(NO)</t>
  </si>
  <si>
    <t>Liechtenstein</t>
  </si>
  <si>
    <t>(LI)</t>
  </si>
  <si>
    <t>(CH)</t>
  </si>
  <si>
    <t>EU candidate countries</t>
  </si>
  <si>
    <t>(ME)</t>
  </si>
  <si>
    <t>The former Yugoslav Republic of Macedonia</t>
  </si>
  <si>
    <t>(MK[1])</t>
  </si>
  <si>
    <t>(AL)</t>
  </si>
  <si>
    <t>(RS)</t>
  </si>
  <si>
    <t>(TR)</t>
  </si>
  <si>
    <t>Potential candidates (all other Western Balkan countries)</t>
  </si>
  <si>
    <t>Kosovo under UNSCR 1244/99</t>
  </si>
  <si>
    <t>(XK[2])</t>
  </si>
  <si>
    <t>Bosnia and Herzegovina</t>
  </si>
  <si>
    <t>(BA)</t>
  </si>
  <si>
    <t>European Neighbourhood Policy (ENP)-East countries:</t>
  </si>
  <si>
    <t>Armenia</t>
  </si>
  <si>
    <t>(AM)</t>
  </si>
  <si>
    <t>Belarus</t>
  </si>
  <si>
    <t>(BY)</t>
  </si>
  <si>
    <t>Georgia</t>
  </si>
  <si>
    <t>(GE)</t>
  </si>
  <si>
    <t>Azerbaijan</t>
  </si>
  <si>
    <t>(AZ)</t>
  </si>
  <si>
    <t>Moldova</t>
  </si>
  <si>
    <t>(MD)</t>
  </si>
  <si>
    <t>Ukraine</t>
  </si>
  <si>
    <t>(UA)</t>
  </si>
  <si>
    <r>
      <t>European Neighbourhood Policy (ENP)-South</t>
    </r>
    <r>
      <rPr>
        <sz val="11"/>
        <color rgb="FF333333"/>
        <rFont val="Arial"/>
        <family val="2"/>
      </rPr>
      <t xml:space="preserve"> countries:</t>
    </r>
  </si>
  <si>
    <t>Algeria</t>
  </si>
  <si>
    <t>(DZ)</t>
  </si>
  <si>
    <t>Lebanon</t>
  </si>
  <si>
    <t>(LB)</t>
  </si>
  <si>
    <t>Syria</t>
  </si>
  <si>
    <t>(SY)</t>
  </si>
  <si>
    <t>Egypt</t>
  </si>
  <si>
    <t>(EG)</t>
  </si>
  <si>
    <t>Libya</t>
  </si>
  <si>
    <t>(LY)</t>
  </si>
  <si>
    <t>Tunisia</t>
  </si>
  <si>
    <t>(TN)</t>
  </si>
  <si>
    <t>Israel</t>
  </si>
  <si>
    <t>(IL)</t>
  </si>
  <si>
    <t>Morocco</t>
  </si>
  <si>
    <t>(MA)</t>
  </si>
  <si>
    <t>Jordan</t>
  </si>
  <si>
    <t>(JO)</t>
  </si>
  <si>
    <t>the occupied Palestinian territory</t>
  </si>
  <si>
    <t>(PS)</t>
  </si>
  <si>
    <t>CH</t>
  </si>
  <si>
    <t>Countries/ # hours worked</t>
  </si>
  <si>
    <t>2016Q1</t>
  </si>
  <si>
    <t>Temporary employees by sex, age and duration of the work contract (1 000) [lfsq_etgadc] - less than 1 month contract</t>
  </si>
  <si>
    <t>Temporary employees by sex, age and occupation (1 000) [lfsq_etgais] - Managers</t>
  </si>
  <si>
    <t>0-0.19</t>
  </si>
  <si>
    <t>Very weak</t>
  </si>
  <si>
    <t>0.2 - 0.39</t>
  </si>
  <si>
    <t>weak</t>
  </si>
  <si>
    <t>moderate</t>
  </si>
  <si>
    <t>strong</t>
  </si>
  <si>
    <t>very strong</t>
  </si>
  <si>
    <t>0.4-0.59</t>
  </si>
  <si>
    <t>0.6-0.79</t>
  </si>
  <si>
    <t>0.8-1.0</t>
  </si>
  <si>
    <t>r2</t>
  </si>
  <si>
    <t>% Change in Temp Employment</t>
  </si>
  <si>
    <t>Gross domestic product, volumes - Percentage change q/q-4 (NSA)</t>
  </si>
  <si>
    <t>Y/Y Change in quarterly GDP</t>
  </si>
  <si>
    <t>&lt;---  Click here to select a country</t>
  </si>
  <si>
    <t>Correlation Strength</t>
  </si>
  <si>
    <t>Weak</t>
  </si>
  <si>
    <t>Moderate</t>
  </si>
  <si>
    <t>Strong</t>
  </si>
  <si>
    <t>Very strong</t>
  </si>
  <si>
    <t>Temporary agency work vs. other economic factors</t>
  </si>
  <si>
    <t>Definitions of correlations used to find associations with temporary agency work indicators:</t>
  </si>
  <si>
    <t>Quarterly GDP growth, volumes</t>
  </si>
  <si>
    <t>Data source</t>
  </si>
  <si>
    <t>Eurostat, Quarterly National Accounts</t>
  </si>
  <si>
    <t>GDP and main components - volumes</t>
  </si>
  <si>
    <t>Gross domestic product (GDP) at market prices is the final result of the production activity of resident producer units (ESA 2010, 8.89). Data are calculated as chain-linked volumes (i.e. data at previous year's prices, linked over the years via appropriate growth rates).</t>
  </si>
  <si>
    <r>
      <t>R</t>
    </r>
    <r>
      <rPr>
        <vertAlign val="superscript"/>
        <sz val="11"/>
        <color theme="1"/>
        <rFont val="Calibri"/>
        <family val="2"/>
        <scheme val="minor"/>
      </rPr>
      <t>2</t>
    </r>
    <r>
      <rPr>
        <sz val="11"/>
        <color theme="1"/>
        <rFont val="Calibri"/>
        <family val="2"/>
        <scheme val="minor"/>
      </rPr>
      <t xml:space="preserve"> value</t>
    </r>
  </si>
  <si>
    <r>
      <t>Associations Between Temporary Agency Work Indicators and Other Economic Factors</t>
    </r>
    <r>
      <rPr>
        <b/>
        <vertAlign val="superscript"/>
        <sz val="22"/>
        <color theme="1"/>
        <rFont val="Calibri"/>
        <family val="2"/>
        <scheme val="minor"/>
      </rPr>
      <t>ᵻ</t>
    </r>
  </si>
  <si>
    <r>
      <rPr>
        <sz val="14"/>
        <color theme="1"/>
        <rFont val="Calibri"/>
        <family val="2"/>
        <scheme val="minor"/>
      </rPr>
      <t xml:space="preserve">ᵻ </t>
    </r>
    <r>
      <rPr>
        <sz val="11"/>
        <color theme="1"/>
        <rFont val="Calibri"/>
        <family val="2"/>
        <scheme val="minor"/>
      </rPr>
      <t>Association between temporary agency work indicators and various employment numbers as well as quarterly GDP growth rates were analyzed using Pearson's correlation and the strength of correlations are indicated as Pearson's correlation coefficients (R</t>
    </r>
    <r>
      <rPr>
        <vertAlign val="superscript"/>
        <sz val="11"/>
        <color theme="1"/>
        <rFont val="Calibri"/>
        <family val="2"/>
        <scheme val="minor"/>
      </rPr>
      <t>2</t>
    </r>
    <r>
      <rPr>
        <sz val="11"/>
        <color theme="1"/>
        <rFont val="Calibri"/>
        <family val="2"/>
        <scheme val="minor"/>
      </rPr>
      <t>).</t>
    </r>
  </si>
  <si>
    <t>(Note: Graphs in this tab won't update automatically based on the country selected in any of the other two tabs)</t>
  </si>
  <si>
    <t>Correlations between temp agency work indicators and economic factors</t>
  </si>
  <si>
    <t>Temp hours worked vs. total employment</t>
  </si>
  <si>
    <t>Temp hours worked vs. temp employment</t>
  </si>
  <si>
    <t>Temp hours worked vs. quarterly GDP growth</t>
  </si>
  <si>
    <t>Sales turnover vs. total employment</t>
  </si>
  <si>
    <t>Sales turnover vs. temp employment</t>
  </si>
  <si>
    <t>Sales turnover vs. quarterly GDP growth</t>
  </si>
  <si>
    <t>0 - 0.19</t>
  </si>
  <si>
    <t>0.4 - 0.59</t>
  </si>
  <si>
    <t>0.6 - 0.79</t>
  </si>
  <si>
    <t>0.8 - 1.0</t>
  </si>
  <si>
    <t>Y/Y Change in TAW hours worked vs. Y/Y change in total employment</t>
  </si>
  <si>
    <t>Y/Y Change in TAW hours worked vs. Y/Y change in temp employment</t>
  </si>
  <si>
    <t>Y/Y Change in TAW hours worked vs. Y/Y change in quarterly GDP growth</t>
  </si>
  <si>
    <t>Y/Y Change in TAW sales turnover vs. Y/Y change in total employment</t>
  </si>
  <si>
    <t>Y/Y Change in TAW sales turnover vs. Y/Y change in temp employment</t>
  </si>
  <si>
    <t>Y/Y Change in TAW sales turnover vs. Y/Y change in quarterly GDP growth</t>
  </si>
  <si>
    <t>Definitions of temporary agency work (TAW) metrics and  categories:</t>
  </si>
  <si>
    <t>Agency Work (TAW) Business Indicator</t>
  </si>
  <si>
    <t>0.04 - 0.15</t>
  </si>
  <si>
    <t>0.16 - 0.35</t>
  </si>
  <si>
    <t>0.36 - 0.63</t>
  </si>
  <si>
    <t>r value</t>
  </si>
  <si>
    <t>0 - 0.039</t>
  </si>
  <si>
    <t>0.64 - 1.0</t>
  </si>
  <si>
    <t>2016Q2</t>
  </si>
  <si>
    <t>Temporary employees by sex, age and educational attainment level (1 000) [lfsq_etgaed](unit in 1000s)</t>
  </si>
  <si>
    <r>
      <t>Country/R</t>
    </r>
    <r>
      <rPr>
        <vertAlign val="superscript"/>
        <sz val="12"/>
        <color theme="1"/>
        <rFont val="Calibri"/>
        <family val="2"/>
        <scheme val="minor"/>
      </rPr>
      <t>2</t>
    </r>
  </si>
  <si>
    <t>Country/ r-value</t>
  </si>
  <si>
    <t>0.20 - 0.39</t>
  </si>
  <si>
    <t>0.40 - 0.59</t>
  </si>
  <si>
    <t>0.60 - 0.79</t>
  </si>
  <si>
    <t>0.80 - 1.0</t>
  </si>
  <si>
    <t>Very strong positive</t>
  </si>
  <si>
    <t>Strong positive</t>
  </si>
  <si>
    <t>Moderate positive</t>
  </si>
  <si>
    <t>Weak positive</t>
  </si>
  <si>
    <t>Very weak positive</t>
  </si>
  <si>
    <t>-0.19 - 0</t>
  </si>
  <si>
    <t>- 0.39 - 0.2</t>
  </si>
  <si>
    <t>- 0.59 - 0.40</t>
  </si>
  <si>
    <t>- 0.79 - 0.60</t>
  </si>
  <si>
    <t>- 1.0 - 0.80</t>
  </si>
  <si>
    <t>Very weak negative</t>
  </si>
  <si>
    <t>Weak negative</t>
  </si>
  <si>
    <t>Moderate negative</t>
  </si>
  <si>
    <t>Strong negative</t>
  </si>
  <si>
    <t>Very strong negative</t>
  </si>
  <si>
    <t>Correlation coefficient (r)</t>
  </si>
  <si>
    <t>Total employment (resident population concept - LFS) - lfsq-egan</t>
  </si>
  <si>
    <t>2016Q3</t>
  </si>
  <si>
    <t>eppga</t>
  </si>
  <si>
    <t>lfsq_eppga</t>
  </si>
  <si>
    <t>lfsi_pt_q</t>
  </si>
  <si>
    <t>Employment and activity</t>
  </si>
  <si>
    <t>Unemployment rate by sex and age - quarterly average  [lfsq_urgan]</t>
  </si>
  <si>
    <t>GDP and main components  (output, expenditure and income) [namq_10_gdp]</t>
  </si>
  <si>
    <t>namq_10_gdp</t>
  </si>
  <si>
    <t>% of Unemployment in transition from Unemployment to employment (%) -lfsi_long_q</t>
  </si>
  <si>
    <t>For more information on the source data, please see the following websites:                                                                                                                                                                                                                                                                      http://ec.europa.eu/eurostat/web/microdata/european-union-labour-force-survey                                                 http://www.weceurope.org/</t>
  </si>
  <si>
    <t xml:space="preserve">Data Source: This report uses the European Union Labour Force Survey (EU-LFS) data which provides population estimates for the main labour market characteristics, such as employment, unemployment, hours of work, occupation, economic activity and other labour related variables, and regions of residence as well as temporary agency work business indicators data from The World Employment Confederation-Europe (Eurociett). </t>
  </si>
  <si>
    <t>URL to extrCT DATA</t>
  </si>
  <si>
    <t>calculated in excel</t>
  </si>
  <si>
    <t>http://appsso.eurostat.ec.europa.eu/nui/submitViewTableAction.do</t>
  </si>
  <si>
    <t>http://appsso.eurostat.ec.europa.eu/nui/show.do?dataset=lfsq_egan&amp;lang=en ;</t>
  </si>
  <si>
    <t xml:space="preserve"> Set options by clicking "+" sign. Age=15-64, Citizen = Total, Geo = all, Sex = T, time = latest 10 quarters, Unit= THS;</t>
  </si>
  <si>
    <t>Age=15-64,  Geo = all, Sex = T, time = latest 10 quarters, Unit= PC; full extraction - on separate sheets, flags and footnotes- on separate sheets;</t>
  </si>
  <si>
    <t>http://appsso.eurostat.ec.europa.eu/nui/show.do?dataset=lfsq_ergan&amp;lang=en</t>
  </si>
  <si>
    <t>http://appsso.eurostat.ec.europa.eu/nui/show.do?dataset=lfsi_long_q&amp;lang=en</t>
  </si>
  <si>
    <t>Age=15-64,  Geo = all, Sex = T, time = latest 10 quarters, Unit= THS_per ; full extraction - on separate sheets, flags and footnotes- on separate sheets;</t>
  </si>
  <si>
    <t>http://appsso.eurostat.ec.europa.eu/nui/show.do?dataset=lfsq_etgaed&amp;lang=en</t>
  </si>
  <si>
    <t>Age=15-64,  Geo = all, Sex = T, time = latest 10 quarters, Unit= PC; ISCED= select all, full extraction - on separate sheets, flags and footnotes- on separate sheets;</t>
  </si>
  <si>
    <t>http://appsso.eurostat.ec.europa.eu/nui/show.do?dataset=lfsq_etgan2&amp;lang=en</t>
  </si>
  <si>
    <t>http://appsso.eurostat.ec.europa.eu/nui/show.do?dataset=lfsq_etgadc&amp;lang=en</t>
  </si>
  <si>
    <t>http://appsso.eurostat.ec.europa.eu/nui/show.do?dataset=lfsq_etgais&amp;lang=en</t>
  </si>
  <si>
    <t>http://appsso.eurostat.ec.europa.eu/nui/show.do?dataset=lfsq_etpga&amp;lang=en</t>
  </si>
  <si>
    <t>http://www.weceurope.org/uploads/media/AWBI_MA_17.pdf</t>
  </si>
  <si>
    <t>2016Q4</t>
  </si>
  <si>
    <t>Employment rate (15 to 64 years)[lfsq_ergan]</t>
  </si>
  <si>
    <t>Under total emp, Percentage of employees with temporary contracts [lfsi_pt_q] data- has an extra row for France (metropolitan). So delete that row before copying and pasting that data on to the Data-total_employment tab.</t>
  </si>
  <si>
    <t>Under total emp, % of Unemployment in transition from Unemployment to employment (%) -lfsi_long_q  - data doesn't have the EU area and Europian union data rows. So when pasting start pasting from row 10 of the tab.</t>
  </si>
  <si>
    <t>Under total emp, % of Unemployment in transition from Unemployment to employment (%) -lfsi_long_q  - doesn't have data roaws for Belgium and Germany. So insert blank rows for these two at row #10 and row #14 respectively.</t>
  </si>
  <si>
    <t>Under temp emp, Temporary employees by sex, age and duration of the work contract (1 000) [lfsq_etgadc] for the data for 13 -24 months, add both data points - data for 13-18 months and 19-24 months;</t>
  </si>
  <si>
    <t>Under temp emp, Temporary employees by sex, age and duration of the work contract (1 000) [lfsq_etgadc] for the data for 25 -36+ months, add both data points - data for 24-36 months and 36+ months;</t>
  </si>
  <si>
    <t>http://appsso.eurostat.ec.europa.eu/nui/show.do?dataset=namq_10_gdp&amp;lang=en</t>
  </si>
  <si>
    <t>http://appsso.eurostat.ec.europa.eu/nui/show.do?dataset=lfsq_urgan&amp;lang=en</t>
  </si>
  <si>
    <t>2017Q1</t>
  </si>
  <si>
    <t>Update and make short the names of Germany and Macedonia</t>
  </si>
  <si>
    <t>Change the last three month (after shifted) to the correct months.</t>
  </si>
  <si>
    <t>Transition in employment under total emp - remove values for Luxembourg and Malta</t>
  </si>
  <si>
    <t>***Agency turnover numbers for Denmark, Italy and Poland are missing for some months in 2015.</t>
  </si>
  <si>
    <t>Under temp employment, check and remove all partial data row values, especially Luxembourg</t>
  </si>
  <si>
    <t>Source: Eurostat. See Notes worksheet for more details.</t>
  </si>
  <si>
    <t xml:space="preserve">http://appsso.eurostat.ec.europa.eu/nui/submitViewTableAction.do </t>
  </si>
  <si>
    <t>Y/Y Change in</t>
  </si>
  <si>
    <t xml:space="preserve">  (Note: The country selected in the drop-down menu is not linked to the selection in the other worksheets)</t>
  </si>
  <si>
    <t>*Data on Y/Y growth in hours worked is not available for Sweden. For Germany, no data is available after July 2016.</t>
  </si>
  <si>
    <t>^In Germany, the indicator is total number of agency workers. For Switzerland, the indicator is number of workable days.</t>
  </si>
  <si>
    <t>** Data on Y/Y change in sales turnover is not available for Austria, Germany and Switzerland.</t>
  </si>
  <si>
    <t>Temporary Agency Work Sales Turnover</t>
  </si>
  <si>
    <t>Hours^ Worked by Temporary Agency Workers</t>
  </si>
  <si>
    <t>Temporary Agency Work</t>
  </si>
  <si>
    <t>Guide to colors used above</t>
  </si>
  <si>
    <t xml:space="preserve">Source: World Employment Confederation-Europe, formerly known as Eurociett (European Confederation of Private Employment Agencies). </t>
  </si>
  <si>
    <t>Do copy+paste only and not cut+paste, as it may break some of the formula for graphs</t>
  </si>
  <si>
    <t xml:space="preserve">1. Download each individual data set as an excel file, from Q42014 to Q1 2017 </t>
  </si>
  <si>
    <t>4. Copy and paste as values, each set in the right cells in this excel file - for total temp, copy to Data-total_employment tab, copy  temp data to Data-temp_employment</t>
  </si>
  <si>
    <t>Total emp data:</t>
  </si>
  <si>
    <t>Under total emp, Percentage of employees with temporary contracts [lfsi_pt_q] data- doesn't have a row for Turkey, so insert a row for Turky with no data, before copying and pasting the whole dataset on to the Data-total_employment tab.</t>
  </si>
  <si>
    <t>The find and replace all the ":" with empty string, using find-&gt;replace-&gt;replace all</t>
  </si>
  <si>
    <t>Temp emp data:</t>
  </si>
  <si>
    <t>Under temp emp, insert rows where any country is missing in any data sets, before copying that data set</t>
  </si>
  <si>
    <t>Under temp emp, Temporary employees by sex, age and duration of the work contract (1 000) [lfsq_etgadc] - Remove allzero only rows - Bulgaria, Estonia, Latvia, Lithuania, Luxenbourg, Malta, Romania, Iceland</t>
  </si>
  <si>
    <r>
      <rPr>
        <b/>
        <sz val="11"/>
        <color theme="1"/>
        <rFont val="Calibri"/>
        <family val="2"/>
        <scheme val="minor"/>
      </rPr>
      <t>For both temp and total emp data:</t>
    </r>
    <r>
      <rPr>
        <sz val="11"/>
        <color theme="1"/>
        <rFont val="Calibri"/>
        <family val="2"/>
        <scheme val="minor"/>
      </rPr>
      <t xml:space="preserve"> Cleanup the file - sort by country name, GEO/TIME, starting from Belgium row, row# 10</t>
    </r>
  </si>
  <si>
    <t>This will make the graphs update automatically</t>
  </si>
  <si>
    <t>Manual check of data vs. graph:</t>
  </si>
  <si>
    <t>Once all graphs are updated automatically, check them manually for accuracy</t>
  </si>
  <si>
    <t>For each country, for each graph, randomly check one data point (say, Q2 2016) in the graph against the data in the data tab whether they match</t>
  </si>
  <si>
    <t>For the Eurociett data</t>
  </si>
  <si>
    <t>download each monthly reports upto the current month, as pdf files from their website</t>
  </si>
  <si>
    <t>in the tab - Eurociett_data_formatted, shift the data to the left three months - Copy F1:CX15 and paste them to C1:CU15, including months. Similarly copy DF1:GX15 and paste them to DC1:GU15</t>
  </si>
  <si>
    <t>Just manually enter the data from that month's pdf into this excel, for the last three months</t>
  </si>
  <si>
    <t>check for the country names - two letter codes match with the names before copying</t>
  </si>
  <si>
    <t>Run correlations</t>
  </si>
  <si>
    <t>clicking each country from drop down, so that it will load the correlations between metrics for that country</t>
  </si>
  <si>
    <t>Copy paste R2 values frm each graph to the table cells on the bottom right table.</t>
  </si>
  <si>
    <t>unhide the tab - Agency Work with correlation_2</t>
  </si>
  <si>
    <t>lfsqegan_2015Q2</t>
  </si>
  <si>
    <t>Spotchecks current file vs. last quarterfile</t>
  </si>
  <si>
    <t>lfsqegan_2015Q3</t>
  </si>
  <si>
    <t>lfsqegan_2015Q4</t>
  </si>
  <si>
    <t>eppga_2016Q1</t>
  </si>
  <si>
    <t>eppga_2016Q2</t>
  </si>
  <si>
    <t>eppga_2016Q3</t>
  </si>
  <si>
    <t>lfsiptq_2016Q1</t>
  </si>
  <si>
    <t>lfsiptq_2016Q2</t>
  </si>
  <si>
    <t>lfsiptq_2016Q3</t>
  </si>
  <si>
    <t>lfsq_ergan_2015Q1</t>
  </si>
  <si>
    <t>lfsq_ergan_2015Q2</t>
  </si>
  <si>
    <t>lfsq_ergan_2015Q3</t>
  </si>
  <si>
    <t>lfsi_long_q_2016Q2</t>
  </si>
  <si>
    <t>lfsi_long_q_2016Q3</t>
  </si>
  <si>
    <t>lfsq_etpga_2015Q2</t>
  </si>
  <si>
    <t>lfsq_etpga_2015Q3</t>
  </si>
  <si>
    <t>lfsq_etgaed_2015Q1</t>
  </si>
  <si>
    <t>lfsq_etgaed_2015Q2</t>
  </si>
  <si>
    <t>lfsq_etgadc_2016Q1</t>
  </si>
  <si>
    <t>lfsq_etgadc_2016Q2</t>
  </si>
  <si>
    <t>lfsq_etgadc_2015Q1</t>
  </si>
  <si>
    <t>lfsq_etgadc_2015Q2</t>
  </si>
  <si>
    <t>Temporary employees by sex, age and educational attainment level-lfsq_etgaed</t>
  </si>
  <si>
    <t>Managers</t>
  </si>
  <si>
    <t>Professionals</t>
  </si>
  <si>
    <t>technicians</t>
  </si>
  <si>
    <t>clerical</t>
  </si>
  <si>
    <t>sales</t>
  </si>
  <si>
    <t>skilled agri</t>
  </si>
  <si>
    <t>craft</t>
  </si>
  <si>
    <t>machine operators</t>
  </si>
  <si>
    <t>elementary</t>
  </si>
  <si>
    <t>armed</t>
  </si>
  <si>
    <t>agri</t>
  </si>
  <si>
    <t>manufacturing</t>
  </si>
  <si>
    <t>construction</t>
  </si>
  <si>
    <t>wholesale and retail trade</t>
  </si>
  <si>
    <t>transportation and storage</t>
  </si>
  <si>
    <t>accommodation</t>
  </si>
  <si>
    <t>information and communication</t>
  </si>
  <si>
    <t>Financial and insurance</t>
  </si>
  <si>
    <t>Professional, scientific</t>
  </si>
  <si>
    <t>Public administration</t>
  </si>
  <si>
    <t>education</t>
  </si>
  <si>
    <t>human/Social work</t>
  </si>
  <si>
    <r>
      <t>; Age=15-64,  Geo = all, Sex = T,</t>
    </r>
    <r>
      <rPr>
        <sz val="10"/>
        <color rgb="FFFF0000"/>
        <rFont val="Calibri"/>
        <family val="2"/>
      </rPr>
      <t xml:space="preserve"> S_adj= NSA, </t>
    </r>
    <r>
      <rPr>
        <sz val="10"/>
        <rFont val="Calibri"/>
        <family val="2"/>
      </rPr>
      <t xml:space="preserve"> time = latest 10 quarters, Unit= PC_EMP, WORKTIME= TEMP; full extraction - on separate sheets, flags and footnotes- on separate sheets;</t>
    </r>
  </si>
  <si>
    <t>Seasonally adjusted</t>
  </si>
  <si>
    <t>lfsi_long_q_2016Q1</t>
  </si>
  <si>
    <t>DO NOT USE THIS PAGE</t>
  </si>
  <si>
    <t>Percentage of employees with temporary contracts (adjusted)</t>
  </si>
  <si>
    <t>password: open</t>
  </si>
  <si>
    <t xml:space="preserve">DO NOT DISTRIBUTE OUTSIDE YOUR ORGANISATION. </t>
  </si>
  <si>
    <t xml:space="preserve">Your company’s use of this report precludes distribution of its contents, in whole or in part, to other companies or individuals outside your organisation in any form – electronic, written or verbal – without the express written permission of Staffing Industry Analysts. It is your organisation’s responsibility to maintain and protect the confidentiality of this report. </t>
  </si>
  <si>
    <t>Part-time workers as percentage of total employment</t>
  </si>
  <si>
    <t>part-time workers as percentage of total employment</t>
  </si>
  <si>
    <t>part-time distinction is made on the basis of a spontaneous answer given by the respondent in all countries, except for the Netherlands, Iceland and Norway, where part-time is determined on the basis of whether the usual hours worked are fewer than 35, while full-time on the basis of whether the usual hours worked are 35 or more, and in Sweden where this criterion is applied to self-employed persons as well.</t>
  </si>
  <si>
    <t>Percent change in total employment for each quarter versus the prior-year quarter.</t>
  </si>
  <si>
    <t>Survey of the National Federations of Agency Work in European countries</t>
  </si>
  <si>
    <t>2017Q2</t>
  </si>
  <si>
    <t xml:space="preserve">Belgium </t>
  </si>
  <si>
    <t xml:space="preserve">Germany </t>
  </si>
  <si>
    <t xml:space="preserve">Confidential Report – NOT for Distribution | ©2018 by Crain Communications Inc. All rights reserved. </t>
  </si>
  <si>
    <t>2017Q3</t>
  </si>
  <si>
    <t>Percentage of employees with temporary contracts [lfsi_pt_q] Seasonally adjusted data, not calendar adjusted data</t>
  </si>
  <si>
    <t>Temporary employees by sex, age and economic activity (from 2008 onwards, NACE Rev. 2) - 1 000 - Agriculture, forestry and fishing [lfsq_etgan2]</t>
  </si>
  <si>
    <t>Column1</t>
  </si>
  <si>
    <t>March-17</t>
  </si>
  <si>
    <t>May-17</t>
  </si>
  <si>
    <t>June-17</t>
  </si>
  <si>
    <t>July-17</t>
  </si>
  <si>
    <t>Spt-17</t>
  </si>
  <si>
    <t>Oct-17</t>
  </si>
  <si>
    <t>Europe - Monthly Trends in Temporary Agency Work Indicators (Feb 14 - Nov 17)</t>
  </si>
  <si>
    <t>Percentage of employees with temporary contracts [lfsi_pt_q] (adjusted)</t>
  </si>
  <si>
    <t>Temporary employees by sex, age and economic activity (from 2008 onwards, NACE Rev. 2) - 1 000 - Agriculture, forestry and fishing</t>
  </si>
  <si>
    <t>2017Q4</t>
  </si>
  <si>
    <t>Correlations between temp agency work indicators and economic factors, Feb 2014 - Dec 2017</t>
  </si>
  <si>
    <t>2018Q1</t>
  </si>
  <si>
    <t>Quarterly Total and Temporary Employment Situation in Europe, 2016 Q1 - 2018 Q2</t>
  </si>
  <si>
    <t>Total Employment Situation, 2016 Q1 - 2018 Q2</t>
  </si>
  <si>
    <t>Temporary Employment Situation, 2016 Q1 - 2018 Q2</t>
  </si>
  <si>
    <t>2018Q2</t>
  </si>
  <si>
    <t>Data Source: This report uses data from the European Union Labour Force Survey (EU-LFS), the World Employment Confederation and Staffing Association throughout Europe.  The former provides population estimates for the main labour market characteristics, such as employment, unemployment, hours of work, occupation, economic activity and other labour related variables, and regions of residence. The following organisations give us data on temporary agency work business indicators.</t>
  </si>
  <si>
    <t>Number of temporary employees by highest education level attained, based on International Standard Classification of Education (ISCED 2011). The graph displays three categories: less than primary, primary and lower secondary education (levels 0-2); Upper secondary and post-secondary non-tertiary education (levels 3 and 4); and Tertiary education (levels 5-8).</t>
  </si>
  <si>
    <t>Number of temporary employees by occupation based on International Standard Classification of Occupations (ISCO 2008). The graph displays nine categories: managers, professionals, technical and associate professionals, clerical support workers, service and sales workers, skilled agricultureculturecultureculturecultural, forestry and fishery workers, craft and related trades workers, plant and machine operators and assemblers, elementary occupations and armed forces occupations.</t>
  </si>
  <si>
    <t>Number of temporary employees by economic activities according to NACE Rev.2 classification (Statistical Classification of Economic Activities in the European Community). The graph displays 13 out of 21 NACE activities: agriculture/fisheries/forestry, manufacturing, construction, wholesale/retail trade, transportation and storage, accommodation/food service, information and communication, financial/insurance, professional/scientific/technical, administrative, public administration and defence, education, and human health/social work.</t>
  </si>
  <si>
    <t>Defined as the sum of all hours invoiced by all private employment agencies to all user companies except where otherwise stated. In Germany, the indicator is total number of agency workers and, the indicator for Switzerland is number of working days.</t>
  </si>
  <si>
    <t xml:space="preserve">This workbook displays key labour market indicators relevant to the staffing, recruitment and workforce solutions industry in Europe. The "Total Employment" and "Temporary Employment" worksheets function as a dashboard showing labour market trends in 33 countries, from 2016 Q1 up until the latest data release. The "Agency Work" worksheet reveals monthly business trends in the employment agency industry in 12 countries, from April 2014 up to the latest data release. </t>
  </si>
  <si>
    <t>Temporary Agency Work Indicators, April 2014 - June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</si>
</sst>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 #,##0.00_ ;_ * \-#,##0.00_ ;_ * &quot;-&quot;??_ ;_ @_ "/>
    <numFmt numFmtId="164" formatCode="#,##0.0"/>
    <numFmt numFmtId="165" formatCode="0.0%"/>
    <numFmt numFmtId="166" formatCode="[$-409]mmm\-yy;@"/>
    <numFmt numFmtId="167" formatCode="_ * #,##0.000_ ;_ * \-#,##0.000_ ;_ * &quot;-&quot;??_ ;_ @_ "/>
    <numFmt numFmtId="168" formatCode="0.000"/>
    <numFmt numFmtId="169" formatCode="0.0"/>
    <numFmt numFmtId="170" formatCode="_-* #,##0.00\ _€_-;\-* #,##0.00\ _€_-;_-* &quot;-&quot;??\ _€_-;_-@_-"/>
    <numFmt numFmtId="171" formatCode="#,##0;\(#,##0\)"/>
  </numFmts>
  <fonts count="55">
    <font>
      <sz val="11"/>
      <color theme="1"/>
      <name val="Calibri"/>
      <family val="2"/>
      <scheme val="minor"/>
    </font>
    <font>
      <sz val="11"/>
      <color theme="1"/>
      <name val="Calibri"/>
      <family val="2"/>
      <scheme val="minor"/>
    </font>
    <font>
      <sz val="10"/>
      <name val="Arial"/>
      <family val="2"/>
    </font>
    <font>
      <sz val="10"/>
      <name val="Arial"/>
      <family val="2"/>
    </font>
    <font>
      <sz val="11"/>
      <color rgb="FF3F3F76"/>
      <name val="Calibri"/>
      <family val="2"/>
      <scheme val="minor"/>
    </font>
    <font>
      <b/>
      <sz val="18"/>
      <color theme="1"/>
      <name val="Calibri"/>
      <family val="2"/>
      <scheme val="minor"/>
    </font>
    <font>
      <b/>
      <sz val="12"/>
      <color theme="0"/>
      <name val="Calibri"/>
      <family val="2"/>
      <scheme val="minor"/>
    </font>
    <font>
      <b/>
      <sz val="14"/>
      <color theme="1"/>
      <name val="Calibri"/>
      <family val="2"/>
      <scheme val="minor"/>
    </font>
    <font>
      <sz val="10"/>
      <color theme="1"/>
      <name val="Calibri"/>
      <family val="2"/>
      <scheme val="minor"/>
    </font>
    <font>
      <b/>
      <sz val="14"/>
      <name val="Calibri"/>
      <family val="2"/>
    </font>
    <font>
      <sz val="10"/>
      <name val="Calibri"/>
      <family val="2"/>
    </font>
    <font>
      <b/>
      <sz val="10"/>
      <name val="Calibri"/>
      <family val="2"/>
    </font>
    <font>
      <sz val="12"/>
      <name val="Calibri"/>
      <family val="2"/>
    </font>
    <font>
      <b/>
      <sz val="10"/>
      <name val="Calibri"/>
      <family val="2"/>
      <scheme val="minor"/>
    </font>
    <font>
      <u/>
      <sz val="10"/>
      <color indexed="12"/>
      <name val="Arial"/>
      <family val="2"/>
    </font>
    <font>
      <sz val="7"/>
      <name val="Calibri"/>
      <family val="2"/>
      <scheme val="minor"/>
    </font>
    <font>
      <sz val="11"/>
      <color rgb="FFFF0000"/>
      <name val="Calibri"/>
      <family val="2"/>
      <scheme val="minor"/>
    </font>
    <font>
      <sz val="11"/>
      <name val="Calibri"/>
      <family val="2"/>
      <scheme val="minor"/>
    </font>
    <font>
      <sz val="12"/>
      <color theme="1"/>
      <name val="Calibri"/>
      <family val="2"/>
      <scheme val="minor"/>
    </font>
    <font>
      <sz val="11"/>
      <color rgb="FF333333"/>
      <name val="Arial"/>
      <family val="2"/>
    </font>
    <font>
      <b/>
      <sz val="11"/>
      <color rgb="FF333333"/>
      <name val="Arial"/>
      <family val="2"/>
    </font>
    <font>
      <b/>
      <sz val="14"/>
      <color theme="0"/>
      <name val="Calibri"/>
      <family val="2"/>
      <scheme val="minor"/>
    </font>
    <font>
      <sz val="12"/>
      <name val="Calibri"/>
      <family val="2"/>
      <scheme val="minor"/>
    </font>
    <font>
      <vertAlign val="superscript"/>
      <sz val="11"/>
      <color theme="1"/>
      <name val="Calibri"/>
      <family val="2"/>
      <scheme val="minor"/>
    </font>
    <font>
      <b/>
      <vertAlign val="superscript"/>
      <sz val="22"/>
      <color theme="1"/>
      <name val="Calibri"/>
      <family val="2"/>
      <scheme val="minor"/>
    </font>
    <font>
      <sz val="14"/>
      <color theme="1"/>
      <name val="Calibri"/>
      <family val="2"/>
      <scheme val="minor"/>
    </font>
    <font>
      <b/>
      <sz val="12"/>
      <color theme="1"/>
      <name val="Calibri"/>
      <family val="2"/>
      <scheme val="minor"/>
    </font>
    <font>
      <b/>
      <sz val="10"/>
      <color theme="1"/>
      <name val="Calibri"/>
      <family val="2"/>
      <scheme val="minor"/>
    </font>
    <font>
      <sz val="10"/>
      <name val="Arial"/>
      <family val="2"/>
    </font>
    <font>
      <sz val="11"/>
      <name val="Arial"/>
      <family val="2"/>
    </font>
    <font>
      <vertAlign val="superscript"/>
      <sz val="12"/>
      <color theme="1"/>
      <name val="Calibri"/>
      <family val="2"/>
      <scheme val="minor"/>
    </font>
    <font>
      <u/>
      <sz val="10"/>
      <color indexed="12"/>
      <name val="Calibri"/>
      <family val="2"/>
      <scheme val="minor"/>
    </font>
    <font>
      <sz val="11"/>
      <name val="Arial"/>
      <family val="2"/>
    </font>
    <font>
      <sz val="14"/>
      <name val="Arial"/>
      <family val="2"/>
    </font>
    <font>
      <b/>
      <sz val="11"/>
      <name val="Calibri"/>
      <family val="2"/>
      <scheme val="minor"/>
    </font>
    <font>
      <u/>
      <sz val="11"/>
      <color theme="1"/>
      <name val="Calibri"/>
      <family val="2"/>
      <scheme val="minor"/>
    </font>
    <font>
      <u/>
      <sz val="11"/>
      <name val="Calibri"/>
      <family val="2"/>
      <scheme val="minor"/>
    </font>
    <font>
      <u/>
      <sz val="10"/>
      <color theme="1"/>
      <name val="Calibri"/>
      <family val="2"/>
      <scheme val="minor"/>
    </font>
    <font>
      <b/>
      <sz val="11"/>
      <color theme="1"/>
      <name val="Calibri"/>
      <family val="2"/>
      <scheme val="minor"/>
    </font>
    <font>
      <sz val="10"/>
      <color rgb="FFFF0000"/>
      <name val="Arial"/>
      <family val="2"/>
    </font>
    <font>
      <sz val="10"/>
      <color rgb="FFFF0000"/>
      <name val="Calibri"/>
      <family val="2"/>
    </font>
    <font>
      <sz val="8"/>
      <color theme="1"/>
      <name val="Calibri"/>
      <family val="2"/>
      <scheme val="minor"/>
    </font>
    <font>
      <sz val="7"/>
      <color theme="1"/>
      <name val="Calibri"/>
      <family val="2"/>
      <scheme val="minor"/>
    </font>
    <font>
      <sz val="10"/>
      <color rgb="FF000000"/>
      <name val="Arial"/>
      <family val="2"/>
    </font>
    <font>
      <sz val="8"/>
      <color rgb="FF000000"/>
      <name val="@Arial Unicode MS"/>
    </font>
    <font>
      <sz val="8"/>
      <color rgb="FF25396E"/>
      <name val="@Arial Unicode MS"/>
    </font>
    <font>
      <b/>
      <sz val="8"/>
      <color rgb="FF25396E"/>
      <name val="@Arial Unicode MS"/>
    </font>
    <font>
      <b/>
      <sz val="8"/>
      <color rgb="FF3F3F3F"/>
      <name val="@Arial Unicode MS"/>
    </font>
    <font>
      <sz val="10"/>
      <color rgb="FF000000"/>
      <name val="Arial"/>
      <family val="2"/>
      <charset val="204"/>
    </font>
    <font>
      <sz val="11"/>
      <color rgb="FF9C6500"/>
      <name val="Calibri"/>
      <family val="2"/>
      <scheme val="minor"/>
    </font>
    <font>
      <sz val="10"/>
      <color rgb="FF3F3F76"/>
      <name val="Calibri"/>
      <family val="2"/>
      <scheme val="minor"/>
    </font>
    <font>
      <sz val="14"/>
      <color rgb="FF00B050"/>
      <name val="Arial"/>
      <family val="2"/>
    </font>
    <font>
      <sz val="10"/>
      <color rgb="FF00B050"/>
      <name val="Arial"/>
      <family val="2"/>
    </font>
    <font>
      <sz val="11"/>
      <color rgb="FF00B050"/>
      <name val="Calibri"/>
      <family val="2"/>
      <scheme val="minor"/>
    </font>
    <font>
      <sz val="10"/>
      <name val="Arial"/>
      <family val="2"/>
    </font>
  </fonts>
  <fills count="52">
    <fill>
      <patternFill patternType="none"/>
    </fill>
    <fill>
      <patternFill patternType="gray125"/>
    </fill>
    <fill>
      <patternFill patternType="solid">
        <fgColor indexed="44"/>
        <bgColor indexed="64"/>
      </patternFill>
    </fill>
    <fill>
      <patternFill patternType="solid">
        <fgColor theme="4" tint="0.39997558519241921"/>
        <bgColor indexed="64"/>
      </patternFill>
    </fill>
    <fill>
      <patternFill patternType="solid">
        <fgColor rgb="FF99CCFF"/>
        <bgColor rgb="FF000000"/>
      </patternFill>
    </fill>
    <fill>
      <patternFill patternType="solid">
        <fgColor theme="2"/>
        <bgColor indexed="64"/>
      </patternFill>
    </fill>
    <fill>
      <patternFill patternType="solid">
        <fgColor rgb="FFFFCC99"/>
      </patternFill>
    </fill>
    <fill>
      <patternFill patternType="solid">
        <fgColor theme="0" tint="-4.9989318521683403E-2"/>
        <bgColor indexed="64"/>
      </patternFill>
    </fill>
    <fill>
      <patternFill patternType="solid">
        <fgColor rgb="FF0097A9"/>
        <bgColor indexed="64"/>
      </patternFill>
    </fill>
    <fill>
      <patternFill patternType="solid">
        <fgColor theme="0"/>
        <bgColor indexed="64"/>
      </patternFill>
    </fill>
    <fill>
      <patternFill patternType="solid">
        <fgColor rgb="FFE3E8EC"/>
        <bgColor indexed="64"/>
      </patternFill>
    </fill>
    <fill>
      <patternFill patternType="solid">
        <fgColor rgb="FFFFB81C"/>
        <bgColor indexed="64"/>
      </patternFill>
    </fill>
    <fill>
      <patternFill patternType="solid">
        <fgColor rgb="FFFFFF00"/>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57B8"/>
        <bgColor indexed="64"/>
      </patternFill>
    </fill>
    <fill>
      <patternFill patternType="solid">
        <fgColor rgb="FFF5FAFF"/>
        <bgColor indexed="64"/>
      </patternFill>
    </fill>
    <fill>
      <patternFill patternType="solid">
        <fgColor theme="2" tint="-9.9978637043366805E-2"/>
        <bgColor indexed="64"/>
      </patternFill>
    </fill>
    <fill>
      <patternFill patternType="solid">
        <fgColor theme="4"/>
        <bgColor indexed="64"/>
      </patternFill>
    </fill>
    <fill>
      <patternFill patternType="solid">
        <fgColor rgb="FFE1D100"/>
        <bgColor indexed="64"/>
      </patternFill>
    </fill>
    <fill>
      <patternFill patternType="solid">
        <fgColor theme="9"/>
        <bgColor indexed="64"/>
      </patternFill>
    </fill>
    <fill>
      <patternFill patternType="solid">
        <fgColor rgb="FF246147"/>
        <bgColor indexed="64"/>
      </patternFill>
    </fill>
    <fill>
      <patternFill patternType="solid">
        <fgColor rgb="FF609986"/>
        <bgColor indexed="64"/>
      </patternFill>
    </fill>
    <fill>
      <patternFill patternType="solid">
        <fgColor rgb="FFC8DECA"/>
        <bgColor indexed="64"/>
      </patternFill>
    </fill>
    <fill>
      <patternFill patternType="solid">
        <fgColor rgb="FFDDF3EC"/>
        <bgColor indexed="64"/>
      </patternFill>
    </fill>
    <fill>
      <patternFill patternType="solid">
        <fgColor rgb="FF6A4061"/>
        <bgColor indexed="64"/>
      </patternFill>
    </fill>
    <fill>
      <patternFill patternType="solid">
        <fgColor rgb="FFA76D9B"/>
        <bgColor indexed="64"/>
      </patternFill>
    </fill>
    <fill>
      <patternFill patternType="solid">
        <fgColor rgb="FFC29AB9"/>
        <bgColor indexed="64"/>
      </patternFill>
    </fill>
    <fill>
      <patternFill patternType="solid">
        <fgColor rgb="FFE1CDDD"/>
        <bgColor indexed="64"/>
      </patternFill>
    </fill>
    <fill>
      <patternFill patternType="solid">
        <fgColor rgb="FFF2EAF0"/>
        <bgColor indexed="64"/>
      </patternFill>
    </fill>
    <fill>
      <patternFill patternType="solid">
        <fgColor rgb="FF89B5A6"/>
        <bgColor indexed="64"/>
      </patternFill>
    </fill>
    <fill>
      <patternFill patternType="solid">
        <fgColor theme="7"/>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rgb="FF000000"/>
      </patternFill>
    </fill>
    <fill>
      <patternFill patternType="solid">
        <fgColor theme="4" tint="0.59999389629810485"/>
        <bgColor indexed="64"/>
      </patternFill>
    </fill>
    <fill>
      <patternFill patternType="solid">
        <fgColor rgb="FFFFEB9C"/>
      </patternFill>
    </fill>
    <fill>
      <patternFill patternType="solid">
        <fgColor rgb="FFF0F0F0"/>
        <bgColor rgb="FFFFFFFF"/>
      </patternFill>
    </fill>
    <fill>
      <patternFill patternType="solid">
        <fgColor rgb="FFFFFFFF"/>
        <bgColor rgb="FFFFFFFF"/>
      </patternFill>
    </fill>
    <fill>
      <patternFill patternType="solid">
        <fgColor rgb="FFFFFFFF"/>
        <bgColor rgb="FF000000"/>
      </patternFill>
    </fill>
    <fill>
      <patternFill patternType="solid">
        <fgColor rgb="FFF5FFC2"/>
        <bgColor rgb="FFFFFFFF"/>
      </patternFill>
    </fill>
    <fill>
      <patternFill patternType="solid">
        <fgColor rgb="FFF7EAA5"/>
        <bgColor rgb="FFFFFFFF"/>
      </patternFill>
    </fill>
    <fill>
      <patternFill patternType="solid">
        <fgColor rgb="FFFF0000"/>
        <bgColor indexed="64"/>
      </patternFill>
    </fill>
    <fill>
      <patternFill patternType="solid">
        <fgColor rgb="FFE5B53A"/>
        <bgColor indexed="64"/>
      </patternFill>
    </fill>
    <fill>
      <patternFill patternType="solid">
        <fgColor rgb="FFE5B53A"/>
        <bgColor rgb="FF000000"/>
      </patternFill>
    </fill>
    <fill>
      <patternFill patternType="solid">
        <fgColor rgb="FFFFFF00"/>
        <bgColor rgb="FF000000"/>
      </patternFill>
    </fill>
    <fill>
      <patternFill patternType="solid">
        <fgColor theme="9" tint="0.39997558519241921"/>
        <bgColor indexed="64"/>
      </patternFill>
    </fill>
    <fill>
      <patternFill patternType="solid">
        <fgColor rgb="FFC00000"/>
        <bgColor indexed="64"/>
      </patternFill>
    </fill>
    <fill>
      <patternFill patternType="solid">
        <fgColor rgb="FFC00000"/>
        <bgColor rgb="FF000000"/>
      </patternFill>
    </fill>
    <fill>
      <patternFill patternType="solid">
        <fgColor rgb="FF89B5A6"/>
        <bgColor rgb="FF000000"/>
      </patternFill>
    </fill>
  </fills>
  <borders count="26">
    <border>
      <left/>
      <right/>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thin">
        <color rgb="FFC0C0C0"/>
      </left>
      <right/>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s>
  <cellStyleXfs count="20">
    <xf numFmtId="0" fontId="0" fillId="0" borderId="0"/>
    <xf numFmtId="9" fontId="1" fillId="0" borderId="0" applyFont="0" applyFill="0" applyBorder="0" applyAlignment="0" applyProtection="0"/>
    <xf numFmtId="0" fontId="2" fillId="0" borderId="0"/>
    <xf numFmtId="0" fontId="4" fillId="6" borderId="3" applyNumberFormat="0" applyAlignment="0" applyProtection="0"/>
    <xf numFmtId="0" fontId="14" fillId="0" borderId="0" applyNumberFormat="0" applyFill="0" applyBorder="0" applyAlignment="0" applyProtection="0">
      <alignment vertical="top"/>
      <protection locked="0"/>
    </xf>
    <xf numFmtId="43" fontId="1" fillId="0" borderId="0" applyFont="0" applyFill="0" applyBorder="0" applyAlignment="0" applyProtection="0"/>
    <xf numFmtId="0" fontId="29" fillId="0" borderId="0"/>
    <xf numFmtId="0" fontId="32" fillId="0" borderId="0"/>
    <xf numFmtId="0" fontId="43" fillId="0" borderId="0"/>
    <xf numFmtId="170" fontId="48" fillId="0" borderId="0" applyFont="0" applyFill="0" applyBorder="0" applyAlignment="0" applyProtection="0"/>
    <xf numFmtId="9" fontId="48" fillId="0" borderId="0" applyFont="0" applyFill="0" applyBorder="0" applyAlignment="0" applyProtection="0"/>
    <xf numFmtId="0" fontId="48" fillId="0" borderId="0"/>
    <xf numFmtId="171" fontId="44" fillId="40" borderId="23">
      <alignment horizontal="right" vertical="center"/>
    </xf>
    <xf numFmtId="0" fontId="48" fillId="41" borderId="25"/>
    <xf numFmtId="0" fontId="47" fillId="42" borderId="23">
      <alignment vertical="center" wrapText="1"/>
    </xf>
    <xf numFmtId="0" fontId="45" fillId="43" borderId="23">
      <alignment horizontal="left" vertical="center" wrapText="1"/>
    </xf>
    <xf numFmtId="0" fontId="46" fillId="42" borderId="23">
      <alignment vertical="center" wrapText="1"/>
    </xf>
    <xf numFmtId="0" fontId="46" fillId="39" borderId="24">
      <alignment horizontal="center" wrapText="1"/>
    </xf>
    <xf numFmtId="0" fontId="49" fillId="38" borderId="0" applyNumberFormat="0" applyBorder="0" applyAlignment="0" applyProtection="0"/>
    <xf numFmtId="0" fontId="29" fillId="0" borderId="0"/>
  </cellStyleXfs>
  <cellXfs count="397">
    <xf numFmtId="0" fontId="0" fillId="0" borderId="0" xfId="0"/>
    <xf numFmtId="0" fontId="2" fillId="0" borderId="0" xfId="0" applyNumberFormat="1" applyFont="1" applyFill="1" applyBorder="1" applyAlignment="1"/>
    <xf numFmtId="0" fontId="2" fillId="2" borderId="1" xfId="0" applyNumberFormat="1" applyFont="1" applyFill="1" applyBorder="1" applyAlignment="1"/>
    <xf numFmtId="0" fontId="3" fillId="0" borderId="0" xfId="0" applyNumberFormat="1" applyFont="1" applyFill="1" applyBorder="1" applyAlignment="1"/>
    <xf numFmtId="0" fontId="3" fillId="2" borderId="1" xfId="0" applyNumberFormat="1" applyFont="1" applyFill="1" applyBorder="1" applyAlignment="1"/>
    <xf numFmtId="0" fontId="0" fillId="3" borderId="0" xfId="0" applyFill="1"/>
    <xf numFmtId="0" fontId="2" fillId="4" borderId="2" xfId="0" applyNumberFormat="1" applyFont="1" applyFill="1" applyBorder="1" applyAlignment="1"/>
    <xf numFmtId="164" fontId="2" fillId="0" borderId="2" xfId="0" applyNumberFormat="1" applyFont="1" applyFill="1" applyBorder="1" applyAlignment="1"/>
    <xf numFmtId="0" fontId="0" fillId="5" borderId="0" xfId="0" applyFill="1"/>
    <xf numFmtId="0" fontId="0" fillId="5" borderId="0" xfId="0" applyNumberFormat="1" applyFill="1"/>
    <xf numFmtId="0" fontId="2" fillId="5" borderId="1" xfId="0" applyNumberFormat="1" applyFont="1" applyFill="1" applyBorder="1" applyAlignment="1"/>
    <xf numFmtId="0" fontId="2" fillId="5" borderId="0" xfId="0" applyNumberFormat="1" applyFont="1" applyFill="1" applyBorder="1" applyAlignment="1"/>
    <xf numFmtId="0" fontId="0" fillId="5" borderId="0" xfId="1" applyNumberFormat="1" applyFont="1" applyFill="1"/>
    <xf numFmtId="0" fontId="0" fillId="0" borderId="0" xfId="0" applyFill="1"/>
    <xf numFmtId="0" fontId="4" fillId="6" borderId="3" xfId="3" applyNumberFormat="1" applyAlignment="1"/>
    <xf numFmtId="0" fontId="0" fillId="7" borderId="0" xfId="0" applyFill="1" applyBorder="1"/>
    <xf numFmtId="0" fontId="2" fillId="7" borderId="0" xfId="0" applyNumberFormat="1" applyFont="1" applyFill="1" applyBorder="1" applyAlignment="1"/>
    <xf numFmtId="165" fontId="0" fillId="7" borderId="0" xfId="1" applyNumberFormat="1" applyFont="1" applyFill="1" applyBorder="1"/>
    <xf numFmtId="2" fontId="0" fillId="7" borderId="0" xfId="1" applyNumberFormat="1" applyFont="1" applyFill="1" applyBorder="1"/>
    <xf numFmtId="0" fontId="7" fillId="0" borderId="0" xfId="0" applyFont="1" applyBorder="1"/>
    <xf numFmtId="0" fontId="9" fillId="0" borderId="0" xfId="0" applyFont="1"/>
    <xf numFmtId="0" fontId="10" fillId="0" borderId="0" xfId="0" applyFont="1"/>
    <xf numFmtId="0" fontId="11" fillId="0" borderId="0" xfId="0" applyFont="1" applyAlignment="1">
      <alignment horizontal="left" vertical="center" indent="1"/>
    </xf>
    <xf numFmtId="0" fontId="10" fillId="0" borderId="0" xfId="0" applyFont="1" applyFill="1"/>
    <xf numFmtId="0" fontId="12" fillId="0" borderId="0" xfId="0" applyFont="1" applyFill="1" applyAlignment="1">
      <alignment horizontal="left" indent="1"/>
    </xf>
    <xf numFmtId="0" fontId="10" fillId="0" borderId="0" xfId="0" applyFont="1" applyFill="1" applyAlignment="1">
      <alignment horizontal="left" indent="1"/>
    </xf>
    <xf numFmtId="0" fontId="0" fillId="9" borderId="0" xfId="0" applyFill="1" applyBorder="1"/>
    <xf numFmtId="0" fontId="15" fillId="9" borderId="0" xfId="0" applyFont="1" applyFill="1" applyBorder="1"/>
    <xf numFmtId="0" fontId="11" fillId="0" borderId="4" xfId="0" applyFont="1" applyBorder="1" applyAlignment="1">
      <alignment horizontal="center" vertical="center"/>
    </xf>
    <xf numFmtId="0" fontId="11" fillId="0" borderId="4" xfId="0" applyFont="1" applyBorder="1" applyAlignment="1">
      <alignment horizontal="center" vertical="center" wrapText="1"/>
    </xf>
    <xf numFmtId="0" fontId="11" fillId="0" borderId="4" xfId="0" applyFont="1" applyBorder="1" applyAlignment="1">
      <alignment horizontal="left" vertical="center"/>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vertical="center"/>
    </xf>
    <xf numFmtId="0" fontId="10" fillId="0" borderId="4" xfId="0" applyFont="1" applyBorder="1" applyAlignment="1">
      <alignment horizontal="left" vertical="center"/>
    </xf>
    <xf numFmtId="0" fontId="11" fillId="0" borderId="4" xfId="0" applyFont="1" applyBorder="1" applyAlignment="1">
      <alignment vertical="center" wrapText="1"/>
    </xf>
    <xf numFmtId="0" fontId="10" fillId="0" borderId="4" xfId="0" applyFont="1" applyFill="1" applyBorder="1" applyAlignment="1">
      <alignment vertical="center" wrapText="1"/>
    </xf>
    <xf numFmtId="0" fontId="7" fillId="0" borderId="0" xfId="0" applyFont="1" applyBorder="1" applyAlignment="1">
      <alignment horizontal="center"/>
    </xf>
    <xf numFmtId="0" fontId="0" fillId="0" borderId="0" xfId="0" applyAlignment="1">
      <alignment horizontal="center"/>
    </xf>
    <xf numFmtId="0" fontId="10" fillId="0" borderId="0" xfId="0" applyFont="1" applyAlignment="1">
      <alignment horizontal="center"/>
    </xf>
    <xf numFmtId="0" fontId="10" fillId="0" borderId="0" xfId="0" applyFont="1" applyFill="1" applyAlignment="1">
      <alignment horizontal="center"/>
    </xf>
    <xf numFmtId="0" fontId="11" fillId="0" borderId="0" xfId="0" applyFont="1" applyFill="1"/>
    <xf numFmtId="0" fontId="10" fillId="0" borderId="4" xfId="0" applyFont="1" applyBorder="1" applyAlignment="1">
      <alignment horizontal="center" vertical="center"/>
    </xf>
    <xf numFmtId="0" fontId="10" fillId="0" borderId="4" xfId="0" applyFont="1" applyBorder="1" applyAlignment="1">
      <alignment horizontal="center" vertical="center" wrapText="1"/>
    </xf>
    <xf numFmtId="0" fontId="11" fillId="0" borderId="0" xfId="0" applyFont="1"/>
    <xf numFmtId="0" fontId="5" fillId="5" borderId="0" xfId="0" applyFont="1" applyFill="1" applyAlignment="1"/>
    <xf numFmtId="0" fontId="0" fillId="9" borderId="4" xfId="0" applyFont="1" applyFill="1" applyBorder="1"/>
    <xf numFmtId="0" fontId="8" fillId="0" borderId="0" xfId="0" applyFont="1" applyAlignment="1">
      <alignment horizontal="left" vertical="top" wrapText="1"/>
    </xf>
    <xf numFmtId="166" fontId="0" fillId="0" borderId="0" xfId="0" applyNumberFormat="1" applyAlignment="1">
      <alignment horizontal="center"/>
    </xf>
    <xf numFmtId="167" fontId="1" fillId="0" borderId="0" xfId="5" applyNumberFormat="1" applyFont="1" applyFill="1" applyBorder="1" applyAlignment="1">
      <alignment horizontal="center" vertical="center"/>
    </xf>
    <xf numFmtId="167" fontId="0" fillId="0" borderId="0" xfId="5" applyNumberFormat="1" applyFont="1" applyFill="1" applyBorder="1" applyAlignment="1">
      <alignment horizontal="center" vertical="center"/>
    </xf>
    <xf numFmtId="167" fontId="0" fillId="0" borderId="0" xfId="5" applyNumberFormat="1" applyFont="1"/>
    <xf numFmtId="167" fontId="1" fillId="13" borderId="0" xfId="5" applyNumberFormat="1" applyFont="1" applyFill="1" applyBorder="1" applyAlignment="1">
      <alignment horizontal="center" vertical="center"/>
    </xf>
    <xf numFmtId="9" fontId="0" fillId="0" borderId="0" xfId="0" applyNumberFormat="1" applyAlignment="1">
      <alignment horizontal="center" vertical="center"/>
    </xf>
    <xf numFmtId="0" fontId="0" fillId="14" borderId="0" xfId="0" applyFill="1"/>
    <xf numFmtId="0" fontId="0" fillId="15" borderId="0" xfId="0" applyFill="1" applyAlignment="1">
      <alignment horizontal="center"/>
    </xf>
    <xf numFmtId="0" fontId="10" fillId="0" borderId="8" xfId="0" applyFont="1" applyBorder="1" applyAlignment="1">
      <alignment horizontal="left" vertical="center" wrapText="1"/>
    </xf>
    <xf numFmtId="0" fontId="10" fillId="0" borderId="8" xfId="0" applyFont="1" applyBorder="1" applyAlignment="1">
      <alignment horizontal="center" vertical="center"/>
    </xf>
    <xf numFmtId="0" fontId="10" fillId="0" borderId="8" xfId="0" applyFont="1" applyFill="1" applyBorder="1" applyAlignment="1">
      <alignment vertical="center" wrapText="1"/>
    </xf>
    <xf numFmtId="0" fontId="10" fillId="0" borderId="7" xfId="0" applyFont="1" applyBorder="1" applyAlignment="1">
      <alignment horizontal="left" vertical="center" wrapText="1"/>
    </xf>
    <xf numFmtId="0" fontId="10" fillId="0" borderId="7" xfId="0" applyFont="1" applyBorder="1" applyAlignment="1">
      <alignment horizontal="center" vertical="center"/>
    </xf>
    <xf numFmtId="0" fontId="10" fillId="0" borderId="7" xfId="0" applyFont="1" applyFill="1" applyBorder="1" applyAlignment="1">
      <alignment vertical="center" wrapText="1"/>
    </xf>
    <xf numFmtId="0" fontId="11" fillId="0" borderId="9" xfId="0" applyFont="1" applyBorder="1" applyAlignment="1">
      <alignment vertical="center" wrapText="1"/>
    </xf>
    <xf numFmtId="0" fontId="10" fillId="0" borderId="9" xfId="0" applyFont="1" applyBorder="1" applyAlignment="1">
      <alignment horizontal="left" vertical="center" wrapText="1"/>
    </xf>
    <xf numFmtId="0" fontId="10" fillId="0" borderId="9" xfId="0" applyFont="1" applyBorder="1" applyAlignment="1">
      <alignment horizontal="center" vertical="center"/>
    </xf>
    <xf numFmtId="0" fontId="10" fillId="0" borderId="9" xfId="0" applyFont="1" applyFill="1" applyBorder="1" applyAlignment="1">
      <alignment vertical="center" wrapText="1"/>
    </xf>
    <xf numFmtId="0" fontId="11" fillId="0" borderId="7" xfId="0" applyFont="1" applyBorder="1" applyAlignment="1">
      <alignment vertical="center" wrapText="1"/>
    </xf>
    <xf numFmtId="0" fontId="11" fillId="0" borderId="10" xfId="0" applyFont="1" applyBorder="1" applyAlignment="1">
      <alignment vertical="center" wrapText="1"/>
    </xf>
    <xf numFmtId="0" fontId="10" fillId="0" borderId="10" xfId="0" applyFont="1" applyBorder="1" applyAlignment="1">
      <alignment horizontal="left" vertical="center" wrapText="1"/>
    </xf>
    <xf numFmtId="0" fontId="10" fillId="0" borderId="10" xfId="0" applyFont="1" applyBorder="1" applyAlignment="1">
      <alignment horizontal="center" vertical="center"/>
    </xf>
    <xf numFmtId="0" fontId="10" fillId="0" borderId="10" xfId="0" applyFont="1" applyFill="1" applyBorder="1" applyAlignment="1">
      <alignment vertical="center" wrapText="1"/>
    </xf>
    <xf numFmtId="0" fontId="11" fillId="0" borderId="4" xfId="0" applyFont="1" applyFill="1" applyBorder="1" applyAlignment="1">
      <alignment horizontal="left" vertical="center"/>
    </xf>
    <xf numFmtId="0" fontId="11" fillId="0" borderId="4" xfId="0" applyFont="1" applyFill="1" applyBorder="1" applyAlignment="1">
      <alignment horizontal="left" vertical="center" wrapText="1"/>
    </xf>
    <xf numFmtId="0" fontId="11" fillId="0" borderId="4" xfId="0" applyFont="1" applyFill="1" applyBorder="1" applyAlignment="1">
      <alignment vertical="center" wrapText="1"/>
    </xf>
    <xf numFmtId="0" fontId="11" fillId="0" borderId="8" xfId="0" applyFont="1" applyFill="1" applyBorder="1" applyAlignment="1">
      <alignment vertical="center" wrapText="1"/>
    </xf>
    <xf numFmtId="0" fontId="20" fillId="0" borderId="0" xfId="0" applyFont="1" applyAlignment="1">
      <alignment horizontal="left" vertical="center" indent="1"/>
    </xf>
    <xf numFmtId="0" fontId="19" fillId="17" borderId="2" xfId="0" applyFont="1" applyFill="1" applyBorder="1" applyAlignment="1">
      <alignment vertical="center" wrapText="1"/>
    </xf>
    <xf numFmtId="0" fontId="14" fillId="17" borderId="2" xfId="4" applyFill="1" applyBorder="1" applyAlignment="1" applyProtection="1">
      <alignment vertical="center" wrapText="1"/>
    </xf>
    <xf numFmtId="0" fontId="14" fillId="0" borderId="0" xfId="4" applyAlignment="1" applyProtection="1">
      <alignment horizontal="left" vertical="center" indent="1"/>
    </xf>
    <xf numFmtId="0" fontId="0" fillId="18" borderId="5" xfId="0" applyFill="1" applyBorder="1"/>
    <xf numFmtId="0" fontId="0" fillId="18" borderId="9" xfId="0" applyFill="1" applyBorder="1"/>
    <xf numFmtId="0" fontId="0" fillId="18" borderId="11" xfId="0" applyFill="1" applyBorder="1"/>
    <xf numFmtId="0" fontId="0" fillId="18" borderId="0" xfId="0" applyFill="1" applyBorder="1"/>
    <xf numFmtId="0" fontId="0" fillId="18" borderId="6" xfId="0" applyFill="1" applyBorder="1"/>
    <xf numFmtId="0" fontId="0" fillId="18" borderId="10" xfId="0" applyFill="1" applyBorder="1"/>
    <xf numFmtId="0" fontId="0" fillId="12" borderId="0" xfId="0" applyFill="1"/>
    <xf numFmtId="0" fontId="0" fillId="7" borderId="0" xfId="1" applyNumberFormat="1" applyFont="1" applyFill="1" applyBorder="1"/>
    <xf numFmtId="169" fontId="0" fillId="7" borderId="0" xfId="1" applyNumberFormat="1" applyFont="1" applyFill="1" applyBorder="1"/>
    <xf numFmtId="169" fontId="0" fillId="7" borderId="0" xfId="0" applyNumberFormat="1" applyFill="1" applyBorder="1"/>
    <xf numFmtId="0" fontId="0" fillId="7" borderId="4" xfId="0" applyFill="1" applyBorder="1"/>
    <xf numFmtId="0" fontId="0" fillId="19" borderId="0" xfId="0" applyFill="1"/>
    <xf numFmtId="0" fontId="6" fillId="5" borderId="0" xfId="0" applyFont="1" applyFill="1" applyBorder="1" applyAlignment="1">
      <alignment vertical="center"/>
    </xf>
    <xf numFmtId="0" fontId="6" fillId="7" borderId="0" xfId="0" applyFont="1" applyFill="1" applyBorder="1" applyAlignment="1">
      <alignment vertical="center"/>
    </xf>
    <xf numFmtId="0" fontId="22" fillId="20" borderId="0" xfId="0" applyFont="1" applyFill="1" applyBorder="1" applyAlignment="1">
      <alignment vertical="center"/>
    </xf>
    <xf numFmtId="0" fontId="21" fillId="20" borderId="0" xfId="0" applyFont="1" applyFill="1" applyBorder="1" applyAlignment="1">
      <alignment vertical="center"/>
    </xf>
    <xf numFmtId="0" fontId="0" fillId="20" borderId="0" xfId="0" applyFill="1" applyBorder="1"/>
    <xf numFmtId="0" fontId="0" fillId="7" borderId="4" xfId="0" applyFill="1" applyBorder="1" applyAlignment="1">
      <alignment horizontal="center"/>
    </xf>
    <xf numFmtId="0" fontId="0" fillId="7" borderId="12" xfId="0" applyFill="1" applyBorder="1" applyAlignment="1">
      <alignment horizontal="center"/>
    </xf>
    <xf numFmtId="0" fontId="10" fillId="0" borderId="7" xfId="0" applyFont="1" applyBorder="1" applyAlignment="1">
      <alignment horizontal="center" vertical="center" wrapText="1"/>
    </xf>
    <xf numFmtId="0" fontId="0" fillId="0" borderId="4" xfId="0" applyBorder="1" applyAlignment="1">
      <alignment horizontal="center" vertical="center"/>
    </xf>
    <xf numFmtId="0" fontId="0" fillId="15" borderId="4" xfId="0" applyFill="1" applyBorder="1" applyAlignment="1">
      <alignment horizontal="center"/>
    </xf>
    <xf numFmtId="0" fontId="0" fillId="7" borderId="4" xfId="0" quotePrefix="1" applyFill="1" applyBorder="1" applyAlignment="1">
      <alignment horizontal="center"/>
    </xf>
    <xf numFmtId="0" fontId="0" fillId="21" borderId="4" xfId="0" applyFill="1" applyBorder="1" applyAlignment="1">
      <alignment horizontal="center"/>
    </xf>
    <xf numFmtId="0" fontId="3" fillId="7" borderId="0" xfId="0" applyNumberFormat="1" applyFont="1" applyFill="1" applyBorder="1" applyAlignment="1"/>
    <xf numFmtId="166" fontId="0" fillId="7" borderId="0" xfId="0" applyNumberFormat="1" applyFill="1" applyBorder="1" applyAlignment="1">
      <alignment horizontal="center"/>
    </xf>
    <xf numFmtId="0" fontId="5" fillId="7" borderId="0" xfId="0" applyFont="1" applyFill="1" applyBorder="1" applyAlignment="1"/>
    <xf numFmtId="2" fontId="0" fillId="7" borderId="4" xfId="0" applyNumberFormat="1" applyFill="1" applyBorder="1" applyAlignment="1">
      <alignment horizontal="center"/>
    </xf>
    <xf numFmtId="0" fontId="0" fillId="0" borderId="4" xfId="0" applyBorder="1"/>
    <xf numFmtId="0" fontId="16" fillId="7" borderId="0" xfId="0" applyFont="1" applyFill="1" applyBorder="1"/>
    <xf numFmtId="0" fontId="0" fillId="0" borderId="0" xfId="0" applyFill="1" applyAlignment="1">
      <alignment horizontal="center"/>
    </xf>
    <xf numFmtId="0" fontId="0" fillId="9" borderId="0" xfId="0" applyFont="1" applyFill="1" applyBorder="1"/>
    <xf numFmtId="0" fontId="0" fillId="7" borderId="12" xfId="0" applyFill="1" applyBorder="1" applyAlignment="1">
      <alignment horizontal="center"/>
    </xf>
    <xf numFmtId="0" fontId="0" fillId="7" borderId="4" xfId="0" applyFill="1" applyBorder="1" applyAlignment="1">
      <alignment horizontal="center"/>
    </xf>
    <xf numFmtId="168" fontId="0" fillId="7" borderId="0" xfId="0" applyNumberFormat="1" applyFill="1" applyBorder="1"/>
    <xf numFmtId="0" fontId="0" fillId="19" borderId="0" xfId="0" applyFill="1" applyAlignment="1">
      <alignment horizontal="center" wrapText="1"/>
    </xf>
    <xf numFmtId="166" fontId="0" fillId="19" borderId="0" xfId="0" applyNumberFormat="1" applyFill="1" applyAlignment="1">
      <alignment horizontal="center"/>
    </xf>
    <xf numFmtId="17" fontId="0" fillId="19" borderId="0" xfId="0" applyNumberFormat="1" applyFill="1" applyAlignment="1">
      <alignment horizontal="center"/>
    </xf>
    <xf numFmtId="166" fontId="0" fillId="19" borderId="0" xfId="0" applyNumberFormat="1" applyFill="1"/>
    <xf numFmtId="0" fontId="28" fillId="2" borderId="1" xfId="0" applyNumberFormat="1" applyFont="1" applyFill="1" applyBorder="1" applyAlignment="1"/>
    <xf numFmtId="0" fontId="28" fillId="2" borderId="1" xfId="6" applyNumberFormat="1" applyFont="1" applyFill="1" applyBorder="1" applyAlignment="1"/>
    <xf numFmtId="0" fontId="28" fillId="2" borderId="1" xfId="6" applyNumberFormat="1" applyFont="1" applyFill="1" applyBorder="1" applyAlignment="1"/>
    <xf numFmtId="0" fontId="0" fillId="0" borderId="4" xfId="0" applyFill="1" applyBorder="1" applyAlignment="1">
      <alignment horizontal="center"/>
    </xf>
    <xf numFmtId="0" fontId="31" fillId="7" borderId="0" xfId="4" applyFont="1" applyFill="1" applyBorder="1" applyAlignment="1" applyProtection="1">
      <alignment horizontal="left"/>
    </xf>
    <xf numFmtId="165" fontId="0" fillId="0" borderId="0" xfId="0" applyNumberFormat="1" applyFill="1"/>
    <xf numFmtId="9" fontId="0" fillId="0" borderId="0" xfId="1" applyFont="1"/>
    <xf numFmtId="9" fontId="0" fillId="15" borderId="0" xfId="1" applyFont="1" applyFill="1"/>
    <xf numFmtId="0" fontId="28" fillId="2" borderId="1" xfId="6" applyNumberFormat="1" applyFont="1" applyFill="1" applyBorder="1" applyAlignment="1"/>
    <xf numFmtId="0" fontId="28" fillId="2" borderId="1" xfId="6" applyNumberFormat="1" applyFont="1" applyFill="1" applyBorder="1" applyAlignment="1"/>
    <xf numFmtId="0" fontId="28" fillId="2" borderId="1" xfId="6" applyNumberFormat="1" applyFont="1" applyFill="1" applyBorder="1" applyAlignment="1"/>
    <xf numFmtId="0" fontId="28" fillId="2" borderId="1" xfId="6" applyNumberFormat="1" applyFont="1" applyFill="1" applyBorder="1" applyAlignment="1"/>
    <xf numFmtId="0" fontId="28" fillId="2" borderId="1" xfId="6" applyNumberFormat="1" applyFont="1" applyFill="1" applyBorder="1" applyAlignment="1"/>
    <xf numFmtId="0" fontId="28" fillId="2" borderId="1" xfId="6" applyNumberFormat="1" applyFont="1" applyFill="1" applyBorder="1" applyAlignment="1"/>
    <xf numFmtId="0" fontId="28" fillId="0" borderId="1" xfId="6" applyNumberFormat="1" applyFont="1" applyFill="1" applyBorder="1" applyAlignment="1"/>
    <xf numFmtId="0" fontId="2" fillId="2" borderId="1" xfId="7" applyNumberFormat="1" applyFont="1" applyFill="1" applyBorder="1" applyAlignment="1"/>
    <xf numFmtId="0" fontId="2" fillId="2" borderId="1" xfId="6" applyNumberFormat="1" applyFont="1" applyFill="1" applyBorder="1" applyAlignment="1"/>
    <xf numFmtId="0" fontId="2" fillId="32" borderId="1" xfId="0" applyNumberFormat="1" applyFont="1" applyFill="1" applyBorder="1" applyAlignment="1"/>
    <xf numFmtId="9" fontId="0" fillId="12" borderId="0" xfId="1" applyFont="1" applyFill="1"/>
    <xf numFmtId="9" fontId="0" fillId="0" borderId="0" xfId="1" applyFont="1" applyFill="1"/>
    <xf numFmtId="0" fontId="28" fillId="33" borderId="1" xfId="6" applyNumberFormat="1" applyFont="1" applyFill="1" applyBorder="1" applyAlignment="1"/>
    <xf numFmtId="0" fontId="8" fillId="0" borderId="0" xfId="0" applyFont="1" applyAlignment="1">
      <alignment horizontal="left" vertical="top" wrapText="1"/>
    </xf>
    <xf numFmtId="0" fontId="10" fillId="0" borderId="4" xfId="0" applyFont="1" applyBorder="1"/>
    <xf numFmtId="0" fontId="11" fillId="0" borderId="12" xfId="0" applyFont="1" applyBorder="1" applyAlignment="1">
      <alignment horizontal="center" vertical="center" wrapText="1"/>
    </xf>
    <xf numFmtId="0" fontId="10" fillId="0" borderId="12" xfId="0" applyFont="1" applyBorder="1" applyAlignment="1">
      <alignment horizontal="left" vertical="center" wrapText="1"/>
    </xf>
    <xf numFmtId="0" fontId="8" fillId="0" borderId="12" xfId="0" applyFont="1" applyBorder="1" applyAlignment="1">
      <alignment horizontal="left" vertical="center"/>
    </xf>
    <xf numFmtId="0" fontId="8" fillId="0" borderId="12" xfId="0" applyFont="1" applyBorder="1" applyAlignment="1">
      <alignment horizontal="left" vertical="center" wrapText="1"/>
    </xf>
    <xf numFmtId="0" fontId="10" fillId="0" borderId="12" xfId="0" applyFont="1" applyBorder="1" applyAlignment="1">
      <alignment horizontal="left" vertical="center"/>
    </xf>
    <xf numFmtId="0" fontId="10" fillId="0" borderId="12" xfId="0" applyFont="1" applyFill="1" applyBorder="1" applyAlignment="1">
      <alignment vertical="center" wrapText="1"/>
    </xf>
    <xf numFmtId="0" fontId="10" fillId="0" borderId="5" xfId="0" applyFont="1" applyFill="1" applyBorder="1" applyAlignment="1">
      <alignment vertical="center" wrapText="1"/>
    </xf>
    <xf numFmtId="0" fontId="10" fillId="0" borderId="6" xfId="0" applyFont="1" applyFill="1" applyBorder="1" applyAlignment="1">
      <alignment vertical="center" wrapText="1"/>
    </xf>
    <xf numFmtId="0" fontId="12" fillId="0" borderId="4" xfId="0" applyFont="1" applyFill="1" applyBorder="1" applyAlignment="1">
      <alignment horizontal="left" indent="1"/>
    </xf>
    <xf numFmtId="0" fontId="10" fillId="0" borderId="4" xfId="0" applyFont="1" applyBorder="1" applyAlignment="1">
      <alignment wrapText="1"/>
    </xf>
    <xf numFmtId="0" fontId="14" fillId="0" borderId="4" xfId="4" applyBorder="1" applyAlignment="1" applyProtection="1">
      <alignment wrapText="1"/>
    </xf>
    <xf numFmtId="0" fontId="28" fillId="2" borderId="1" xfId="6" applyNumberFormat="1" applyFont="1" applyFill="1" applyBorder="1" applyAlignment="1"/>
    <xf numFmtId="0" fontId="28" fillId="2" borderId="1" xfId="6" applyNumberFormat="1" applyFont="1" applyFill="1" applyBorder="1" applyAlignment="1"/>
    <xf numFmtId="0" fontId="28" fillId="34" borderId="1" xfId="0" applyNumberFormat="1" applyFont="1" applyFill="1" applyBorder="1" applyAlignment="1"/>
    <xf numFmtId="0" fontId="0" fillId="0" borderId="0" xfId="0" applyAlignment="1">
      <alignment wrapText="1"/>
    </xf>
    <xf numFmtId="0" fontId="0" fillId="0" borderId="1" xfId="0" applyBorder="1"/>
    <xf numFmtId="0" fontId="28" fillId="2" borderId="1" xfId="6" applyNumberFormat="1" applyFont="1" applyFill="1" applyBorder="1" applyAlignment="1"/>
    <xf numFmtId="0" fontId="2" fillId="2" borderId="0" xfId="0" applyNumberFormat="1" applyFont="1" applyFill="1" applyBorder="1" applyAlignment="1"/>
    <xf numFmtId="0" fontId="31" fillId="7" borderId="0" xfId="4" applyFont="1" applyFill="1" applyBorder="1" applyAlignment="1" applyProtection="1"/>
    <xf numFmtId="0" fontId="33" fillId="0" borderId="0" xfId="0" applyNumberFormat="1" applyFont="1" applyFill="1" applyBorder="1" applyAlignment="1"/>
    <xf numFmtId="0" fontId="25" fillId="0" borderId="0" xfId="0" applyFont="1"/>
    <xf numFmtId="0" fontId="33" fillId="2" borderId="1" xfId="6" applyNumberFormat="1" applyFont="1" applyFill="1" applyBorder="1" applyAlignment="1"/>
    <xf numFmtId="0" fontId="34" fillId="10" borderId="7" xfId="0" applyFont="1" applyFill="1" applyBorder="1"/>
    <xf numFmtId="0" fontId="34" fillId="10" borderId="7" xfId="4" applyFont="1" applyFill="1" applyBorder="1" applyAlignment="1" applyProtection="1"/>
    <xf numFmtId="0" fontId="35" fillId="9" borderId="4" xfId="4" applyFont="1" applyFill="1" applyBorder="1" applyAlignment="1" applyProtection="1"/>
    <xf numFmtId="0" fontId="36" fillId="9" borderId="4" xfId="4" applyFont="1" applyFill="1" applyBorder="1" applyAlignment="1" applyProtection="1"/>
    <xf numFmtId="0" fontId="35" fillId="10" borderId="4" xfId="4" applyFont="1" applyFill="1" applyBorder="1" applyAlignment="1" applyProtection="1"/>
    <xf numFmtId="0" fontId="8" fillId="9" borderId="0" xfId="0" applyFont="1" applyFill="1" applyBorder="1"/>
    <xf numFmtId="0" fontId="8" fillId="0" borderId="0" xfId="0" applyFont="1" applyBorder="1"/>
    <xf numFmtId="0" fontId="37" fillId="0" borderId="0" xfId="4" applyFont="1" applyFill="1" applyBorder="1" applyAlignment="1" applyProtection="1"/>
    <xf numFmtId="0" fontId="0" fillId="9" borderId="0" xfId="0" applyFill="1" applyBorder="1" applyAlignment="1">
      <alignment horizontal="left" vertical="top" wrapText="1"/>
    </xf>
    <xf numFmtId="0" fontId="8" fillId="7" borderId="0" xfId="0" applyFont="1" applyFill="1" applyBorder="1"/>
    <xf numFmtId="0" fontId="8" fillId="7" borderId="4" xfId="0" applyFont="1" applyFill="1" applyBorder="1"/>
    <xf numFmtId="2" fontId="8" fillId="7" borderId="4" xfId="0" applyNumberFormat="1" applyFont="1" applyFill="1" applyBorder="1" applyAlignment="1">
      <alignment horizontal="center"/>
    </xf>
    <xf numFmtId="2" fontId="8" fillId="21" borderId="4" xfId="0" applyNumberFormat="1" applyFont="1" applyFill="1" applyBorder="1" applyAlignment="1">
      <alignment horizontal="center"/>
    </xf>
    <xf numFmtId="0" fontId="8" fillId="7" borderId="4" xfId="0" quotePrefix="1" applyFont="1" applyFill="1" applyBorder="1" applyAlignment="1">
      <alignment horizontal="center"/>
    </xf>
    <xf numFmtId="2" fontId="8" fillId="15" borderId="4" xfId="0" applyNumberFormat="1" applyFont="1" applyFill="1" applyBorder="1" applyAlignment="1">
      <alignment horizontal="center"/>
    </xf>
    <xf numFmtId="2" fontId="8" fillId="7" borderId="4" xfId="0" quotePrefix="1" applyNumberFormat="1" applyFont="1" applyFill="1" applyBorder="1" applyAlignment="1">
      <alignment horizontal="center"/>
    </xf>
    <xf numFmtId="0" fontId="26" fillId="7" borderId="0" xfId="0" applyFont="1" applyFill="1" applyBorder="1" applyAlignment="1">
      <alignment vertical="center"/>
    </xf>
    <xf numFmtId="0" fontId="0" fillId="9" borderId="4" xfId="0" applyFill="1" applyBorder="1"/>
    <xf numFmtId="0" fontId="38" fillId="0" borderId="0" xfId="0" applyFont="1"/>
    <xf numFmtId="0" fontId="0" fillId="0" borderId="0" xfId="0" applyFont="1"/>
    <xf numFmtId="0" fontId="2" fillId="2" borderId="19" xfId="0" applyNumberFormat="1" applyFont="1" applyFill="1" applyBorder="1" applyAlignment="1"/>
    <xf numFmtId="164" fontId="0" fillId="0" borderId="0" xfId="0" applyNumberFormat="1"/>
    <xf numFmtId="164" fontId="0" fillId="0" borderId="5" xfId="0" applyNumberFormat="1" applyBorder="1"/>
    <xf numFmtId="0" fontId="0" fillId="0" borderId="0" xfId="0" applyBorder="1"/>
    <xf numFmtId="0" fontId="2" fillId="29" borderId="0" xfId="0" applyNumberFormat="1" applyFont="1" applyFill="1" applyBorder="1" applyAlignment="1"/>
    <xf numFmtId="0" fontId="0" fillId="29" borderId="0" xfId="0" applyFill="1"/>
    <xf numFmtId="0" fontId="2" fillId="29" borderId="1" xfId="6" applyNumberFormat="1" applyFont="1" applyFill="1" applyBorder="1" applyAlignment="1"/>
    <xf numFmtId="0" fontId="28" fillId="29" borderId="1" xfId="6" applyNumberFormat="1" applyFont="1" applyFill="1" applyBorder="1" applyAlignment="1"/>
    <xf numFmtId="164" fontId="28" fillId="29" borderId="1" xfId="6" applyNumberFormat="1" applyFont="1" applyFill="1" applyBorder="1" applyAlignment="1"/>
    <xf numFmtId="164" fontId="0" fillId="12" borderId="0" xfId="0" applyNumberFormat="1" applyFill="1"/>
    <xf numFmtId="164" fontId="0" fillId="12" borderId="5" xfId="0" applyNumberFormat="1" applyFill="1" applyBorder="1"/>
    <xf numFmtId="0" fontId="41" fillId="7" borderId="0" xfId="0" applyFont="1" applyFill="1" applyBorder="1"/>
    <xf numFmtId="0" fontId="42" fillId="7" borderId="0" xfId="0" applyFont="1" applyFill="1" applyBorder="1"/>
    <xf numFmtId="0" fontId="5" fillId="12" borderId="0" xfId="0" applyFont="1" applyFill="1" applyAlignment="1"/>
    <xf numFmtId="0" fontId="2" fillId="12" borderId="0" xfId="0" applyNumberFormat="1" applyFont="1" applyFill="1" applyBorder="1" applyAlignment="1"/>
    <xf numFmtId="0" fontId="0" fillId="9" borderId="0" xfId="0" applyFill="1"/>
    <xf numFmtId="0" fontId="2" fillId="36" borderId="2" xfId="0" applyNumberFormat="1" applyFont="1" applyFill="1" applyBorder="1" applyAlignment="1"/>
    <xf numFmtId="0" fontId="2" fillId="9" borderId="1" xfId="0" applyNumberFormat="1" applyFont="1" applyFill="1" applyBorder="1" applyAlignment="1"/>
    <xf numFmtId="2" fontId="0" fillId="7" borderId="4" xfId="0" quotePrefix="1" applyNumberFormat="1" applyFill="1" applyBorder="1" applyAlignment="1">
      <alignment horizontal="center"/>
    </xf>
    <xf numFmtId="164" fontId="0" fillId="0" borderId="5" xfId="0" applyNumberFormat="1" applyFill="1" applyBorder="1"/>
    <xf numFmtId="0" fontId="0" fillId="37" borderId="0" xfId="0" applyFill="1"/>
    <xf numFmtId="0" fontId="17" fillId="7" borderId="4" xfId="0" quotePrefix="1" applyFont="1" applyFill="1" applyBorder="1" applyAlignment="1">
      <alignment horizontal="center"/>
    </xf>
    <xf numFmtId="0" fontId="39" fillId="33" borderId="1" xfId="6" applyNumberFormat="1" applyFont="1" applyFill="1" applyBorder="1" applyAlignment="1"/>
    <xf numFmtId="0" fontId="2" fillId="2" borderId="20" xfId="0" applyNumberFormat="1" applyFont="1" applyFill="1" applyBorder="1" applyAlignment="1"/>
    <xf numFmtId="0" fontId="2" fillId="2" borderId="21" xfId="0" applyNumberFormat="1" applyFont="1" applyFill="1" applyBorder="1" applyAlignment="1"/>
    <xf numFmtId="0" fontId="2" fillId="2" borderId="22" xfId="0" applyNumberFormat="1" applyFont="1" applyFill="1" applyBorder="1" applyAlignment="1"/>
    <xf numFmtId="164" fontId="0" fillId="0" borderId="0" xfId="0" applyNumberFormat="1" applyFill="1"/>
    <xf numFmtId="0" fontId="0" fillId="0" borderId="0" xfId="0"/>
    <xf numFmtId="165" fontId="0" fillId="0" borderId="0" xfId="0" applyNumberFormat="1"/>
    <xf numFmtId="14" fontId="0" fillId="0" borderId="0" xfId="0" applyNumberFormat="1"/>
    <xf numFmtId="9" fontId="0" fillId="0" borderId="0" xfId="0" applyNumberFormat="1" applyFill="1" applyBorder="1" applyAlignment="1">
      <alignment horizontal="center" vertical="center"/>
    </xf>
    <xf numFmtId="0" fontId="0" fillId="9" borderId="0" xfId="0" applyFill="1" applyAlignment="1">
      <alignment horizontal="center"/>
    </xf>
    <xf numFmtId="9" fontId="0" fillId="7" borderId="0" xfId="1" applyNumberFormat="1" applyFont="1" applyFill="1" applyBorder="1"/>
    <xf numFmtId="9" fontId="0" fillId="0" borderId="0" xfId="0" applyNumberFormat="1" applyFill="1"/>
    <xf numFmtId="9" fontId="0" fillId="0" borderId="0" xfId="0" applyNumberFormat="1"/>
    <xf numFmtId="0" fontId="0" fillId="0" borderId="0" xfId="0"/>
    <xf numFmtId="9" fontId="0" fillId="0" borderId="0" xfId="0" applyNumberFormat="1"/>
    <xf numFmtId="9" fontId="0" fillId="0" borderId="0" xfId="0" applyNumberFormat="1" applyAlignment="1">
      <alignment horizontal="center"/>
    </xf>
    <xf numFmtId="0" fontId="0" fillId="7" borderId="4" xfId="0" applyFill="1" applyBorder="1" applyAlignment="1">
      <alignment horizontal="center"/>
    </xf>
    <xf numFmtId="0" fontId="0" fillId="7" borderId="0" xfId="0" applyFill="1" applyBorder="1" applyAlignment="1">
      <alignment wrapText="1"/>
    </xf>
    <xf numFmtId="0" fontId="8" fillId="22" borderId="12" xfId="0" applyFont="1" applyFill="1" applyBorder="1" applyAlignment="1">
      <alignment horizontal="center"/>
    </xf>
    <xf numFmtId="0" fontId="8" fillId="22" borderId="13" xfId="0" applyFont="1" applyFill="1" applyBorder="1" applyAlignment="1">
      <alignment horizontal="center"/>
    </xf>
    <xf numFmtId="0" fontId="8" fillId="7" borderId="12" xfId="0" applyFont="1" applyFill="1" applyBorder="1" applyAlignment="1">
      <alignment horizontal="center"/>
    </xf>
    <xf numFmtId="0" fontId="8" fillId="7" borderId="13" xfId="0" applyFont="1" applyFill="1" applyBorder="1" applyAlignment="1">
      <alignment horizontal="center"/>
    </xf>
    <xf numFmtId="0" fontId="8" fillId="23" borderId="12" xfId="0" applyFont="1" applyFill="1" applyBorder="1" applyAlignment="1">
      <alignment horizontal="center"/>
    </xf>
    <xf numFmtId="0" fontId="8" fillId="23" borderId="13" xfId="0" applyFont="1" applyFill="1" applyBorder="1" applyAlignment="1">
      <alignment horizontal="center"/>
    </xf>
    <xf numFmtId="0" fontId="27" fillId="35" borderId="12" xfId="0" applyFont="1" applyFill="1" applyBorder="1" applyAlignment="1">
      <alignment horizontal="center"/>
    </xf>
    <xf numFmtId="0" fontId="27" fillId="35" borderId="13" xfId="0" applyFont="1" applyFill="1" applyBorder="1" applyAlignment="1">
      <alignment horizontal="center"/>
    </xf>
    <xf numFmtId="0" fontId="8" fillId="30" borderId="12" xfId="0" quotePrefix="1" applyFont="1" applyFill="1" applyBorder="1" applyAlignment="1">
      <alignment horizontal="center"/>
    </xf>
    <xf numFmtId="0" fontId="8" fillId="30" borderId="13" xfId="0" quotePrefix="1" applyFont="1" applyFill="1" applyBorder="1" applyAlignment="1">
      <alignment horizontal="center"/>
    </xf>
    <xf numFmtId="0" fontId="8" fillId="31" borderId="12" xfId="0" applyFont="1" applyFill="1" applyBorder="1" applyAlignment="1">
      <alignment horizontal="center"/>
    </xf>
    <xf numFmtId="0" fontId="8" fillId="31" borderId="13" xfId="0" applyFont="1" applyFill="1" applyBorder="1" applyAlignment="1">
      <alignment horizontal="center"/>
    </xf>
    <xf numFmtId="0" fontId="8" fillId="24" borderId="12" xfId="0" applyFont="1" applyFill="1" applyBorder="1" applyAlignment="1">
      <alignment horizontal="center"/>
    </xf>
    <xf numFmtId="0" fontId="8" fillId="24" borderId="13" xfId="0" applyFont="1" applyFill="1" applyBorder="1" applyAlignment="1">
      <alignment horizontal="center"/>
    </xf>
    <xf numFmtId="0" fontId="8" fillId="25" borderId="12" xfId="0" applyFont="1" applyFill="1" applyBorder="1" applyAlignment="1">
      <alignment horizontal="center"/>
    </xf>
    <xf numFmtId="0" fontId="8" fillId="25" borderId="13" xfId="0" applyFont="1" applyFill="1" applyBorder="1" applyAlignment="1">
      <alignment horizontal="center"/>
    </xf>
    <xf numFmtId="0" fontId="8" fillId="26" borderId="12" xfId="0" quotePrefix="1" applyFont="1" applyFill="1" applyBorder="1" applyAlignment="1">
      <alignment horizontal="center"/>
    </xf>
    <xf numFmtId="0" fontId="8" fillId="26" borderId="13" xfId="0" quotePrefix="1" applyFont="1" applyFill="1" applyBorder="1" applyAlignment="1">
      <alignment horizontal="center"/>
    </xf>
    <xf numFmtId="0" fontId="8" fillId="29" borderId="12" xfId="0" quotePrefix="1" applyFont="1" applyFill="1" applyBorder="1" applyAlignment="1">
      <alignment horizontal="center"/>
    </xf>
    <xf numFmtId="0" fontId="8" fillId="29" borderId="13" xfId="0" quotePrefix="1" applyFont="1" applyFill="1" applyBorder="1" applyAlignment="1">
      <alignment horizontal="center"/>
    </xf>
    <xf numFmtId="0" fontId="8" fillId="28" borderId="12" xfId="0" quotePrefix="1" applyFont="1" applyFill="1" applyBorder="1" applyAlignment="1">
      <alignment horizontal="center"/>
    </xf>
    <xf numFmtId="0" fontId="8" fillId="28" borderId="13" xfId="0" quotePrefix="1" applyFont="1" applyFill="1" applyBorder="1" applyAlignment="1">
      <alignment horizontal="center"/>
    </xf>
    <xf numFmtId="0" fontId="8" fillId="27" borderId="12" xfId="0" quotePrefix="1" applyFont="1" applyFill="1" applyBorder="1" applyAlignment="1">
      <alignment horizontal="center"/>
    </xf>
    <xf numFmtId="0" fontId="8" fillId="27" borderId="13" xfId="0" quotePrefix="1" applyFont="1" applyFill="1" applyBorder="1" applyAlignment="1">
      <alignment horizontal="center"/>
    </xf>
    <xf numFmtId="0" fontId="8" fillId="7" borderId="4" xfId="0" applyFont="1" applyFill="1" applyBorder="1" applyAlignment="1"/>
    <xf numFmtId="0" fontId="0" fillId="0" borderId="0" xfId="0"/>
    <xf numFmtId="0" fontId="2" fillId="0" borderId="0" xfId="0" applyNumberFormat="1" applyFont="1" applyFill="1" applyBorder="1" applyAlignment="1"/>
    <xf numFmtId="0" fontId="2" fillId="2" borderId="1" xfId="0" applyNumberFormat="1" applyFont="1" applyFill="1" applyBorder="1" applyAlignment="1"/>
    <xf numFmtId="164" fontId="2" fillId="0" borderId="1" xfId="0" applyNumberFormat="1" applyFont="1" applyFill="1" applyBorder="1" applyAlignment="1"/>
    <xf numFmtId="0" fontId="2" fillId="0" borderId="1" xfId="0" applyNumberFormat="1" applyFont="1" applyFill="1" applyBorder="1" applyAlignment="1"/>
    <xf numFmtId="0" fontId="0" fillId="0" borderId="0" xfId="0" applyFill="1"/>
    <xf numFmtId="0" fontId="4" fillId="6" borderId="3" xfId="3" applyNumberFormat="1" applyAlignment="1"/>
    <xf numFmtId="0" fontId="0" fillId="12" borderId="0" xfId="0" applyFill="1"/>
    <xf numFmtId="0" fontId="2" fillId="2" borderId="1" xfId="6" applyNumberFormat="1" applyFont="1" applyFill="1" applyBorder="1" applyAlignment="1"/>
    <xf numFmtId="164" fontId="2" fillId="0" borderId="1" xfId="6" applyNumberFormat="1" applyFont="1" applyFill="1" applyBorder="1" applyAlignment="1"/>
    <xf numFmtId="9" fontId="0" fillId="0" borderId="0" xfId="1" applyFont="1"/>
    <xf numFmtId="3" fontId="2" fillId="0" borderId="1" xfId="0" applyNumberFormat="1" applyFont="1" applyFill="1" applyBorder="1" applyAlignment="1"/>
    <xf numFmtId="0" fontId="2" fillId="32" borderId="1" xfId="0" applyNumberFormat="1" applyFont="1" applyFill="1" applyBorder="1" applyAlignment="1"/>
    <xf numFmtId="9" fontId="0" fillId="12" borderId="0" xfId="1" applyFont="1" applyFill="1"/>
    <xf numFmtId="9" fontId="0" fillId="0" borderId="0" xfId="1" applyFont="1" applyFill="1"/>
    <xf numFmtId="0" fontId="2" fillId="34" borderId="1" xfId="0" applyNumberFormat="1" applyFont="1" applyFill="1" applyBorder="1" applyAlignment="1"/>
    <xf numFmtId="0" fontId="2" fillId="12" borderId="0" xfId="0" applyNumberFormat="1" applyFont="1" applyFill="1" applyBorder="1" applyAlignment="1"/>
    <xf numFmtId="0" fontId="39" fillId="45" borderId="1" xfId="6" applyNumberFormat="1" applyFont="1" applyFill="1" applyBorder="1" applyAlignment="1"/>
    <xf numFmtId="0" fontId="0" fillId="45" borderId="0" xfId="0" applyFill="1"/>
    <xf numFmtId="0" fontId="39" fillId="45" borderId="1" xfId="0" applyNumberFormat="1" applyFont="1" applyFill="1" applyBorder="1" applyAlignment="1"/>
    <xf numFmtId="0" fontId="8" fillId="0" borderId="0" xfId="0" applyFont="1"/>
    <xf numFmtId="0" fontId="8" fillId="0" borderId="1" xfId="0" applyFont="1" applyBorder="1"/>
    <xf numFmtId="0" fontId="8" fillId="0" borderId="0" xfId="0" applyFont="1" applyFill="1"/>
    <xf numFmtId="0" fontId="8" fillId="37" borderId="0" xfId="0" applyFont="1" applyFill="1"/>
    <xf numFmtId="9" fontId="8" fillId="0" borderId="0" xfId="1" applyFont="1"/>
    <xf numFmtId="9" fontId="8" fillId="12" borderId="0" xfId="1" applyFont="1" applyFill="1"/>
    <xf numFmtId="9" fontId="8" fillId="15" borderId="0" xfId="1" applyFont="1" applyFill="1"/>
    <xf numFmtId="0" fontId="8" fillId="29" borderId="0" xfId="0" applyFont="1" applyFill="1"/>
    <xf numFmtId="0" fontId="8" fillId="12" borderId="0" xfId="0" applyFont="1" applyFill="1"/>
    <xf numFmtId="0" fontId="2" fillId="0" borderId="0" xfId="0" applyNumberFormat="1" applyFont="1" applyFill="1" applyBorder="1" applyAlignment="1"/>
    <xf numFmtId="0" fontId="2" fillId="2" borderId="1" xfId="0" applyNumberFormat="1" applyFont="1" applyFill="1" applyBorder="1" applyAlignment="1"/>
    <xf numFmtId="164" fontId="2" fillId="0" borderId="1" xfId="0" applyNumberFormat="1" applyFont="1" applyFill="1" applyBorder="1" applyAlignment="1"/>
    <xf numFmtId="0" fontId="2" fillId="0" borderId="1" xfId="0" applyNumberFormat="1" applyFont="1" applyFill="1" applyBorder="1" applyAlignment="1"/>
    <xf numFmtId="0" fontId="2" fillId="4" borderId="2" xfId="0" applyNumberFormat="1" applyFont="1" applyFill="1" applyBorder="1" applyAlignment="1"/>
    <xf numFmtId="164" fontId="2" fillId="0" borderId="2" xfId="0" applyNumberFormat="1" applyFont="1" applyFill="1" applyBorder="1" applyAlignment="1"/>
    <xf numFmtId="165" fontId="0" fillId="7" borderId="0" xfId="1" applyNumberFormat="1" applyFont="1" applyFill="1" applyBorder="1"/>
    <xf numFmtId="0" fontId="2" fillId="2" borderId="1" xfId="6" applyNumberFormat="1" applyFont="1" applyFill="1" applyBorder="1" applyAlignment="1"/>
    <xf numFmtId="164" fontId="2" fillId="0" borderId="1" xfId="6" applyNumberFormat="1" applyFont="1" applyFill="1" applyBorder="1" applyAlignment="1"/>
    <xf numFmtId="0" fontId="2" fillId="0" borderId="1" xfId="6" applyNumberFormat="1" applyFont="1" applyFill="1" applyBorder="1" applyAlignment="1"/>
    <xf numFmtId="0" fontId="2" fillId="2" borderId="1" xfId="19" applyNumberFormat="1" applyFont="1" applyFill="1" applyBorder="1" applyAlignment="1"/>
    <xf numFmtId="0" fontId="2" fillId="32" borderId="1" xfId="0" applyNumberFormat="1" applyFont="1" applyFill="1" applyBorder="1" applyAlignment="1"/>
    <xf numFmtId="0" fontId="2" fillId="33" borderId="1" xfId="6" applyNumberFormat="1" applyFont="1" applyFill="1" applyBorder="1" applyAlignment="1"/>
    <xf numFmtId="0" fontId="2" fillId="34" borderId="1" xfId="0" applyNumberFormat="1" applyFont="1" applyFill="1" applyBorder="1" applyAlignment="1"/>
    <xf numFmtId="0" fontId="2" fillId="2" borderId="0" xfId="0" applyNumberFormat="1" applyFont="1" applyFill="1" applyBorder="1" applyAlignment="1"/>
    <xf numFmtId="0" fontId="39" fillId="2" borderId="1" xfId="0" applyNumberFormat="1" applyFont="1" applyFill="1" applyBorder="1" applyAlignment="1"/>
    <xf numFmtId="0" fontId="2" fillId="44" borderId="1" xfId="0" applyNumberFormat="1" applyFont="1" applyFill="1" applyBorder="1" applyAlignment="1"/>
    <xf numFmtId="0" fontId="2" fillId="29" borderId="0" xfId="0" applyNumberFormat="1" applyFont="1" applyFill="1" applyBorder="1" applyAlignment="1"/>
    <xf numFmtId="0" fontId="2" fillId="29" borderId="1" xfId="6" applyNumberFormat="1" applyFont="1" applyFill="1" applyBorder="1" applyAlignment="1"/>
    <xf numFmtId="164" fontId="2" fillId="29" borderId="1" xfId="6" applyNumberFormat="1" applyFont="1" applyFill="1" applyBorder="1" applyAlignment="1"/>
    <xf numFmtId="0" fontId="2" fillId="12" borderId="0" xfId="0" applyNumberFormat="1" applyFont="1" applyFill="1" applyBorder="1" applyAlignment="1"/>
    <xf numFmtId="0" fontId="39" fillId="45" borderId="1" xfId="6" applyNumberFormat="1" applyFont="1" applyFill="1" applyBorder="1" applyAlignment="1"/>
    <xf numFmtId="0" fontId="39" fillId="45" borderId="1" xfId="0" applyNumberFormat="1" applyFont="1" applyFill="1" applyBorder="1" applyAlignment="1"/>
    <xf numFmtId="0" fontId="39" fillId="46" borderId="2" xfId="0" applyNumberFormat="1" applyFont="1" applyFill="1" applyBorder="1" applyAlignment="1"/>
    <xf numFmtId="0" fontId="2" fillId="45" borderId="1" xfId="0" applyNumberFormat="1" applyFont="1" applyFill="1" applyBorder="1" applyAlignment="1"/>
    <xf numFmtId="0" fontId="2" fillId="37" borderId="1" xfId="6" applyNumberFormat="1" applyFont="1" applyFill="1" applyBorder="1" applyAlignment="1"/>
    <xf numFmtId="164" fontId="2" fillId="37" borderId="1" xfId="6" applyNumberFormat="1" applyFont="1" applyFill="1" applyBorder="1" applyAlignment="1"/>
    <xf numFmtId="164" fontId="2" fillId="37" borderId="1" xfId="0" applyNumberFormat="1" applyFont="1" applyFill="1" applyBorder="1" applyAlignment="1"/>
    <xf numFmtId="0" fontId="2" fillId="37" borderId="1" xfId="0" applyNumberFormat="1" applyFont="1" applyFill="1" applyBorder="1" applyAlignment="1"/>
    <xf numFmtId="164" fontId="2" fillId="37" borderId="2" xfId="0" applyNumberFormat="1" applyFont="1" applyFill="1" applyBorder="1" applyAlignment="1"/>
    <xf numFmtId="0" fontId="2" fillId="12" borderId="1" xfId="6" applyNumberFormat="1" applyFont="1" applyFill="1" applyBorder="1" applyAlignment="1"/>
    <xf numFmtId="164" fontId="2" fillId="12" borderId="1" xfId="6" applyNumberFormat="1" applyFont="1" applyFill="1" applyBorder="1" applyAlignment="1"/>
    <xf numFmtId="164" fontId="2" fillId="12" borderId="1" xfId="0" applyNumberFormat="1" applyFont="1" applyFill="1" applyBorder="1" applyAlignment="1"/>
    <xf numFmtId="164" fontId="2" fillId="12" borderId="2" xfId="0" applyNumberFormat="1" applyFont="1" applyFill="1" applyBorder="1" applyAlignment="1"/>
    <xf numFmtId="0" fontId="2" fillId="47" borderId="2" xfId="0" applyNumberFormat="1" applyFont="1" applyFill="1" applyBorder="1" applyAlignment="1"/>
    <xf numFmtId="0" fontId="2" fillId="12" borderId="1" xfId="0" applyNumberFormat="1" applyFont="1" applyFill="1" applyBorder="1" applyAlignment="1"/>
    <xf numFmtId="0" fontId="50" fillId="6" borderId="3" xfId="3" applyNumberFormat="1" applyFont="1" applyAlignment="1"/>
    <xf numFmtId="9" fontId="8" fillId="0" borderId="0" xfId="1" applyFont="1" applyFill="1"/>
    <xf numFmtId="0" fontId="8" fillId="9" borderId="0" xfId="0" applyFont="1" applyFill="1"/>
    <xf numFmtId="0" fontId="2" fillId="9" borderId="1" xfId="6" applyNumberFormat="1" applyFont="1" applyFill="1" applyBorder="1" applyAlignment="1"/>
    <xf numFmtId="0" fontId="8" fillId="0" borderId="0" xfId="0" applyFont="1" applyFill="1" applyBorder="1"/>
    <xf numFmtId="164" fontId="8" fillId="0" borderId="0" xfId="0" applyNumberFormat="1" applyFont="1" applyFill="1" applyBorder="1"/>
    <xf numFmtId="0" fontId="0" fillId="12" borderId="0" xfId="0" applyFill="1" applyAlignment="1">
      <alignment horizontal="center"/>
    </xf>
    <xf numFmtId="9" fontId="0" fillId="12" borderId="0" xfId="0" applyNumberFormat="1" applyFill="1"/>
    <xf numFmtId="0" fontId="33" fillId="12" borderId="1" xfId="6" applyNumberFormat="1" applyFont="1" applyFill="1" applyBorder="1" applyAlignment="1"/>
    <xf numFmtId="0" fontId="3" fillId="48" borderId="0" xfId="0" applyNumberFormat="1" applyFont="1" applyFill="1" applyBorder="1" applyAlignment="1"/>
    <xf numFmtId="0" fontId="0" fillId="48" borderId="0" xfId="0" applyFill="1"/>
    <xf numFmtId="3" fontId="2" fillId="0" borderId="0" xfId="0" applyNumberFormat="1" applyFont="1" applyFill="1" applyBorder="1" applyAlignment="1"/>
    <xf numFmtId="0" fontId="39" fillId="33" borderId="1" xfId="0" applyNumberFormat="1" applyFont="1" applyFill="1" applyBorder="1" applyAlignment="1"/>
    <xf numFmtId="9" fontId="16" fillId="0" borderId="0" xfId="0" applyNumberFormat="1" applyFont="1" applyAlignment="1">
      <alignment horizontal="center" vertical="center"/>
    </xf>
    <xf numFmtId="9" fontId="17" fillId="0" borderId="0" xfId="0" applyNumberFormat="1" applyFont="1" applyAlignment="1">
      <alignment horizontal="center" vertical="center"/>
    </xf>
    <xf numFmtId="9" fontId="17" fillId="0" borderId="0" xfId="0" applyNumberFormat="1" applyFont="1" applyFill="1" applyAlignment="1">
      <alignment horizontal="center" vertical="center"/>
    </xf>
    <xf numFmtId="9" fontId="17" fillId="0" borderId="0" xfId="0" applyNumberFormat="1" applyFont="1" applyFill="1" applyAlignment="1">
      <alignment horizontal="center"/>
    </xf>
    <xf numFmtId="0" fontId="54" fillId="2" borderId="1" xfId="0" applyNumberFormat="1" applyFont="1" applyFill="1" applyBorder="1" applyAlignment="1"/>
    <xf numFmtId="164" fontId="54" fillId="0" borderId="1" xfId="0" applyNumberFormat="1" applyFont="1" applyFill="1" applyBorder="1" applyAlignment="1"/>
    <xf numFmtId="0" fontId="51" fillId="49" borderId="1" xfId="6" applyNumberFormat="1" applyFont="1" applyFill="1" applyBorder="1" applyAlignment="1"/>
    <xf numFmtId="0" fontId="52" fillId="49" borderId="1" xfId="6" applyNumberFormat="1" applyFont="1" applyFill="1" applyBorder="1" applyAlignment="1"/>
    <xf numFmtId="0" fontId="52" fillId="49" borderId="1" xfId="0" applyNumberFormat="1" applyFont="1" applyFill="1" applyBorder="1" applyAlignment="1"/>
    <xf numFmtId="0" fontId="54" fillId="0" borderId="1" xfId="0" applyNumberFormat="1" applyFont="1" applyFill="1" applyBorder="1" applyAlignment="1"/>
    <xf numFmtId="0" fontId="53" fillId="49" borderId="0" xfId="0" applyFont="1" applyFill="1"/>
    <xf numFmtId="0" fontId="52" fillId="50" borderId="2" xfId="0" applyNumberFormat="1" applyFont="1" applyFill="1" applyBorder="1" applyAlignment="1"/>
    <xf numFmtId="0" fontId="2" fillId="2" borderId="1" xfId="2" applyNumberFormat="1" applyFont="1" applyFill="1" applyBorder="1" applyAlignment="1"/>
    <xf numFmtId="164" fontId="2" fillId="0" borderId="1" xfId="2" applyNumberFormat="1" applyFont="1" applyFill="1" applyBorder="1" applyAlignment="1"/>
    <xf numFmtId="0" fontId="2" fillId="0" borderId="1" xfId="2" applyNumberFormat="1" applyFont="1" applyFill="1" applyBorder="1" applyAlignment="1"/>
    <xf numFmtId="0" fontId="0" fillId="7" borderId="0" xfId="0" applyFill="1"/>
    <xf numFmtId="0" fontId="0" fillId="7" borderId="0" xfId="0" applyFill="1" applyAlignment="1">
      <alignment horizontal="center"/>
    </xf>
    <xf numFmtId="9" fontId="0" fillId="7" borderId="0" xfId="0" applyNumberFormat="1" applyFill="1"/>
    <xf numFmtId="0" fontId="0" fillId="31" borderId="0" xfId="0" applyFill="1"/>
    <xf numFmtId="0" fontId="28" fillId="31" borderId="1" xfId="6" applyNumberFormat="1" applyFont="1" applyFill="1" applyBorder="1" applyAlignment="1"/>
    <xf numFmtId="164" fontId="54" fillId="31" borderId="1" xfId="0" applyNumberFormat="1" applyFont="1" applyFill="1" applyBorder="1" applyAlignment="1"/>
    <xf numFmtId="0" fontId="54" fillId="31" borderId="1" xfId="0" applyNumberFormat="1" applyFont="1" applyFill="1" applyBorder="1" applyAlignment="1"/>
    <xf numFmtId="0" fontId="2" fillId="31" borderId="1" xfId="0" applyNumberFormat="1" applyFont="1" applyFill="1" applyBorder="1" applyAlignment="1"/>
    <xf numFmtId="164" fontId="2" fillId="31" borderId="2" xfId="0" applyNumberFormat="1" applyFont="1" applyFill="1" applyBorder="1" applyAlignment="1"/>
    <xf numFmtId="164" fontId="2" fillId="31" borderId="1" xfId="0" applyNumberFormat="1" applyFont="1" applyFill="1" applyBorder="1" applyAlignment="1"/>
    <xf numFmtId="164" fontId="28" fillId="31" borderId="1" xfId="6" applyNumberFormat="1" applyFont="1" applyFill="1" applyBorder="1" applyAlignment="1"/>
    <xf numFmtId="164" fontId="2" fillId="31" borderId="1" xfId="2" applyNumberFormat="1" applyFont="1" applyFill="1" applyBorder="1" applyAlignment="1"/>
    <xf numFmtId="164" fontId="0" fillId="31" borderId="0" xfId="0" applyNumberFormat="1" applyFill="1"/>
    <xf numFmtId="0" fontId="2" fillId="31" borderId="1" xfId="2" applyNumberFormat="1" applyFont="1" applyFill="1" applyBorder="1" applyAlignment="1"/>
    <xf numFmtId="0" fontId="2" fillId="51" borderId="2" xfId="0" applyNumberFormat="1" applyFont="1" applyFill="1" applyBorder="1" applyAlignment="1"/>
    <xf numFmtId="0" fontId="28" fillId="31" borderId="1" xfId="0" applyNumberFormat="1" applyFont="1" applyFill="1" applyBorder="1" applyAlignment="1"/>
    <xf numFmtId="0" fontId="15" fillId="9" borderId="0" xfId="0" applyFont="1" applyFill="1" applyBorder="1" applyAlignment="1">
      <alignment horizontal="left" vertical="top" wrapText="1"/>
    </xf>
    <xf numFmtId="0" fontId="5" fillId="11" borderId="4" xfId="0" applyFont="1" applyFill="1" applyBorder="1" applyAlignment="1">
      <alignment horizontal="left" vertical="top" wrapText="1"/>
    </xf>
    <xf numFmtId="0" fontId="0" fillId="0" borderId="4" xfId="0" applyBorder="1" applyAlignment="1">
      <alignment vertical="top" wrapText="1"/>
    </xf>
    <xf numFmtId="0" fontId="0" fillId="9" borderId="12" xfId="0" applyFill="1" applyBorder="1" applyAlignment="1">
      <alignment horizontal="left" vertical="center" wrapText="1"/>
    </xf>
    <xf numFmtId="0" fontId="0" fillId="9" borderId="13" xfId="0" applyFill="1" applyBorder="1" applyAlignment="1">
      <alignment horizontal="left" vertical="center" wrapText="1"/>
    </xf>
    <xf numFmtId="0" fontId="31" fillId="7" borderId="0" xfId="4" applyFont="1" applyFill="1" applyBorder="1" applyAlignment="1" applyProtection="1">
      <alignment horizontal="left"/>
    </xf>
    <xf numFmtId="0" fontId="0" fillId="7" borderId="0" xfId="0" applyFill="1" applyBorder="1" applyAlignment="1">
      <alignment horizontal="left"/>
    </xf>
    <xf numFmtId="0" fontId="21" fillId="8" borderId="0" xfId="0" applyFont="1" applyFill="1" applyBorder="1" applyAlignment="1">
      <alignment horizontal="left" vertical="center"/>
    </xf>
    <xf numFmtId="0" fontId="5" fillId="5" borderId="0" xfId="0" applyFont="1" applyFill="1" applyAlignment="1">
      <alignment horizontal="center"/>
    </xf>
    <xf numFmtId="0" fontId="6" fillId="8" borderId="0" xfId="0" applyFont="1" applyFill="1" applyBorder="1" applyAlignment="1">
      <alignment horizontal="center" vertical="center"/>
    </xf>
    <xf numFmtId="0" fontId="21" fillId="8" borderId="0" xfId="0" applyFont="1" applyFill="1" applyBorder="1" applyAlignment="1">
      <alignment horizontal="center" vertical="center"/>
    </xf>
    <xf numFmtId="0" fontId="31" fillId="5" borderId="0" xfId="4" applyFont="1" applyFill="1" applyAlignment="1" applyProtection="1">
      <alignment horizontal="left"/>
    </xf>
    <xf numFmtId="0" fontId="31" fillId="5" borderId="0" xfId="4" applyFont="1" applyFill="1" applyBorder="1" applyAlignment="1" applyProtection="1">
      <alignment horizontal="left"/>
    </xf>
    <xf numFmtId="0" fontId="21" fillId="16" borderId="0" xfId="0" applyFont="1" applyFill="1" applyBorder="1" applyAlignment="1">
      <alignment horizontal="center" vertical="center"/>
    </xf>
    <xf numFmtId="0" fontId="5" fillId="7" borderId="0" xfId="0" applyFont="1" applyFill="1" applyBorder="1" applyAlignment="1">
      <alignment horizontal="left"/>
    </xf>
    <xf numFmtId="0" fontId="7" fillId="7" borderId="0" xfId="0" applyFont="1" applyFill="1" applyBorder="1" applyAlignment="1">
      <alignment horizontal="center"/>
    </xf>
    <xf numFmtId="0" fontId="27" fillId="35" borderId="4" xfId="0" applyFont="1" applyFill="1" applyBorder="1" applyAlignment="1">
      <alignment horizontal="center" vertical="center" wrapText="1"/>
    </xf>
    <xf numFmtId="0" fontId="13" fillId="35" borderId="4" xfId="0" applyFont="1" applyFill="1" applyBorder="1" applyAlignment="1">
      <alignment horizontal="center" vertical="center" wrapText="1"/>
    </xf>
    <xf numFmtId="0" fontId="8" fillId="7" borderId="8" xfId="0" applyFont="1" applyFill="1" applyBorder="1" applyAlignment="1">
      <alignment horizontal="center" wrapText="1"/>
    </xf>
    <xf numFmtId="0" fontId="8" fillId="7" borderId="15" xfId="0" applyFont="1" applyFill="1" applyBorder="1" applyAlignment="1">
      <alignment horizontal="center" wrapText="1"/>
    </xf>
    <xf numFmtId="0" fontId="8" fillId="7" borderId="7" xfId="0" applyFont="1" applyFill="1" applyBorder="1" applyAlignment="1">
      <alignment horizontal="center" wrapText="1"/>
    </xf>
    <xf numFmtId="0" fontId="5" fillId="7" borderId="0" xfId="0" applyFont="1" applyFill="1" applyBorder="1" applyAlignment="1">
      <alignment horizontal="center"/>
    </xf>
    <xf numFmtId="0" fontId="6" fillId="16" borderId="0" xfId="0" applyFont="1" applyFill="1" applyBorder="1" applyAlignment="1">
      <alignment horizontal="center" vertical="center"/>
    </xf>
    <xf numFmtId="0" fontId="25" fillId="7" borderId="12" xfId="0" applyFont="1" applyFill="1" applyBorder="1" applyAlignment="1">
      <alignment horizontal="center"/>
    </xf>
    <xf numFmtId="0" fontId="25" fillId="7" borderId="14" xfId="0" applyFont="1" applyFill="1" applyBorder="1" applyAlignment="1">
      <alignment horizontal="center"/>
    </xf>
    <xf numFmtId="0" fontId="25" fillId="7" borderId="13" xfId="0" applyFont="1" applyFill="1" applyBorder="1" applyAlignment="1">
      <alignment horizontal="center"/>
    </xf>
    <xf numFmtId="0" fontId="18" fillId="7" borderId="8" xfId="0" applyFont="1" applyFill="1" applyBorder="1" applyAlignment="1">
      <alignment horizontal="center" wrapText="1"/>
    </xf>
    <xf numFmtId="0" fontId="18" fillId="7" borderId="15" xfId="0" applyFont="1" applyFill="1" applyBorder="1" applyAlignment="1">
      <alignment horizontal="center" wrapText="1"/>
    </xf>
    <xf numFmtId="0" fontId="18" fillId="7" borderId="7" xfId="0" applyFont="1" applyFill="1" applyBorder="1" applyAlignment="1">
      <alignment horizontal="center" wrapText="1"/>
    </xf>
    <xf numFmtId="0" fontId="0" fillId="7" borderId="0" xfId="0" applyFill="1" applyBorder="1" applyAlignment="1">
      <alignment horizontal="left" wrapText="1"/>
    </xf>
    <xf numFmtId="0" fontId="0" fillId="7" borderId="12" xfId="0" applyFill="1" applyBorder="1" applyAlignment="1">
      <alignment horizontal="center"/>
    </xf>
    <xf numFmtId="0" fontId="0" fillId="7" borderId="13" xfId="0" applyFill="1" applyBorder="1" applyAlignment="1">
      <alignment horizontal="center"/>
    </xf>
    <xf numFmtId="0" fontId="0" fillId="7" borderId="7" xfId="0" applyFill="1" applyBorder="1" applyAlignment="1">
      <alignment horizontal="center"/>
    </xf>
    <xf numFmtId="0" fontId="0" fillId="7" borderId="4" xfId="0" applyFill="1" applyBorder="1" applyAlignment="1">
      <alignment horizontal="center"/>
    </xf>
    <xf numFmtId="0" fontId="8" fillId="0" borderId="0" xfId="0" applyFont="1" applyAlignment="1">
      <alignment horizontal="left" vertical="top" wrapText="1"/>
    </xf>
    <xf numFmtId="0" fontId="8" fillId="0" borderId="0" xfId="0" applyFont="1" applyAlignment="1">
      <alignment horizontal="left" vertical="top" wrapText="1" indent="2"/>
    </xf>
    <xf numFmtId="0" fontId="38" fillId="0" borderId="16" xfId="0" applyFont="1" applyBorder="1" applyAlignment="1">
      <alignment horizontal="center"/>
    </xf>
    <xf numFmtId="0" fontId="38" fillId="0" borderId="17" xfId="0" applyFont="1" applyBorder="1" applyAlignment="1">
      <alignment horizontal="center"/>
    </xf>
    <xf numFmtId="0" fontId="38" fillId="0" borderId="18" xfId="0" applyFont="1" applyBorder="1" applyAlignment="1">
      <alignment horizontal="center"/>
    </xf>
  </cellXfs>
  <cellStyles count="20">
    <cellStyle name="Comma 2" xfId="5"/>
    <cellStyle name="Comma 2 2" xfId="9"/>
    <cellStyle name="Hyperlink" xfId="4" builtinId="8"/>
    <cellStyle name="Input" xfId="3" builtinId="20"/>
    <cellStyle name="MSTRStyle.All.c1_66e6a702-3bea-4ba5-8040-ae0980fed9a0" xfId="13"/>
    <cellStyle name="MSTRStyle.All.c12_f74252db-09f7-4b9d-ba7e-04f9159699d7" xfId="12"/>
    <cellStyle name="MSTRStyle.All.c2_69d586bb-e73f-4152-bb8a-e2adbde04d0b" xfId="14"/>
    <cellStyle name="MSTRStyle.All.c3_246166e3-3975-4a90-b4f0-f6a19c910ee2" xfId="15"/>
    <cellStyle name="MSTRStyle.All.c6_62e7ed64-2eb2-47c8-9038-1b2054cedf67" xfId="16"/>
    <cellStyle name="MSTRStyle.All.c7_1abacef3-ea19-4301-a3d4-517421b78553" xfId="17"/>
    <cellStyle name="Neutral 2" xfId="18"/>
    <cellStyle name="Normal" xfId="0" builtinId="0"/>
    <cellStyle name="Normal 2" xfId="2"/>
    <cellStyle name="Normal 2 2" xfId="11"/>
    <cellStyle name="Normal 3" xfId="6"/>
    <cellStyle name="Normal 3 2" xfId="8"/>
    <cellStyle name="Normal 4" xfId="7"/>
    <cellStyle name="Normal 4 2" xfId="19"/>
    <cellStyle name="Percent" xfId="1" builtinId="5"/>
    <cellStyle name="Percent 2" xfId="10"/>
  </cellStyles>
  <dxfs count="184">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s>
  <tableStyles count="0" defaultTableStyle="TableStyleMedium2" defaultPivotStyle="PivotStyleLight16"/>
  <colors>
    <mruColors>
      <color rgb="FF89B5A6"/>
      <color rgb="FFC29AB9"/>
      <color rgb="FFE1CDDD"/>
      <color rgb="FFF2EAF0"/>
      <color rgb="FF6A4061"/>
      <color rgb="FFE5B53A"/>
      <color rgb="FF0057B8"/>
      <color rgb="FFA76D9B"/>
      <color rgb="FFDDF3EC"/>
      <color rgb="FFC8DE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'Total Employment'!$B$7</c:f>
          <c:strCache>
            <c:ptCount val="1"/>
            <c:pt idx="0">
              <c:v> Total employment - European Union (28 countries)</c:v>
            </c:pt>
          </c:strCache>
        </c:strRef>
      </c:tx>
      <c:layout>
        <c:manualLayout>
          <c:xMode val="edge"/>
          <c:yMode val="edge"/>
          <c:x val="0.24210579864600348"/>
          <c:y val="2.6237034955402819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598622076078517"/>
          <c:y val="8.367369152247868E-2"/>
          <c:w val="0.7368830228557699"/>
          <c:h val="0.61338024085822551"/>
        </c:manualLayout>
      </c:layout>
      <c:lineChart>
        <c:grouping val="standard"/>
        <c:varyColors val="0"/>
        <c:ser>
          <c:idx val="0"/>
          <c:order val="0"/>
          <c:spPr>
            <a:ln w="28575" cap="rnd">
              <a:solidFill>
                <a:srgbClr val="0057B8"/>
              </a:solidFill>
              <a:round/>
            </a:ln>
            <a:effectLst/>
          </c:spPr>
          <c:marker>
            <c:symbol val="circle"/>
            <c:size val="5"/>
            <c:spPr>
              <a:solidFill>
                <a:srgbClr val="0057B8"/>
              </a:solidFill>
              <a:ln w="9525">
                <a:solidFill>
                  <a:srgbClr val="0057B8"/>
                </a:solidFill>
              </a:ln>
              <a:effectLst/>
            </c:spPr>
          </c:marker>
          <c:cat>
            <c:strRef>
              <c:f>'Total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'Total Employment'!$B$1002:$K$1002</c:f>
              <c:numCache>
                <c:formatCode>General</c:formatCode>
                <c:ptCount val="10"/>
                <c:pt idx="0">
                  <c:v>216409.5</c:v>
                </c:pt>
                <c:pt idx="1">
                  <c:v>218931.3</c:v>
                </c:pt>
                <c:pt idx="2">
                  <c:v>220516.6</c:v>
                </c:pt>
                <c:pt idx="3">
                  <c:v>220033.1</c:v>
                </c:pt>
                <c:pt idx="4">
                  <c:v>219031.2</c:v>
                </c:pt>
                <c:pt idx="5">
                  <c:v>222149</c:v>
                </c:pt>
                <c:pt idx="6">
                  <c:v>223737.1</c:v>
                </c:pt>
                <c:pt idx="7">
                  <c:v>223051.5</c:v>
                </c:pt>
                <c:pt idx="8">
                  <c:v>221996.4</c:v>
                </c:pt>
                <c:pt idx="9">
                  <c:v>224474.1</c:v>
                </c:pt>
              </c:numCache>
            </c:numRef>
          </c:val>
          <c:smooth val="0"/>
          <c:extLst>
            <c:ext xmlns:c16="http://schemas.microsoft.com/office/drawing/2014/chart" uri="{C3380CC4-5D6E-409C-BE32-E72D297353CC}">
              <c16:uniqueId val="{00000000-A951-4BE3-A7FE-5ADB70EF105D}"/>
            </c:ext>
          </c:extLst>
        </c:ser>
        <c:dLbls>
          <c:showLegendKey val="0"/>
          <c:showVal val="0"/>
          <c:showCatName val="0"/>
          <c:showSerName val="0"/>
          <c:showPercent val="0"/>
          <c:showBubbleSize val="0"/>
        </c:dLbls>
        <c:marker val="1"/>
        <c:smooth val="0"/>
        <c:axId val="135980936"/>
        <c:axId val="241539272"/>
      </c:lineChart>
      <c:catAx>
        <c:axId val="13598093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41539272"/>
        <c:crosses val="autoZero"/>
        <c:auto val="1"/>
        <c:lblAlgn val="ctr"/>
        <c:lblOffset val="50"/>
        <c:noMultiLvlLbl val="0"/>
      </c:catAx>
      <c:valAx>
        <c:axId val="241539272"/>
        <c:scaling>
          <c:orientation val="minMax"/>
        </c:scaling>
        <c:delete val="0"/>
        <c:axPos val="l"/>
        <c:majorGridlines>
          <c:spPr>
            <a:ln w="9525" cap="flat" cmpd="sng" algn="ctr">
              <a:solidFill>
                <a:schemeClr val="tx1">
                  <a:lumMod val="15000"/>
                  <a:lumOff val="85000"/>
                </a:schemeClr>
              </a:solidFill>
              <a:round/>
            </a:ln>
            <a:effectLst/>
          </c:spPr>
        </c:majorGridlines>
        <c:title>
          <c:tx>
            <c:strRef>
              <c:f>'Total Employment'!$L$1002</c:f>
              <c:strCache>
                <c:ptCount val="1"/>
                <c:pt idx="0">
                  <c:v>Total Employment ( 1000s)</c:v>
                </c:pt>
              </c:strCache>
            </c:strRef>
          </c:tx>
          <c:layout>
            <c:manualLayout>
              <c:xMode val="edge"/>
              <c:yMode val="edge"/>
              <c:x val="5.6234106769263411E-3"/>
              <c:y val="5.8567567980212835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5980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 Employment'!$B$24</c:f>
          <c:strCache>
            <c:ptCount val="1"/>
            <c:pt idx="0">
              <c:v>#N/A</c:v>
            </c:pt>
          </c:strCache>
        </c:strRef>
      </c:tx>
      <c:layout>
        <c:manualLayout>
          <c:xMode val="edge"/>
          <c:yMode val="edge"/>
          <c:x val="0.12285237255915371"/>
          <c:y val="2.649006622516556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9281879504869484"/>
          <c:y val="0.25696777486147565"/>
          <c:w val="0.75776189266664251"/>
          <c:h val="0.49266691001373175"/>
        </c:manualLayout>
      </c:layout>
      <c:lineChart>
        <c:grouping val="standard"/>
        <c:varyColors val="0"/>
        <c:ser>
          <c:idx val="0"/>
          <c:order val="0"/>
          <c:tx>
            <c:strRef>
              <c:f>'Temp Employment'!$A$1011</c:f>
              <c:strCache>
                <c:ptCount val="1"/>
                <c:pt idx="0">
                  <c:v>Primary</c:v>
                </c:pt>
              </c:strCache>
            </c:strRef>
          </c:tx>
          <c:spPr>
            <a:ln w="28575" cap="rnd">
              <a:solidFill>
                <a:srgbClr val="0057B8"/>
              </a:solidFill>
              <a:round/>
            </a:ln>
            <a:effectLst/>
          </c:spPr>
          <c:marker>
            <c:symbol val="circle"/>
            <c:size val="5"/>
            <c:spPr>
              <a:solidFill>
                <a:srgbClr val="0057B8"/>
              </a:solidFill>
              <a:ln w="9525">
                <a:solidFill>
                  <a:srgbClr val="0057B8"/>
                </a:solidFill>
              </a:ln>
              <a:effectLst/>
            </c:spPr>
          </c:marker>
          <c:cat>
            <c:strRef>
              <c:f>'Temp Employment'!$B$1001:$K$1001</c:f>
              <c:strCache>
                <c:ptCount val="10"/>
                <c:pt idx="0">
                  <c:v>2013Q3</c:v>
                </c:pt>
                <c:pt idx="1">
                  <c:v>2013Q4</c:v>
                </c:pt>
                <c:pt idx="2">
                  <c:v>2014Q1</c:v>
                </c:pt>
                <c:pt idx="3">
                  <c:v>2014Q2</c:v>
                </c:pt>
                <c:pt idx="4">
                  <c:v>2014Q3</c:v>
                </c:pt>
                <c:pt idx="5">
                  <c:v>2014Q4</c:v>
                </c:pt>
                <c:pt idx="6">
                  <c:v>2015Q1</c:v>
                </c:pt>
                <c:pt idx="7">
                  <c:v>2015Q2</c:v>
                </c:pt>
                <c:pt idx="8">
                  <c:v>2015Q3</c:v>
                </c:pt>
                <c:pt idx="9">
                  <c:v>2015Q4</c:v>
                </c:pt>
              </c:strCache>
            </c:strRef>
          </c:cat>
          <c:val>
            <c:numRef>
              <c:f>'Temp Employment'!$B$1011:$K$1011</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0-082E-4A0A-B0D1-3588C8894797}"/>
            </c:ext>
          </c:extLst>
        </c:ser>
        <c:ser>
          <c:idx val="1"/>
          <c:order val="1"/>
          <c:tx>
            <c:strRef>
              <c:f>'Temp Employment'!$A$1012</c:f>
              <c:strCache>
                <c:ptCount val="1"/>
                <c:pt idx="0">
                  <c:v>Secondary</c:v>
                </c:pt>
              </c:strCache>
            </c:strRef>
          </c:tx>
          <c:spPr>
            <a:ln w="28575" cap="rnd">
              <a:solidFill>
                <a:srgbClr val="D78825"/>
              </a:solidFill>
              <a:round/>
            </a:ln>
            <a:effectLst/>
          </c:spPr>
          <c:marker>
            <c:symbol val="circle"/>
            <c:size val="5"/>
            <c:spPr>
              <a:solidFill>
                <a:schemeClr val="accent2"/>
              </a:solidFill>
              <a:ln w="9525">
                <a:solidFill>
                  <a:srgbClr val="D78825"/>
                </a:solidFill>
              </a:ln>
              <a:effectLst/>
            </c:spPr>
          </c:marker>
          <c:cat>
            <c:strRef>
              <c:f>'Temp Employment'!$B$1001:$K$1001</c:f>
              <c:strCache>
                <c:ptCount val="10"/>
                <c:pt idx="0">
                  <c:v>2013Q3</c:v>
                </c:pt>
                <c:pt idx="1">
                  <c:v>2013Q4</c:v>
                </c:pt>
                <c:pt idx="2">
                  <c:v>2014Q1</c:v>
                </c:pt>
                <c:pt idx="3">
                  <c:v>2014Q2</c:v>
                </c:pt>
                <c:pt idx="4">
                  <c:v>2014Q3</c:v>
                </c:pt>
                <c:pt idx="5">
                  <c:v>2014Q4</c:v>
                </c:pt>
                <c:pt idx="6">
                  <c:v>2015Q1</c:v>
                </c:pt>
                <c:pt idx="7">
                  <c:v>2015Q2</c:v>
                </c:pt>
                <c:pt idx="8">
                  <c:v>2015Q3</c:v>
                </c:pt>
                <c:pt idx="9">
                  <c:v>2015Q4</c:v>
                </c:pt>
              </c:strCache>
            </c:strRef>
          </c:cat>
          <c:val>
            <c:numRef>
              <c:f>'Temp Employment'!$B$1012:$K$1012</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1-082E-4A0A-B0D1-3588C8894797}"/>
            </c:ext>
          </c:extLst>
        </c:ser>
        <c:ser>
          <c:idx val="2"/>
          <c:order val="2"/>
          <c:tx>
            <c:strRef>
              <c:f>'Temp Employment'!$A$1013</c:f>
              <c:strCache>
                <c:ptCount val="1"/>
                <c:pt idx="0">
                  <c:v>Tertiary</c:v>
                </c:pt>
              </c:strCache>
            </c:strRef>
          </c:tx>
          <c:spPr>
            <a:ln w="28575" cap="rnd">
              <a:solidFill>
                <a:srgbClr val="BA0C2F"/>
              </a:solidFill>
              <a:round/>
            </a:ln>
            <a:effectLst/>
          </c:spPr>
          <c:marker>
            <c:symbol val="circle"/>
            <c:size val="5"/>
            <c:spPr>
              <a:solidFill>
                <a:srgbClr val="BA0C2F"/>
              </a:solidFill>
              <a:ln w="9525">
                <a:solidFill>
                  <a:srgbClr val="BA0C2F"/>
                </a:solidFill>
              </a:ln>
              <a:effectLst/>
            </c:spPr>
          </c:marker>
          <c:cat>
            <c:strRef>
              <c:f>'Temp Employment'!$B$1001:$K$1001</c:f>
              <c:strCache>
                <c:ptCount val="10"/>
                <c:pt idx="0">
                  <c:v>2013Q3</c:v>
                </c:pt>
                <c:pt idx="1">
                  <c:v>2013Q4</c:v>
                </c:pt>
                <c:pt idx="2">
                  <c:v>2014Q1</c:v>
                </c:pt>
                <c:pt idx="3">
                  <c:v>2014Q2</c:v>
                </c:pt>
                <c:pt idx="4">
                  <c:v>2014Q3</c:v>
                </c:pt>
                <c:pt idx="5">
                  <c:v>2014Q4</c:v>
                </c:pt>
                <c:pt idx="6">
                  <c:v>2015Q1</c:v>
                </c:pt>
                <c:pt idx="7">
                  <c:v>2015Q2</c:v>
                </c:pt>
                <c:pt idx="8">
                  <c:v>2015Q3</c:v>
                </c:pt>
                <c:pt idx="9">
                  <c:v>2015Q4</c:v>
                </c:pt>
              </c:strCache>
            </c:strRef>
          </c:cat>
          <c:val>
            <c:numRef>
              <c:f>'Temp Employment'!$B$1013:$K$1013</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2-082E-4A0A-B0D1-3588C8894797}"/>
            </c:ext>
          </c:extLst>
        </c:ser>
        <c:dLbls>
          <c:showLegendKey val="0"/>
          <c:showVal val="0"/>
          <c:showCatName val="0"/>
          <c:showSerName val="0"/>
          <c:showPercent val="0"/>
          <c:showBubbleSize val="0"/>
        </c:dLbls>
        <c:marker val="1"/>
        <c:smooth val="0"/>
        <c:axId val="242760584"/>
        <c:axId val="242760976"/>
      </c:lineChart>
      <c:catAx>
        <c:axId val="24276058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2760976"/>
        <c:crosses val="autoZero"/>
        <c:auto val="1"/>
        <c:lblAlgn val="ctr"/>
        <c:lblOffset val="50"/>
        <c:noMultiLvlLbl val="0"/>
      </c:catAx>
      <c:valAx>
        <c:axId val="242760976"/>
        <c:scaling>
          <c:orientation val="minMax"/>
        </c:scaling>
        <c:delete val="0"/>
        <c:axPos val="l"/>
        <c:majorGridlines>
          <c:spPr>
            <a:ln w="9525" cap="flat" cmpd="sng" algn="ctr">
              <a:solidFill>
                <a:schemeClr val="tx1">
                  <a:lumMod val="15000"/>
                  <a:lumOff val="85000"/>
                </a:schemeClr>
              </a:solidFill>
              <a:round/>
            </a:ln>
            <a:effectLst/>
          </c:spPr>
        </c:majorGridlines>
        <c:title>
          <c:tx>
            <c:strRef>
              <c:f>'Temp Employment'!$P$8</c:f>
              <c:strCache>
                <c:ptCount val="1"/>
                <c:pt idx="0">
                  <c:v>Temp Employees (1000s)</c:v>
                </c:pt>
              </c:strCache>
            </c:strRef>
          </c:tx>
          <c:layout>
            <c:manualLayout>
              <c:xMode val="edge"/>
              <c:yMode val="edge"/>
              <c:x val="1.9502221307577255E-2"/>
              <c:y val="0.2875688976377952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2760584"/>
        <c:crosses val="autoZero"/>
        <c:crossBetween val="between"/>
      </c:valAx>
      <c:spPr>
        <a:noFill/>
        <a:ln>
          <a:noFill/>
        </a:ln>
        <a:effectLst/>
      </c:spPr>
    </c:plotArea>
    <c:legend>
      <c:legendPos val="b"/>
      <c:layout>
        <c:manualLayout>
          <c:xMode val="edge"/>
          <c:yMode val="edge"/>
          <c:x val="0.16700430472197941"/>
          <c:y val="0.91666614520867007"/>
          <c:w val="0.66599139055604117"/>
          <c:h val="7.45038327162747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 Employment'!$I$24</c:f>
          <c:strCache>
            <c:ptCount val="1"/>
            <c:pt idx="0">
              <c:v>#N/A</c:v>
            </c:pt>
          </c:strCache>
        </c:strRef>
      </c:tx>
      <c:layout>
        <c:manualLayout>
          <c:xMode val="edge"/>
          <c:yMode val="edge"/>
          <c:x val="0.12285237255915371"/>
          <c:y val="2.649006622516556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6483690567836953"/>
          <c:y val="0.16212849798007994"/>
          <c:w val="0.59096689729263818"/>
          <c:h val="0.64187828470871933"/>
        </c:manualLayout>
      </c:layout>
      <c:barChart>
        <c:barDir val="col"/>
        <c:grouping val="stacked"/>
        <c:varyColors val="0"/>
        <c:ser>
          <c:idx val="0"/>
          <c:order val="0"/>
          <c:tx>
            <c:strRef>
              <c:f>'Temp Employment'!$A$1014</c:f>
              <c:strCache>
                <c:ptCount val="1"/>
                <c:pt idx="0">
                  <c:v>Manager</c:v>
                </c:pt>
              </c:strCache>
            </c:strRef>
          </c:tx>
          <c:spPr>
            <a:solidFill>
              <a:srgbClr val="A20067"/>
            </a:solidFill>
            <a:ln>
              <a:solidFill>
                <a:srgbClr val="A20067"/>
              </a:solidFill>
            </a:ln>
            <a:effectLst/>
          </c:spPr>
          <c:invertIfNegative val="0"/>
          <c:cat>
            <c:strRef>
              <c:f>'Temp Employment'!$B$1001:$K$1001</c:f>
              <c:strCache>
                <c:ptCount val="10"/>
                <c:pt idx="0">
                  <c:v>2013Q3</c:v>
                </c:pt>
                <c:pt idx="1">
                  <c:v>2013Q4</c:v>
                </c:pt>
                <c:pt idx="2">
                  <c:v>2014Q1</c:v>
                </c:pt>
                <c:pt idx="3">
                  <c:v>2014Q2</c:v>
                </c:pt>
                <c:pt idx="4">
                  <c:v>2014Q3</c:v>
                </c:pt>
                <c:pt idx="5">
                  <c:v>2014Q4</c:v>
                </c:pt>
                <c:pt idx="6">
                  <c:v>2015Q1</c:v>
                </c:pt>
                <c:pt idx="7">
                  <c:v>2015Q2</c:v>
                </c:pt>
                <c:pt idx="8">
                  <c:v>2015Q3</c:v>
                </c:pt>
                <c:pt idx="9">
                  <c:v>2015Q4</c:v>
                </c:pt>
              </c:strCache>
            </c:strRef>
          </c:cat>
          <c:val>
            <c:numRef>
              <c:f>'Temp Employment'!$B$1014:$K$1014</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D8D3-478C-B6AD-71D6B5913A36}"/>
            </c:ext>
          </c:extLst>
        </c:ser>
        <c:ser>
          <c:idx val="1"/>
          <c:order val="1"/>
          <c:tx>
            <c:strRef>
              <c:f>'Temp Employment'!$A$1015</c:f>
              <c:strCache>
                <c:ptCount val="1"/>
                <c:pt idx="0">
                  <c:v>Professional</c:v>
                </c:pt>
              </c:strCache>
            </c:strRef>
          </c:tx>
          <c:spPr>
            <a:solidFill>
              <a:srgbClr val="BA0C2F"/>
            </a:solidFill>
            <a:ln>
              <a:solidFill>
                <a:srgbClr val="BA0C2F"/>
              </a:solidFill>
            </a:ln>
            <a:effectLst/>
          </c:spPr>
          <c:invertIfNegative val="0"/>
          <c:cat>
            <c:strRef>
              <c:f>'Temp Employment'!$B$1001:$K$1001</c:f>
              <c:strCache>
                <c:ptCount val="10"/>
                <c:pt idx="0">
                  <c:v>2013Q3</c:v>
                </c:pt>
                <c:pt idx="1">
                  <c:v>2013Q4</c:v>
                </c:pt>
                <c:pt idx="2">
                  <c:v>2014Q1</c:v>
                </c:pt>
                <c:pt idx="3">
                  <c:v>2014Q2</c:v>
                </c:pt>
                <c:pt idx="4">
                  <c:v>2014Q3</c:v>
                </c:pt>
                <c:pt idx="5">
                  <c:v>2014Q4</c:v>
                </c:pt>
                <c:pt idx="6">
                  <c:v>2015Q1</c:v>
                </c:pt>
                <c:pt idx="7">
                  <c:v>2015Q2</c:v>
                </c:pt>
                <c:pt idx="8">
                  <c:v>2015Q3</c:v>
                </c:pt>
                <c:pt idx="9">
                  <c:v>2015Q4</c:v>
                </c:pt>
              </c:strCache>
            </c:strRef>
          </c:cat>
          <c:val>
            <c:numRef>
              <c:f>'Temp Employment'!$B$1015:$K$1015</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1-D8D3-478C-B6AD-71D6B5913A36}"/>
            </c:ext>
          </c:extLst>
        </c:ser>
        <c:ser>
          <c:idx val="2"/>
          <c:order val="2"/>
          <c:tx>
            <c:strRef>
              <c:f>'Temp Employment'!$A$1016</c:f>
              <c:strCache>
                <c:ptCount val="1"/>
                <c:pt idx="0">
                  <c:v>Technicians</c:v>
                </c:pt>
              </c:strCache>
            </c:strRef>
          </c:tx>
          <c:spPr>
            <a:solidFill>
              <a:srgbClr val="00AB84"/>
            </a:solidFill>
            <a:ln>
              <a:solidFill>
                <a:srgbClr val="00AB84"/>
              </a:solidFill>
            </a:ln>
            <a:effectLst/>
          </c:spPr>
          <c:invertIfNegative val="0"/>
          <c:cat>
            <c:strRef>
              <c:f>'Temp Employment'!$B$1001:$K$1001</c:f>
              <c:strCache>
                <c:ptCount val="10"/>
                <c:pt idx="0">
                  <c:v>2013Q3</c:v>
                </c:pt>
                <c:pt idx="1">
                  <c:v>2013Q4</c:v>
                </c:pt>
                <c:pt idx="2">
                  <c:v>2014Q1</c:v>
                </c:pt>
                <c:pt idx="3">
                  <c:v>2014Q2</c:v>
                </c:pt>
                <c:pt idx="4">
                  <c:v>2014Q3</c:v>
                </c:pt>
                <c:pt idx="5">
                  <c:v>2014Q4</c:v>
                </c:pt>
                <c:pt idx="6">
                  <c:v>2015Q1</c:v>
                </c:pt>
                <c:pt idx="7">
                  <c:v>2015Q2</c:v>
                </c:pt>
                <c:pt idx="8">
                  <c:v>2015Q3</c:v>
                </c:pt>
                <c:pt idx="9">
                  <c:v>2015Q4</c:v>
                </c:pt>
              </c:strCache>
            </c:strRef>
          </c:cat>
          <c:val>
            <c:numRef>
              <c:f>'Temp Employment'!$B$1016:$K$1016</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2-D8D3-478C-B6AD-71D6B5913A36}"/>
            </c:ext>
          </c:extLst>
        </c:ser>
        <c:ser>
          <c:idx val="3"/>
          <c:order val="3"/>
          <c:tx>
            <c:strRef>
              <c:f>'Temp Employment'!$A$1017</c:f>
              <c:strCache>
                <c:ptCount val="1"/>
                <c:pt idx="0">
                  <c:v>Clerical</c:v>
                </c:pt>
              </c:strCache>
            </c:strRef>
          </c:tx>
          <c:spPr>
            <a:solidFill>
              <a:srgbClr val="D78825"/>
            </a:solidFill>
            <a:ln>
              <a:solidFill>
                <a:srgbClr val="D78825"/>
              </a:solidFill>
            </a:ln>
            <a:effectLst/>
          </c:spPr>
          <c:invertIfNegative val="0"/>
          <c:cat>
            <c:strRef>
              <c:f>'Temp Employment'!$B$1001:$K$1001</c:f>
              <c:strCache>
                <c:ptCount val="10"/>
                <c:pt idx="0">
                  <c:v>2013Q3</c:v>
                </c:pt>
                <c:pt idx="1">
                  <c:v>2013Q4</c:v>
                </c:pt>
                <c:pt idx="2">
                  <c:v>2014Q1</c:v>
                </c:pt>
                <c:pt idx="3">
                  <c:v>2014Q2</c:v>
                </c:pt>
                <c:pt idx="4">
                  <c:v>2014Q3</c:v>
                </c:pt>
                <c:pt idx="5">
                  <c:v>2014Q4</c:v>
                </c:pt>
                <c:pt idx="6">
                  <c:v>2015Q1</c:v>
                </c:pt>
                <c:pt idx="7">
                  <c:v>2015Q2</c:v>
                </c:pt>
                <c:pt idx="8">
                  <c:v>2015Q3</c:v>
                </c:pt>
                <c:pt idx="9">
                  <c:v>2015Q4</c:v>
                </c:pt>
              </c:strCache>
            </c:strRef>
          </c:cat>
          <c:val>
            <c:numRef>
              <c:f>'Temp Employment'!$B$1017:$K$1017</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3-D8D3-478C-B6AD-71D6B5913A36}"/>
            </c:ext>
          </c:extLst>
        </c:ser>
        <c:ser>
          <c:idx val="4"/>
          <c:order val="4"/>
          <c:tx>
            <c:strRef>
              <c:f>'Temp Employment'!$A$1018</c:f>
              <c:strCache>
                <c:ptCount val="1"/>
                <c:pt idx="0">
                  <c:v>Service and Sales</c:v>
                </c:pt>
              </c:strCache>
            </c:strRef>
          </c:tx>
          <c:spPr>
            <a:solidFill>
              <a:srgbClr val="0057B8"/>
            </a:solidFill>
            <a:ln>
              <a:solidFill>
                <a:srgbClr val="0057B8"/>
              </a:solidFill>
            </a:ln>
            <a:effectLst/>
          </c:spPr>
          <c:invertIfNegative val="0"/>
          <c:dPt>
            <c:idx val="0"/>
            <c:invertIfNegative val="0"/>
            <c:bubble3D val="0"/>
            <c:extLst>
              <c:ext xmlns:c16="http://schemas.microsoft.com/office/drawing/2014/chart" uri="{C3380CC4-5D6E-409C-BE32-E72D297353CC}">
                <c16:uniqueId val="{00000004-D8D3-478C-B6AD-71D6B5913A36}"/>
              </c:ext>
            </c:extLst>
          </c:dPt>
          <c:dPt>
            <c:idx val="1"/>
            <c:invertIfNegative val="0"/>
            <c:bubble3D val="0"/>
            <c:extLst>
              <c:ext xmlns:c16="http://schemas.microsoft.com/office/drawing/2014/chart" uri="{C3380CC4-5D6E-409C-BE32-E72D297353CC}">
                <c16:uniqueId val="{00000005-D8D3-478C-B6AD-71D6B5913A36}"/>
              </c:ext>
            </c:extLst>
          </c:dPt>
          <c:cat>
            <c:strRef>
              <c:f>'Temp Employment'!$B$1001:$K$1001</c:f>
              <c:strCache>
                <c:ptCount val="10"/>
                <c:pt idx="0">
                  <c:v>2013Q3</c:v>
                </c:pt>
                <c:pt idx="1">
                  <c:v>2013Q4</c:v>
                </c:pt>
                <c:pt idx="2">
                  <c:v>2014Q1</c:v>
                </c:pt>
                <c:pt idx="3">
                  <c:v>2014Q2</c:v>
                </c:pt>
                <c:pt idx="4">
                  <c:v>2014Q3</c:v>
                </c:pt>
                <c:pt idx="5">
                  <c:v>2014Q4</c:v>
                </c:pt>
                <c:pt idx="6">
                  <c:v>2015Q1</c:v>
                </c:pt>
                <c:pt idx="7">
                  <c:v>2015Q2</c:v>
                </c:pt>
                <c:pt idx="8">
                  <c:v>2015Q3</c:v>
                </c:pt>
                <c:pt idx="9">
                  <c:v>2015Q4</c:v>
                </c:pt>
              </c:strCache>
            </c:strRef>
          </c:cat>
          <c:val>
            <c:numRef>
              <c:f>'Temp Employment'!$B$1018:$K$1018</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6-D8D3-478C-B6AD-71D6B5913A36}"/>
            </c:ext>
          </c:extLst>
        </c:ser>
        <c:ser>
          <c:idx val="5"/>
          <c:order val="5"/>
          <c:tx>
            <c:strRef>
              <c:f>'Temp Employment'!$A$1019</c:f>
              <c:strCache>
                <c:ptCount val="1"/>
                <c:pt idx="0">
                  <c:v>Skilled Agricultural</c:v>
                </c:pt>
              </c:strCache>
            </c:strRef>
          </c:tx>
          <c:spPr>
            <a:solidFill>
              <a:srgbClr val="5BC500"/>
            </a:solidFill>
            <a:ln>
              <a:solidFill>
                <a:srgbClr val="5BC500"/>
              </a:solidFill>
            </a:ln>
            <a:effectLst/>
          </c:spPr>
          <c:invertIfNegative val="0"/>
          <c:cat>
            <c:strRef>
              <c:f>'Temp Employment'!$B$1001:$K$1001</c:f>
              <c:strCache>
                <c:ptCount val="10"/>
                <c:pt idx="0">
                  <c:v>2013Q3</c:v>
                </c:pt>
                <c:pt idx="1">
                  <c:v>2013Q4</c:v>
                </c:pt>
                <c:pt idx="2">
                  <c:v>2014Q1</c:v>
                </c:pt>
                <c:pt idx="3">
                  <c:v>2014Q2</c:v>
                </c:pt>
                <c:pt idx="4">
                  <c:v>2014Q3</c:v>
                </c:pt>
                <c:pt idx="5">
                  <c:v>2014Q4</c:v>
                </c:pt>
                <c:pt idx="6">
                  <c:v>2015Q1</c:v>
                </c:pt>
                <c:pt idx="7">
                  <c:v>2015Q2</c:v>
                </c:pt>
                <c:pt idx="8">
                  <c:v>2015Q3</c:v>
                </c:pt>
                <c:pt idx="9">
                  <c:v>2015Q4</c:v>
                </c:pt>
              </c:strCache>
            </c:strRef>
          </c:cat>
          <c:val>
            <c:numRef>
              <c:f>'Temp Employment'!$B$1019:$K$1019</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7-D8D3-478C-B6AD-71D6B5913A36}"/>
            </c:ext>
          </c:extLst>
        </c:ser>
        <c:ser>
          <c:idx val="6"/>
          <c:order val="6"/>
          <c:tx>
            <c:strRef>
              <c:f>'Temp Employment'!$A$1020</c:f>
              <c:strCache>
                <c:ptCount val="1"/>
                <c:pt idx="0">
                  <c:v>Craft and trade</c:v>
                </c:pt>
              </c:strCache>
            </c:strRef>
          </c:tx>
          <c:spPr>
            <a:solidFill>
              <a:srgbClr val="DEC21C"/>
            </a:solidFill>
            <a:ln>
              <a:solidFill>
                <a:srgbClr val="DEC21C"/>
              </a:solidFill>
            </a:ln>
            <a:effectLst/>
          </c:spPr>
          <c:invertIfNegative val="0"/>
          <c:cat>
            <c:strRef>
              <c:f>'Temp Employment'!$B$1001:$K$1001</c:f>
              <c:strCache>
                <c:ptCount val="10"/>
                <c:pt idx="0">
                  <c:v>2013Q3</c:v>
                </c:pt>
                <c:pt idx="1">
                  <c:v>2013Q4</c:v>
                </c:pt>
                <c:pt idx="2">
                  <c:v>2014Q1</c:v>
                </c:pt>
                <c:pt idx="3">
                  <c:v>2014Q2</c:v>
                </c:pt>
                <c:pt idx="4">
                  <c:v>2014Q3</c:v>
                </c:pt>
                <c:pt idx="5">
                  <c:v>2014Q4</c:v>
                </c:pt>
                <c:pt idx="6">
                  <c:v>2015Q1</c:v>
                </c:pt>
                <c:pt idx="7">
                  <c:v>2015Q2</c:v>
                </c:pt>
                <c:pt idx="8">
                  <c:v>2015Q3</c:v>
                </c:pt>
                <c:pt idx="9">
                  <c:v>2015Q4</c:v>
                </c:pt>
              </c:strCache>
            </c:strRef>
          </c:cat>
          <c:val>
            <c:numRef>
              <c:f>'Temp Employment'!$B$1020:$K$1020</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8-D8D3-478C-B6AD-71D6B5913A36}"/>
            </c:ext>
          </c:extLst>
        </c:ser>
        <c:ser>
          <c:idx val="7"/>
          <c:order val="7"/>
          <c:tx>
            <c:strRef>
              <c:f>'Temp Employment'!$A$1021</c:f>
              <c:strCache>
                <c:ptCount val="1"/>
                <c:pt idx="0">
                  <c:v>Machine operators</c:v>
                </c:pt>
              </c:strCache>
            </c:strRef>
          </c:tx>
          <c:spPr>
            <a:solidFill>
              <a:srgbClr val="5C068C"/>
            </a:solidFill>
            <a:ln>
              <a:solidFill>
                <a:srgbClr val="5C068C"/>
              </a:solidFill>
            </a:ln>
            <a:effectLst/>
          </c:spPr>
          <c:invertIfNegative val="0"/>
          <c:cat>
            <c:strRef>
              <c:f>'Temp Employment'!$B$1001:$K$1001</c:f>
              <c:strCache>
                <c:ptCount val="10"/>
                <c:pt idx="0">
                  <c:v>2013Q3</c:v>
                </c:pt>
                <c:pt idx="1">
                  <c:v>2013Q4</c:v>
                </c:pt>
                <c:pt idx="2">
                  <c:v>2014Q1</c:v>
                </c:pt>
                <c:pt idx="3">
                  <c:v>2014Q2</c:v>
                </c:pt>
                <c:pt idx="4">
                  <c:v>2014Q3</c:v>
                </c:pt>
                <c:pt idx="5">
                  <c:v>2014Q4</c:v>
                </c:pt>
                <c:pt idx="6">
                  <c:v>2015Q1</c:v>
                </c:pt>
                <c:pt idx="7">
                  <c:v>2015Q2</c:v>
                </c:pt>
                <c:pt idx="8">
                  <c:v>2015Q3</c:v>
                </c:pt>
                <c:pt idx="9">
                  <c:v>2015Q4</c:v>
                </c:pt>
              </c:strCache>
            </c:strRef>
          </c:cat>
          <c:val>
            <c:numRef>
              <c:f>'Temp Employment'!$B$1021:$K$1021</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9-D8D3-478C-B6AD-71D6B5913A36}"/>
            </c:ext>
          </c:extLst>
        </c:ser>
        <c:ser>
          <c:idx val="8"/>
          <c:order val="8"/>
          <c:tx>
            <c:strRef>
              <c:f>'Temp Employment'!$A$1022</c:f>
              <c:strCache>
                <c:ptCount val="1"/>
                <c:pt idx="0">
                  <c:v>Elementary occupations</c:v>
                </c:pt>
              </c:strCache>
            </c:strRef>
          </c:tx>
          <c:spPr>
            <a:solidFill>
              <a:srgbClr val="DDCBA4"/>
            </a:solidFill>
            <a:ln>
              <a:solidFill>
                <a:srgbClr val="DEC21C"/>
              </a:solidFill>
            </a:ln>
            <a:effectLst/>
          </c:spPr>
          <c:invertIfNegative val="0"/>
          <c:cat>
            <c:strRef>
              <c:f>'Temp Employment'!$B$1001:$K$1001</c:f>
              <c:strCache>
                <c:ptCount val="10"/>
                <c:pt idx="0">
                  <c:v>2013Q3</c:v>
                </c:pt>
                <c:pt idx="1">
                  <c:v>2013Q4</c:v>
                </c:pt>
                <c:pt idx="2">
                  <c:v>2014Q1</c:v>
                </c:pt>
                <c:pt idx="3">
                  <c:v>2014Q2</c:v>
                </c:pt>
                <c:pt idx="4">
                  <c:v>2014Q3</c:v>
                </c:pt>
                <c:pt idx="5">
                  <c:v>2014Q4</c:v>
                </c:pt>
                <c:pt idx="6">
                  <c:v>2015Q1</c:v>
                </c:pt>
                <c:pt idx="7">
                  <c:v>2015Q2</c:v>
                </c:pt>
                <c:pt idx="8">
                  <c:v>2015Q3</c:v>
                </c:pt>
                <c:pt idx="9">
                  <c:v>2015Q4</c:v>
                </c:pt>
              </c:strCache>
            </c:strRef>
          </c:cat>
          <c:val>
            <c:numRef>
              <c:f>'Temp Employment'!$B$1022:$K$1022</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A-D8D3-478C-B6AD-71D6B5913A36}"/>
            </c:ext>
          </c:extLst>
        </c:ser>
        <c:ser>
          <c:idx val="9"/>
          <c:order val="9"/>
          <c:tx>
            <c:strRef>
              <c:f>'Temp Employment'!$A$1023</c:f>
              <c:strCache>
                <c:ptCount val="1"/>
                <c:pt idx="0">
                  <c:v>Armed forces</c:v>
                </c:pt>
              </c:strCache>
            </c:strRef>
          </c:tx>
          <c:spPr>
            <a:solidFill>
              <a:srgbClr val="455F60"/>
            </a:solidFill>
            <a:ln>
              <a:solidFill>
                <a:srgbClr val="455F60"/>
              </a:solidFill>
            </a:ln>
            <a:effectLst/>
          </c:spPr>
          <c:invertIfNegative val="0"/>
          <c:cat>
            <c:strRef>
              <c:f>'Temp Employment'!$B$1001:$K$1001</c:f>
              <c:strCache>
                <c:ptCount val="10"/>
                <c:pt idx="0">
                  <c:v>2013Q3</c:v>
                </c:pt>
                <c:pt idx="1">
                  <c:v>2013Q4</c:v>
                </c:pt>
                <c:pt idx="2">
                  <c:v>2014Q1</c:v>
                </c:pt>
                <c:pt idx="3">
                  <c:v>2014Q2</c:v>
                </c:pt>
                <c:pt idx="4">
                  <c:v>2014Q3</c:v>
                </c:pt>
                <c:pt idx="5">
                  <c:v>2014Q4</c:v>
                </c:pt>
                <c:pt idx="6">
                  <c:v>2015Q1</c:v>
                </c:pt>
                <c:pt idx="7">
                  <c:v>2015Q2</c:v>
                </c:pt>
                <c:pt idx="8">
                  <c:v>2015Q3</c:v>
                </c:pt>
                <c:pt idx="9">
                  <c:v>2015Q4</c:v>
                </c:pt>
              </c:strCache>
            </c:strRef>
          </c:cat>
          <c:val>
            <c:numRef>
              <c:f>'Temp Employment'!$B$1023:$K$1023</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B-D8D3-478C-B6AD-71D6B5913A36}"/>
            </c:ext>
          </c:extLst>
        </c:ser>
        <c:dLbls>
          <c:showLegendKey val="0"/>
          <c:showVal val="0"/>
          <c:showCatName val="0"/>
          <c:showSerName val="0"/>
          <c:showPercent val="0"/>
          <c:showBubbleSize val="0"/>
        </c:dLbls>
        <c:gapWidth val="100"/>
        <c:overlap val="100"/>
        <c:axId val="242761760"/>
        <c:axId val="242574680"/>
      </c:barChart>
      <c:catAx>
        <c:axId val="242761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2574680"/>
        <c:crosses val="autoZero"/>
        <c:auto val="1"/>
        <c:lblAlgn val="ctr"/>
        <c:lblOffset val="50"/>
        <c:noMultiLvlLbl val="0"/>
      </c:catAx>
      <c:valAx>
        <c:axId val="242574680"/>
        <c:scaling>
          <c:orientation val="minMax"/>
        </c:scaling>
        <c:delete val="0"/>
        <c:axPos val="l"/>
        <c:majorGridlines>
          <c:spPr>
            <a:ln w="9525" cap="flat" cmpd="sng" algn="ctr">
              <a:solidFill>
                <a:schemeClr val="tx1">
                  <a:lumMod val="15000"/>
                  <a:lumOff val="85000"/>
                </a:schemeClr>
              </a:solidFill>
              <a:round/>
            </a:ln>
            <a:effectLst/>
          </c:spPr>
        </c:majorGridlines>
        <c:title>
          <c:tx>
            <c:strRef>
              <c:f>'Temp Employment'!$P$8</c:f>
              <c:strCache>
                <c:ptCount val="1"/>
                <c:pt idx="0">
                  <c:v>Temp Employees (1000s)</c:v>
                </c:pt>
              </c:strCache>
            </c:strRef>
          </c:tx>
          <c:layout>
            <c:manualLayout>
              <c:xMode val="edge"/>
              <c:yMode val="edge"/>
              <c:x val="1.9502221307577255E-2"/>
              <c:y val="0.2875688976377952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2761760"/>
        <c:crosses val="autoZero"/>
        <c:crossBetween val="between"/>
      </c:valAx>
      <c:spPr>
        <a:noFill/>
        <a:ln>
          <a:noFill/>
        </a:ln>
        <a:effectLst/>
      </c:spPr>
    </c:plotArea>
    <c:legend>
      <c:legendPos val="r"/>
      <c:layout>
        <c:manualLayout>
          <c:xMode val="edge"/>
          <c:yMode val="edge"/>
          <c:x val="0.76494724656738045"/>
          <c:y val="0.14517742911974449"/>
          <c:w val="0.23505275343261958"/>
          <c:h val="0.7444482819979051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'Temporary Employment'!$P$24</c:f>
          <c:strCache>
            <c:ptCount val="1"/>
            <c:pt idx="0">
              <c:v>Temporary employees by economic activity - European Union (28 countries)</c:v>
            </c:pt>
          </c:strCache>
        </c:strRef>
      </c:tx>
      <c:layout>
        <c:manualLayout>
          <c:xMode val="edge"/>
          <c:yMode val="edge"/>
          <c:x val="9.6622848135132194E-2"/>
          <c:y val="2.015372494804993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5122530851076832"/>
          <c:y val="0.17245494313210849"/>
          <c:w val="0.54382865731618135"/>
          <c:h val="0.65110734235143686"/>
        </c:manualLayout>
      </c:layout>
      <c:areaChart>
        <c:grouping val="stacked"/>
        <c:varyColors val="0"/>
        <c:ser>
          <c:idx val="0"/>
          <c:order val="0"/>
          <c:tx>
            <c:strRef>
              <c:f>'Temp Employment'!$L$1024</c:f>
              <c:strCache>
                <c:ptCount val="1"/>
                <c:pt idx="0">
                  <c:v>Agri/ Fisheries/Forestry</c:v>
                </c:pt>
              </c:strCache>
            </c:strRef>
          </c:tx>
          <c:spPr>
            <a:solidFill>
              <a:srgbClr val="0097A9"/>
            </a:solidFill>
            <a:ln>
              <a:solidFill>
                <a:srgbClr val="0097A9"/>
              </a:solidFill>
            </a:ln>
            <a:effectLst/>
          </c:spPr>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pt idx="9">
                  <c:v>2015Q4</c:v>
                </c:pt>
              </c:strCache>
            </c:strRef>
          </c:cat>
          <c:val>
            <c:numRef>
              <c:extLst>
                <c:ext xmlns:c15="http://schemas.microsoft.com/office/drawing/2012/chart" uri="{02D57815-91ED-43cb-92C2-25804820EDAC}">
                  <c15:fullRef>
                    <c15:sqref>'Temp Employment'!$B$1024:$J$1024</c15:sqref>
                  </c15:fullRef>
                </c:ext>
              </c:extLst>
              <c:f>'Temp Employment'!$B$1024:$J$1024</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0-A1B0-4EAB-9859-59E96AA7D73C}"/>
            </c:ext>
          </c:extLst>
        </c:ser>
        <c:ser>
          <c:idx val="1"/>
          <c:order val="1"/>
          <c:tx>
            <c:strRef>
              <c:f>'Temp Employment'!$L$1025</c:f>
              <c:strCache>
                <c:ptCount val="1"/>
                <c:pt idx="0">
                  <c:v>Manufacturing</c:v>
                </c:pt>
              </c:strCache>
            </c:strRef>
          </c:tx>
          <c:spPr>
            <a:solidFill>
              <a:srgbClr val="A76D11"/>
            </a:solidFill>
            <a:ln>
              <a:noFill/>
            </a:ln>
            <a:effectLst/>
          </c:spPr>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strCache>
            </c:strRef>
          </c:cat>
          <c:val>
            <c:numRef>
              <c:extLst>
                <c:ext xmlns:c15="http://schemas.microsoft.com/office/drawing/2012/chart" uri="{02D57815-91ED-43cb-92C2-25804820EDAC}">
                  <c15:fullRef>
                    <c15:sqref>'Temp Employment'!$B$1025:$K$1025</c15:sqref>
                  </c15:fullRef>
                </c:ext>
              </c:extLst>
              <c:f>'Temp Employment'!$B$1025:$J$1025</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1-A1B0-4EAB-9859-59E96AA7D73C}"/>
            </c:ext>
          </c:extLst>
        </c:ser>
        <c:ser>
          <c:idx val="2"/>
          <c:order val="2"/>
          <c:tx>
            <c:strRef>
              <c:f>'Temp Employment'!$A$1026</c:f>
              <c:strCache>
                <c:ptCount val="1"/>
                <c:pt idx="0">
                  <c:v>Construction</c:v>
                </c:pt>
              </c:strCache>
            </c:strRef>
          </c:tx>
          <c:spPr>
            <a:solidFill>
              <a:srgbClr val="E1D100"/>
            </a:solidFill>
            <a:ln>
              <a:solidFill>
                <a:srgbClr val="E1D100"/>
              </a:solidFill>
            </a:ln>
            <a:effectLst/>
          </c:spPr>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strCache>
            </c:strRef>
          </c:cat>
          <c:val>
            <c:numRef>
              <c:extLst>
                <c:ext xmlns:c15="http://schemas.microsoft.com/office/drawing/2012/chart" uri="{02D57815-91ED-43cb-92C2-25804820EDAC}">
                  <c15:fullRef>
                    <c15:sqref>'Temp Employment'!$B$1026:$L$1026</c15:sqref>
                  </c15:fullRef>
                </c:ext>
              </c:extLst>
              <c:f>'Temp Employment'!$B$1026:$J$1026</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2-A1B0-4EAB-9859-59E96AA7D73C}"/>
            </c:ext>
          </c:extLst>
        </c:ser>
        <c:ser>
          <c:idx val="3"/>
          <c:order val="3"/>
          <c:tx>
            <c:strRef>
              <c:f>'Temp Employment'!$L$1027</c:f>
              <c:strCache>
                <c:ptCount val="1"/>
                <c:pt idx="0">
                  <c:v>Wholesale/retail trade</c:v>
                </c:pt>
              </c:strCache>
            </c:strRef>
          </c:tx>
          <c:spPr>
            <a:solidFill>
              <a:srgbClr val="00AB84"/>
            </a:solidFill>
            <a:ln>
              <a:solidFill>
                <a:srgbClr val="00AB84"/>
              </a:solidFill>
            </a:ln>
            <a:effectLst/>
          </c:spPr>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strCache>
            </c:strRef>
          </c:cat>
          <c:val>
            <c:numRef>
              <c:extLst>
                <c:ext xmlns:c15="http://schemas.microsoft.com/office/drawing/2012/chart" uri="{02D57815-91ED-43cb-92C2-25804820EDAC}">
                  <c15:fullRef>
                    <c15:sqref>'Temp Employment'!$B$1027:$K$1027</c15:sqref>
                  </c15:fullRef>
                </c:ext>
              </c:extLst>
              <c:f>'Temp Employment'!$B$1027:$J$1027</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3-A1B0-4EAB-9859-59E96AA7D73C}"/>
            </c:ext>
          </c:extLst>
        </c:ser>
        <c:ser>
          <c:idx val="4"/>
          <c:order val="4"/>
          <c:tx>
            <c:strRef>
              <c:f>'Temp Employment'!$L$1028</c:f>
              <c:strCache>
                <c:ptCount val="1"/>
                <c:pt idx="0">
                  <c:v>Transportation and storage</c:v>
                </c:pt>
              </c:strCache>
            </c:strRef>
          </c:tx>
          <c:spPr>
            <a:solidFill>
              <a:srgbClr val="BA0C2F"/>
            </a:solidFill>
            <a:ln>
              <a:solidFill>
                <a:srgbClr val="BA0C2F"/>
              </a:solidFill>
            </a:ln>
            <a:effectLst/>
          </c:spPr>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strCache>
            </c:strRef>
          </c:cat>
          <c:val>
            <c:numRef>
              <c:extLst>
                <c:ext xmlns:c15="http://schemas.microsoft.com/office/drawing/2012/chart" uri="{02D57815-91ED-43cb-92C2-25804820EDAC}">
                  <c15:fullRef>
                    <c15:sqref>'Temp Employment'!$B$1028:$K$1028</c15:sqref>
                  </c15:fullRef>
                </c:ext>
              </c:extLst>
              <c:f>'Temp Employment'!$B$1028:$J$1028</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4-A1B0-4EAB-9859-59E96AA7D73C}"/>
            </c:ext>
          </c:extLst>
        </c:ser>
        <c:ser>
          <c:idx val="5"/>
          <c:order val="5"/>
          <c:tx>
            <c:strRef>
              <c:f>'Temp Employment'!$L$1029</c:f>
              <c:strCache>
                <c:ptCount val="1"/>
                <c:pt idx="0">
                  <c:v>Accommodation/food service</c:v>
                </c:pt>
              </c:strCache>
            </c:strRef>
          </c:tx>
          <c:spPr>
            <a:solidFill>
              <a:srgbClr val="D78825"/>
            </a:solidFill>
            <a:ln>
              <a:solidFill>
                <a:srgbClr val="D78825"/>
              </a:solidFill>
            </a:ln>
            <a:effectLst/>
          </c:spPr>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strCache>
            </c:strRef>
          </c:cat>
          <c:val>
            <c:numRef>
              <c:extLst>
                <c:ext xmlns:c15="http://schemas.microsoft.com/office/drawing/2012/chart" uri="{02D57815-91ED-43cb-92C2-25804820EDAC}">
                  <c15:fullRef>
                    <c15:sqref>'Temp Employment'!$B$1029:$K$1029</c15:sqref>
                  </c15:fullRef>
                </c:ext>
              </c:extLst>
              <c:f>'Temp Employment'!$B$1029:$J$1029</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5-A1B0-4EAB-9859-59E96AA7D73C}"/>
            </c:ext>
          </c:extLst>
        </c:ser>
        <c:ser>
          <c:idx val="6"/>
          <c:order val="6"/>
          <c:tx>
            <c:strRef>
              <c:f>'Temp Employment'!$L$1030</c:f>
              <c:strCache>
                <c:ptCount val="1"/>
                <c:pt idx="0">
                  <c:v>Information and communication</c:v>
                </c:pt>
              </c:strCache>
            </c:strRef>
          </c:tx>
          <c:spPr>
            <a:solidFill>
              <a:srgbClr val="0057B8"/>
            </a:solidFill>
            <a:ln>
              <a:solidFill>
                <a:srgbClr val="0057B8"/>
              </a:solidFill>
            </a:ln>
            <a:effectLst/>
          </c:spPr>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strCache>
            </c:strRef>
          </c:cat>
          <c:val>
            <c:numRef>
              <c:extLst>
                <c:ext xmlns:c15="http://schemas.microsoft.com/office/drawing/2012/chart" uri="{02D57815-91ED-43cb-92C2-25804820EDAC}">
                  <c15:fullRef>
                    <c15:sqref>'Temp Employment'!$B$1030:$K$1030</c15:sqref>
                  </c15:fullRef>
                </c:ext>
              </c:extLst>
              <c:f>'Temp Employment'!$B$1030:$J$1030</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6-A1B0-4EAB-9859-59E96AA7D73C}"/>
            </c:ext>
          </c:extLst>
        </c:ser>
        <c:ser>
          <c:idx val="7"/>
          <c:order val="7"/>
          <c:tx>
            <c:strRef>
              <c:f>'Temp Employment'!$L$1031</c:f>
              <c:strCache>
                <c:ptCount val="1"/>
                <c:pt idx="0">
                  <c:v>Financial/ insurance</c:v>
                </c:pt>
              </c:strCache>
            </c:strRef>
          </c:tx>
          <c:spPr>
            <a:solidFill>
              <a:srgbClr val="DDCBA4"/>
            </a:solidFill>
            <a:ln>
              <a:solidFill>
                <a:srgbClr val="DDCBA4"/>
              </a:solidFill>
            </a:ln>
            <a:effectLst/>
          </c:spPr>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strCache>
            </c:strRef>
          </c:cat>
          <c:val>
            <c:numRef>
              <c:extLst>
                <c:ext xmlns:c15="http://schemas.microsoft.com/office/drawing/2012/chart" uri="{02D57815-91ED-43cb-92C2-25804820EDAC}">
                  <c15:fullRef>
                    <c15:sqref>'Temp Employment'!$B$1031:$K$1031</c15:sqref>
                  </c15:fullRef>
                </c:ext>
              </c:extLst>
              <c:f>'Temp Employment'!$B$1031:$J$1031</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7-A1B0-4EAB-9859-59E96AA7D73C}"/>
            </c:ext>
          </c:extLst>
        </c:ser>
        <c:ser>
          <c:idx val="8"/>
          <c:order val="8"/>
          <c:tx>
            <c:strRef>
              <c:f>'Temp Employment'!$L$1032</c:f>
              <c:strCache>
                <c:ptCount val="1"/>
                <c:pt idx="0">
                  <c:v>Professional/ scientific/technical</c:v>
                </c:pt>
              </c:strCache>
            </c:strRef>
          </c:tx>
          <c:spPr>
            <a:solidFill>
              <a:srgbClr val="A20067"/>
            </a:solidFill>
            <a:ln>
              <a:solidFill>
                <a:srgbClr val="A20067"/>
              </a:solidFill>
            </a:ln>
            <a:effectLst/>
          </c:spPr>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strCache>
            </c:strRef>
          </c:cat>
          <c:val>
            <c:numRef>
              <c:extLst>
                <c:ext xmlns:c15="http://schemas.microsoft.com/office/drawing/2012/chart" uri="{02D57815-91ED-43cb-92C2-25804820EDAC}">
                  <c15:fullRef>
                    <c15:sqref>'Temp Employment'!$B$1032:$K$1032</c15:sqref>
                  </c15:fullRef>
                </c:ext>
              </c:extLst>
              <c:f>'Temp Employment'!$B$1032:$J$1032</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8-A1B0-4EAB-9859-59E96AA7D73C}"/>
            </c:ext>
          </c:extLst>
        </c:ser>
        <c:ser>
          <c:idx val="9"/>
          <c:order val="9"/>
          <c:tx>
            <c:strRef>
              <c:f>'Temp Employment'!$L$1033</c:f>
              <c:strCache>
                <c:ptCount val="1"/>
                <c:pt idx="0">
                  <c:v>Administrative</c:v>
                </c:pt>
              </c:strCache>
            </c:strRef>
          </c:tx>
          <c:spPr>
            <a:solidFill>
              <a:srgbClr val="DEC21C"/>
            </a:solidFill>
            <a:ln>
              <a:solidFill>
                <a:srgbClr val="DEC21C"/>
              </a:solidFill>
            </a:ln>
            <a:effectLst/>
          </c:spPr>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strCache>
            </c:strRef>
          </c:cat>
          <c:val>
            <c:numRef>
              <c:extLst>
                <c:ext xmlns:c15="http://schemas.microsoft.com/office/drawing/2012/chart" uri="{02D57815-91ED-43cb-92C2-25804820EDAC}">
                  <c15:fullRef>
                    <c15:sqref>'Temp Employment'!$B$1033:$K$1033</c15:sqref>
                  </c15:fullRef>
                </c:ext>
              </c:extLst>
              <c:f>'Temp Employment'!$B$1033:$J$1033</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9-A1B0-4EAB-9859-59E96AA7D73C}"/>
            </c:ext>
          </c:extLst>
        </c:ser>
        <c:ser>
          <c:idx val="10"/>
          <c:order val="10"/>
          <c:tx>
            <c:strRef>
              <c:f>'Temp Employment'!$L$1034</c:f>
              <c:strCache>
                <c:ptCount val="1"/>
                <c:pt idx="0">
                  <c:v>Public administration and defence</c:v>
                </c:pt>
              </c:strCache>
            </c:strRef>
          </c:tx>
          <c:spPr>
            <a:solidFill>
              <a:srgbClr val="5C068C"/>
            </a:solidFill>
            <a:ln>
              <a:solidFill>
                <a:srgbClr val="5C068C"/>
              </a:solidFill>
            </a:ln>
            <a:effectLst/>
          </c:spPr>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strCache>
            </c:strRef>
          </c:cat>
          <c:val>
            <c:numRef>
              <c:extLst>
                <c:ext xmlns:c15="http://schemas.microsoft.com/office/drawing/2012/chart" uri="{02D57815-91ED-43cb-92C2-25804820EDAC}">
                  <c15:fullRef>
                    <c15:sqref>'Temp Employment'!$B$1034:$K$1034</c15:sqref>
                  </c15:fullRef>
                </c:ext>
              </c:extLst>
              <c:f>'Temp Employment'!$B$1034:$J$1034</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A-A1B0-4EAB-9859-59E96AA7D73C}"/>
            </c:ext>
          </c:extLst>
        </c:ser>
        <c:ser>
          <c:idx val="11"/>
          <c:order val="11"/>
          <c:tx>
            <c:strRef>
              <c:f>'Temp Employment'!$L$1035</c:f>
              <c:strCache>
                <c:ptCount val="1"/>
                <c:pt idx="0">
                  <c:v>Education</c:v>
                </c:pt>
              </c:strCache>
            </c:strRef>
          </c:tx>
          <c:spPr>
            <a:solidFill>
              <a:srgbClr val="5BC500"/>
            </a:solidFill>
            <a:ln>
              <a:solidFill>
                <a:srgbClr val="5BC500"/>
              </a:solidFill>
            </a:ln>
            <a:effectLst/>
          </c:spPr>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strCache>
            </c:strRef>
          </c:cat>
          <c:val>
            <c:numRef>
              <c:extLst>
                <c:ext xmlns:c15="http://schemas.microsoft.com/office/drawing/2012/chart" uri="{02D57815-91ED-43cb-92C2-25804820EDAC}">
                  <c15:fullRef>
                    <c15:sqref>'Temp Employment'!$B$1035:$K$1035</c15:sqref>
                  </c15:fullRef>
                </c:ext>
              </c:extLst>
              <c:f>'Temp Employment'!$B$1035:$J$1035</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B-A1B0-4EAB-9859-59E96AA7D73C}"/>
            </c:ext>
          </c:extLst>
        </c:ser>
        <c:ser>
          <c:idx val="12"/>
          <c:order val="12"/>
          <c:tx>
            <c:strRef>
              <c:f>'Temp Employment'!$L$1036</c:f>
              <c:strCache>
                <c:ptCount val="1"/>
                <c:pt idx="0">
                  <c:v>Human health/social work</c:v>
                </c:pt>
              </c:strCache>
            </c:strRef>
          </c:tx>
          <c:spPr>
            <a:solidFill>
              <a:srgbClr val="455F60"/>
            </a:solidFill>
            <a:ln>
              <a:solidFill>
                <a:srgbClr val="455F60"/>
              </a:solidFill>
            </a:ln>
            <a:effectLst/>
          </c:spPr>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strCache>
            </c:strRef>
          </c:cat>
          <c:val>
            <c:numRef>
              <c:extLst>
                <c:ext xmlns:c15="http://schemas.microsoft.com/office/drawing/2012/chart" uri="{02D57815-91ED-43cb-92C2-25804820EDAC}">
                  <c15:fullRef>
                    <c15:sqref>'Temp Employment'!$B$1036:$K$1036</c15:sqref>
                  </c15:fullRef>
                </c:ext>
              </c:extLst>
              <c:f>'Temp Employment'!$B$1036:$J$1036</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C-A1B0-4EAB-9859-59E96AA7D73C}"/>
            </c:ext>
          </c:extLst>
        </c:ser>
        <c:dLbls>
          <c:showLegendKey val="0"/>
          <c:showVal val="0"/>
          <c:showCatName val="0"/>
          <c:showSerName val="0"/>
          <c:showPercent val="0"/>
          <c:showBubbleSize val="0"/>
        </c:dLbls>
        <c:axId val="242575464"/>
        <c:axId val="242575856"/>
      </c:areaChart>
      <c:catAx>
        <c:axId val="24257546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2575856"/>
        <c:crosses val="autoZero"/>
        <c:auto val="1"/>
        <c:lblAlgn val="ctr"/>
        <c:lblOffset val="50"/>
        <c:noMultiLvlLbl val="0"/>
      </c:catAx>
      <c:valAx>
        <c:axId val="242575856"/>
        <c:scaling>
          <c:orientation val="minMax"/>
        </c:scaling>
        <c:delete val="0"/>
        <c:axPos val="l"/>
        <c:majorGridlines>
          <c:spPr>
            <a:ln w="9525" cap="flat" cmpd="sng" algn="ctr">
              <a:solidFill>
                <a:schemeClr val="tx1">
                  <a:lumMod val="15000"/>
                  <a:lumOff val="85000"/>
                </a:schemeClr>
              </a:solidFill>
              <a:round/>
            </a:ln>
            <a:effectLst/>
          </c:spPr>
        </c:majorGridlines>
        <c:title>
          <c:tx>
            <c:strRef>
              <c:f>'Temporary Employment'!$P$8</c:f>
              <c:strCache>
                <c:ptCount val="1"/>
                <c:pt idx="0">
                  <c:v>Temp Employees (1000s)</c:v>
                </c:pt>
              </c:strCache>
            </c:strRef>
          </c:tx>
          <c:layout>
            <c:manualLayout>
              <c:xMode val="edge"/>
              <c:yMode val="edge"/>
              <c:x val="1.9502221307577255E-2"/>
              <c:y val="0.2875688976377952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2575464"/>
        <c:crosses val="autoZero"/>
        <c:crossBetween val="midCat"/>
      </c:valAx>
      <c:spPr>
        <a:noFill/>
        <a:ln>
          <a:noFill/>
        </a:ln>
        <a:effectLst/>
      </c:spPr>
    </c:plotArea>
    <c:legend>
      <c:legendPos val="r"/>
      <c:layout>
        <c:manualLayout>
          <c:xMode val="edge"/>
          <c:yMode val="edge"/>
          <c:x val="0.70953647269283193"/>
          <c:y val="0.10501888814285811"/>
          <c:w val="0.29046352730716796"/>
          <c:h val="0.867418665690044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'Temporary Employment'!$B$7</c:f>
          <c:strCache>
            <c:ptCount val="1"/>
            <c:pt idx="0">
              <c:v> Temporary employees - European Union (28 countries)</c:v>
            </c:pt>
          </c:strCache>
        </c:strRef>
      </c:tx>
      <c:layout>
        <c:manualLayout>
          <c:xMode val="edge"/>
          <c:yMode val="edge"/>
          <c:x val="0.14643249277270515"/>
          <c:y val="2.20384959925962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7873624183764913"/>
          <c:y val="0.19241909343478142"/>
          <c:w val="0.7841328224515165"/>
          <c:h val="0.61019582505033332"/>
        </c:manualLayout>
      </c:layout>
      <c:lineChart>
        <c:grouping val="standard"/>
        <c:varyColors val="0"/>
        <c:ser>
          <c:idx val="0"/>
          <c:order val="0"/>
          <c:tx>
            <c:strRef>
              <c:f>'Temporary Employment'!$A$1002</c:f>
              <c:strCache>
                <c:ptCount val="1"/>
                <c:pt idx="0">
                  <c:v>Temporary Employees (1000s)</c:v>
                </c:pt>
              </c:strCache>
            </c:strRef>
          </c:tx>
          <c:spPr>
            <a:ln w="28575" cap="rnd">
              <a:solidFill>
                <a:srgbClr val="0057B8"/>
              </a:solidFill>
              <a:round/>
            </a:ln>
            <a:effectLst/>
          </c:spPr>
          <c:marker>
            <c:symbol val="circle"/>
            <c:size val="5"/>
            <c:spPr>
              <a:solidFill>
                <a:srgbClr val="0057B8"/>
              </a:solidFill>
              <a:ln w="9525">
                <a:solidFill>
                  <a:srgbClr val="0057B8"/>
                </a:solidFill>
              </a:ln>
              <a:effectLst/>
            </c:spPr>
          </c:marke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Employment'!$B$1002:$K$1002</c:f>
              <c:numCache>
                <c:formatCode>General</c:formatCode>
                <c:ptCount val="10"/>
                <c:pt idx="0">
                  <c:v>25177.5</c:v>
                </c:pt>
                <c:pt idx="1">
                  <c:v>26650.9</c:v>
                </c:pt>
                <c:pt idx="2">
                  <c:v>27267.3</c:v>
                </c:pt>
                <c:pt idx="3">
                  <c:v>26674</c:v>
                </c:pt>
                <c:pt idx="4">
                  <c:v>25683.4</c:v>
                </c:pt>
                <c:pt idx="5">
                  <c:v>27288.3</c:v>
                </c:pt>
                <c:pt idx="6">
                  <c:v>28143.8</c:v>
                </c:pt>
                <c:pt idx="7">
                  <c:v>27301</c:v>
                </c:pt>
                <c:pt idx="8">
                  <c:v>26332.5</c:v>
                </c:pt>
                <c:pt idx="9">
                  <c:v>27443.599999999999</c:v>
                </c:pt>
              </c:numCache>
            </c:numRef>
          </c:val>
          <c:smooth val="0"/>
          <c:extLst>
            <c:ext xmlns:c16="http://schemas.microsoft.com/office/drawing/2014/chart" uri="{C3380CC4-5D6E-409C-BE32-E72D297353CC}">
              <c16:uniqueId val="{00000000-4681-451C-8587-30D290D1F2E5}"/>
            </c:ext>
          </c:extLst>
        </c:ser>
        <c:dLbls>
          <c:showLegendKey val="0"/>
          <c:showVal val="0"/>
          <c:showCatName val="0"/>
          <c:showSerName val="0"/>
          <c:showPercent val="0"/>
          <c:showBubbleSize val="0"/>
        </c:dLbls>
        <c:marker val="1"/>
        <c:smooth val="0"/>
        <c:axId val="242577032"/>
        <c:axId val="242577424"/>
      </c:lineChart>
      <c:catAx>
        <c:axId val="242577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242577424"/>
        <c:crosses val="autoZero"/>
        <c:auto val="1"/>
        <c:lblAlgn val="ctr"/>
        <c:lblOffset val="50"/>
        <c:noMultiLvlLbl val="0"/>
      </c:catAx>
      <c:valAx>
        <c:axId val="242577424"/>
        <c:scaling>
          <c:orientation val="minMax"/>
        </c:scaling>
        <c:delete val="0"/>
        <c:axPos val="l"/>
        <c:majorGridlines>
          <c:spPr>
            <a:ln w="9525" cap="flat" cmpd="sng" algn="ctr">
              <a:solidFill>
                <a:schemeClr val="tx1">
                  <a:lumMod val="15000"/>
                  <a:lumOff val="85000"/>
                </a:schemeClr>
              </a:solidFill>
              <a:round/>
            </a:ln>
            <a:effectLst/>
          </c:spPr>
        </c:majorGridlines>
        <c:title>
          <c:tx>
            <c:strRef>
              <c:f>'Temporary Employment'!$A$1002</c:f>
              <c:strCache>
                <c:ptCount val="1"/>
                <c:pt idx="0">
                  <c:v>Temporary Employees (1000s)</c:v>
                </c:pt>
              </c:strCache>
            </c:strRef>
          </c:tx>
          <c:layout>
            <c:manualLayout>
              <c:xMode val="edge"/>
              <c:yMode val="edge"/>
              <c:x val="1.2049686670252968E-2"/>
              <c:y val="0.129685176190166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2577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'Temporary Employment'!$I$7</c:f>
          <c:strCache>
            <c:ptCount val="1"/>
            <c:pt idx="0">
              <c:v>Temporary employees as % of total employees - European Union (28 countries)</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7316211883129171"/>
          <c:y val="0.1998831338743208"/>
          <c:w val="0.645743806573293"/>
          <c:h val="0.50367439427666827"/>
        </c:manualLayout>
      </c:layout>
      <c:barChart>
        <c:barDir val="col"/>
        <c:grouping val="clustered"/>
        <c:varyColors val="0"/>
        <c:ser>
          <c:idx val="1"/>
          <c:order val="1"/>
          <c:tx>
            <c:strRef>
              <c:f>'Temporary Employment'!$A$1002</c:f>
              <c:strCache>
                <c:ptCount val="1"/>
                <c:pt idx="0">
                  <c:v>Temporary Employees (1000s)</c:v>
                </c:pt>
              </c:strCache>
            </c:strRef>
          </c:tx>
          <c:spPr>
            <a:solidFill>
              <a:srgbClr val="D78825"/>
            </a:solidFill>
            <a:ln>
              <a:solidFill>
                <a:srgbClr val="D78825"/>
              </a:solidFill>
            </a:ln>
            <a:effectLst/>
          </c:spPr>
          <c:invertIfNegative val="0"/>
          <c:cat>
            <c:strRef>
              <c:f>'Temporary Employment'!$B$1001:$J$1001</c:f>
              <c:strCache>
                <c:ptCount val="9"/>
                <c:pt idx="0">
                  <c:v>2016Q1</c:v>
                </c:pt>
                <c:pt idx="1">
                  <c:v>2016Q2</c:v>
                </c:pt>
                <c:pt idx="2">
                  <c:v>2016Q3</c:v>
                </c:pt>
                <c:pt idx="3">
                  <c:v>2016Q4</c:v>
                </c:pt>
                <c:pt idx="4">
                  <c:v>2017Q1</c:v>
                </c:pt>
                <c:pt idx="5">
                  <c:v>2017Q2</c:v>
                </c:pt>
                <c:pt idx="6">
                  <c:v>2017Q3</c:v>
                </c:pt>
                <c:pt idx="7">
                  <c:v>2017Q4</c:v>
                </c:pt>
                <c:pt idx="8">
                  <c:v>2018Q1</c:v>
                </c:pt>
              </c:strCache>
            </c:strRef>
          </c:cat>
          <c:val>
            <c:numRef>
              <c:f>'Temporary Employment'!$B$1002:$K$1002</c:f>
              <c:numCache>
                <c:formatCode>General</c:formatCode>
                <c:ptCount val="10"/>
                <c:pt idx="0">
                  <c:v>25177.5</c:v>
                </c:pt>
                <c:pt idx="1">
                  <c:v>26650.9</c:v>
                </c:pt>
                <c:pt idx="2">
                  <c:v>27267.3</c:v>
                </c:pt>
                <c:pt idx="3">
                  <c:v>26674</c:v>
                </c:pt>
                <c:pt idx="4">
                  <c:v>25683.4</c:v>
                </c:pt>
                <c:pt idx="5">
                  <c:v>27288.3</c:v>
                </c:pt>
                <c:pt idx="6">
                  <c:v>28143.8</c:v>
                </c:pt>
                <c:pt idx="7">
                  <c:v>27301</c:v>
                </c:pt>
                <c:pt idx="8">
                  <c:v>26332.5</c:v>
                </c:pt>
                <c:pt idx="9">
                  <c:v>27443.599999999999</c:v>
                </c:pt>
              </c:numCache>
            </c:numRef>
          </c:val>
          <c:extLst>
            <c:ext xmlns:c16="http://schemas.microsoft.com/office/drawing/2014/chart" uri="{C3380CC4-5D6E-409C-BE32-E72D297353CC}">
              <c16:uniqueId val="{00000000-505B-4FB5-ABB6-8B86B718CA3E}"/>
            </c:ext>
          </c:extLst>
        </c:ser>
        <c:dLbls>
          <c:showLegendKey val="0"/>
          <c:showVal val="0"/>
          <c:showCatName val="0"/>
          <c:showSerName val="0"/>
          <c:showPercent val="0"/>
          <c:showBubbleSize val="0"/>
        </c:dLbls>
        <c:gapWidth val="50"/>
        <c:axId val="242151880"/>
        <c:axId val="242151488"/>
      </c:barChart>
      <c:lineChart>
        <c:grouping val="standard"/>
        <c:varyColors val="0"/>
        <c:ser>
          <c:idx val="0"/>
          <c:order val="0"/>
          <c:tx>
            <c:strRef>
              <c:f>'Temporary Employment'!$A$1003</c:f>
              <c:strCache>
                <c:ptCount val="1"/>
                <c:pt idx="0">
                  <c:v>Temporary employees as % of total employees</c:v>
                </c:pt>
              </c:strCache>
            </c:strRef>
          </c:tx>
          <c:spPr>
            <a:ln w="28575" cap="rnd">
              <a:solidFill>
                <a:srgbClr val="0057B8"/>
              </a:solidFill>
              <a:round/>
            </a:ln>
            <a:effectLst/>
          </c:spPr>
          <c:marker>
            <c:symbol val="circle"/>
            <c:size val="5"/>
            <c:spPr>
              <a:solidFill>
                <a:srgbClr val="0057B8"/>
              </a:solidFill>
              <a:ln w="9525">
                <a:solidFill>
                  <a:srgbClr val="0057B8"/>
                </a:solidFill>
              </a:ln>
              <a:effectLst/>
            </c:spPr>
          </c:marke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Employment'!$B$1003:$K$1003</c:f>
              <c:numCache>
                <c:formatCode>General</c:formatCode>
                <c:ptCount val="10"/>
                <c:pt idx="0">
                  <c:v>13.7</c:v>
                </c:pt>
                <c:pt idx="1">
                  <c:v>14.4</c:v>
                </c:pt>
                <c:pt idx="2">
                  <c:v>14.6</c:v>
                </c:pt>
                <c:pt idx="3">
                  <c:v>14.3</c:v>
                </c:pt>
                <c:pt idx="4">
                  <c:v>13.8</c:v>
                </c:pt>
                <c:pt idx="5">
                  <c:v>14.4</c:v>
                </c:pt>
                <c:pt idx="6">
                  <c:v>14.8</c:v>
                </c:pt>
                <c:pt idx="7">
                  <c:v>14.3</c:v>
                </c:pt>
                <c:pt idx="8">
                  <c:v>13.9</c:v>
                </c:pt>
                <c:pt idx="9">
                  <c:v>14.3</c:v>
                </c:pt>
              </c:numCache>
            </c:numRef>
          </c:val>
          <c:smooth val="0"/>
          <c:extLst>
            <c:ext xmlns:c16="http://schemas.microsoft.com/office/drawing/2014/chart" uri="{C3380CC4-5D6E-409C-BE32-E72D297353CC}">
              <c16:uniqueId val="{00000001-505B-4FB5-ABB6-8B86B718CA3E}"/>
            </c:ext>
          </c:extLst>
        </c:ser>
        <c:dLbls>
          <c:showLegendKey val="0"/>
          <c:showVal val="0"/>
          <c:showCatName val="0"/>
          <c:showSerName val="0"/>
          <c:showPercent val="0"/>
          <c:showBubbleSize val="0"/>
        </c:dLbls>
        <c:marker val="1"/>
        <c:smooth val="0"/>
        <c:axId val="242578208"/>
        <c:axId val="242151096"/>
      </c:lineChart>
      <c:catAx>
        <c:axId val="24257820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242151096"/>
        <c:crosses val="autoZero"/>
        <c:auto val="1"/>
        <c:lblAlgn val="ctr"/>
        <c:lblOffset val="50"/>
        <c:noMultiLvlLbl val="0"/>
      </c:catAx>
      <c:valAx>
        <c:axId val="242151096"/>
        <c:scaling>
          <c:orientation val="minMax"/>
        </c:scaling>
        <c:delete val="0"/>
        <c:axPos val="l"/>
        <c:majorGridlines>
          <c:spPr>
            <a:ln w="9525" cap="flat" cmpd="sng" algn="ctr">
              <a:solidFill>
                <a:schemeClr val="tx1">
                  <a:lumMod val="15000"/>
                  <a:lumOff val="85000"/>
                </a:schemeClr>
              </a:solidFill>
              <a:round/>
            </a:ln>
            <a:effectLst/>
          </c:spPr>
        </c:majorGridlines>
        <c:title>
          <c:tx>
            <c:strRef>
              <c:f>'Temporary Employment'!$L$1003</c:f>
              <c:strCache>
                <c:ptCount val="1"/>
                <c:pt idx="0">
                  <c:v>Temp Employees (%)</c:v>
                </c:pt>
              </c:strCache>
            </c:strRef>
          </c:tx>
          <c:layout>
            <c:manualLayout>
              <c:xMode val="edge"/>
              <c:yMode val="edge"/>
              <c:x val="1.4418341100502757E-2"/>
              <c:y val="0.2205524309461317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2578208"/>
        <c:crosses val="autoZero"/>
        <c:crossBetween val="between"/>
      </c:valAx>
      <c:valAx>
        <c:axId val="242151488"/>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Total</a:t>
                </a:r>
                <a:r>
                  <a:rPr lang="en-US" sz="1200" b="1" baseline="0">
                    <a:solidFill>
                      <a:sysClr val="windowText" lastClr="000000"/>
                    </a:solidFill>
                  </a:rPr>
                  <a:t> Employment (1000s)</a:t>
                </a:r>
                <a:endParaRPr lang="en-US" sz="1200" b="1">
                  <a:solidFill>
                    <a:sysClr val="windowText" lastClr="000000"/>
                  </a:solidFill>
                </a:endParaRPr>
              </a:p>
            </c:rich>
          </c:tx>
          <c:layout>
            <c:manualLayout>
              <c:xMode val="edge"/>
              <c:yMode val="edge"/>
              <c:x val="0.94484295083959868"/>
              <c:y val="0.1664099785691926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2151880"/>
        <c:crosses val="max"/>
        <c:crossBetween val="between"/>
      </c:valAx>
      <c:catAx>
        <c:axId val="242151880"/>
        <c:scaling>
          <c:orientation val="minMax"/>
        </c:scaling>
        <c:delete val="1"/>
        <c:axPos val="b"/>
        <c:numFmt formatCode="General" sourceLinked="1"/>
        <c:majorTickMark val="out"/>
        <c:minorTickMark val="none"/>
        <c:tickLblPos val="nextTo"/>
        <c:crossAx val="242151488"/>
        <c:crosses val="autoZero"/>
        <c:auto val="1"/>
        <c:lblAlgn val="ctr"/>
        <c:lblOffset val="100"/>
        <c:noMultiLvlLbl val="0"/>
      </c:catAx>
      <c:spPr>
        <a:noFill/>
        <a:ln>
          <a:noFill/>
        </a:ln>
        <a:effectLst/>
      </c:spPr>
    </c:plotArea>
    <c:legend>
      <c:legendPos val="r"/>
      <c:layout>
        <c:manualLayout>
          <c:xMode val="edge"/>
          <c:yMode val="edge"/>
          <c:x val="0.11503686168918491"/>
          <c:y val="0.88817292333871112"/>
          <c:w val="0.80732600888374795"/>
          <c:h val="0.104116801913522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'Temporary Employment'!$P$7</c:f>
          <c:strCache>
            <c:ptCount val="1"/>
            <c:pt idx="0">
              <c:v>Temporary employees by length of contracts - European Union (28 countries)</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4895433940230743"/>
          <c:y val="0.15880810910906076"/>
          <c:w val="0.77151392143677588"/>
          <c:h val="0.56609696794035702"/>
        </c:manualLayout>
      </c:layout>
      <c:barChart>
        <c:barDir val="col"/>
        <c:grouping val="stacked"/>
        <c:varyColors val="0"/>
        <c:ser>
          <c:idx val="5"/>
          <c:order val="0"/>
          <c:tx>
            <c:strRef>
              <c:f>'Temporary Employment'!$A$1009</c:f>
              <c:strCache>
                <c:ptCount val="1"/>
                <c:pt idx="0">
                  <c:v>25+ Months</c:v>
                </c:pt>
              </c:strCache>
            </c:strRef>
          </c:tx>
          <c:spPr>
            <a:solidFill>
              <a:srgbClr val="5BC500"/>
            </a:solidFill>
            <a:ln>
              <a:solidFill>
                <a:srgbClr val="5BC500"/>
              </a:solidFill>
            </a:ln>
            <a:effectLst/>
          </c:spPr>
          <c:invertIfNegative val="0"/>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Employment'!$B$1009:$K$1009</c:f>
              <c:numCache>
                <c:formatCode>General</c:formatCode>
                <c:ptCount val="10"/>
                <c:pt idx="0">
                  <c:v>4270.2</c:v>
                </c:pt>
                <c:pt idx="1">
                  <c:v>4175.7999999999993</c:v>
                </c:pt>
                <c:pt idx="2">
                  <c:v>4155.7</c:v>
                </c:pt>
                <c:pt idx="3">
                  <c:v>4346.7999999999993</c:v>
                </c:pt>
                <c:pt idx="4">
                  <c:v>4197</c:v>
                </c:pt>
                <c:pt idx="5">
                  <c:v>4142.3</c:v>
                </c:pt>
                <c:pt idx="6">
                  <c:v>4097.7999999999993</c:v>
                </c:pt>
                <c:pt idx="7">
                  <c:v>4232.3</c:v>
                </c:pt>
                <c:pt idx="8">
                  <c:v>4213.1000000000004</c:v>
                </c:pt>
                <c:pt idx="9">
                  <c:v>4054.1</c:v>
                </c:pt>
              </c:numCache>
            </c:numRef>
          </c:val>
          <c:extLst>
            <c:ext xmlns:c16="http://schemas.microsoft.com/office/drawing/2014/chart" uri="{C3380CC4-5D6E-409C-BE32-E72D297353CC}">
              <c16:uniqueId val="{00000000-CDCE-4D6F-8485-3BFF5EAA6D7E}"/>
            </c:ext>
          </c:extLst>
        </c:ser>
        <c:ser>
          <c:idx val="4"/>
          <c:order val="1"/>
          <c:tx>
            <c:strRef>
              <c:f>'Temporary Employment'!$A$1008</c:f>
              <c:strCache>
                <c:ptCount val="1"/>
                <c:pt idx="0">
                  <c:v>13 -24 Months</c:v>
                </c:pt>
              </c:strCache>
            </c:strRef>
          </c:tx>
          <c:spPr>
            <a:solidFill>
              <a:srgbClr val="5C068C"/>
            </a:solidFill>
            <a:ln>
              <a:solidFill>
                <a:srgbClr val="455F60"/>
              </a:solidFill>
            </a:ln>
            <a:effectLst/>
          </c:spPr>
          <c:invertIfNegative val="0"/>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Employment'!$B$1008:$K$1008</c:f>
              <c:numCache>
                <c:formatCode>General</c:formatCode>
                <c:ptCount val="10"/>
                <c:pt idx="0">
                  <c:v>2824</c:v>
                </c:pt>
                <c:pt idx="1">
                  <c:v>2881.1</c:v>
                </c:pt>
                <c:pt idx="2">
                  <c:v>2860.5</c:v>
                </c:pt>
                <c:pt idx="3">
                  <c:v>2921.8999999999996</c:v>
                </c:pt>
                <c:pt idx="4">
                  <c:v>2906.3999999999996</c:v>
                </c:pt>
                <c:pt idx="5">
                  <c:v>2983.7</c:v>
                </c:pt>
                <c:pt idx="6">
                  <c:v>2932.6</c:v>
                </c:pt>
                <c:pt idx="7">
                  <c:v>2875.8</c:v>
                </c:pt>
                <c:pt idx="8">
                  <c:v>2850.7</c:v>
                </c:pt>
                <c:pt idx="9">
                  <c:v>2885.2</c:v>
                </c:pt>
              </c:numCache>
            </c:numRef>
          </c:val>
          <c:extLst>
            <c:ext xmlns:c16="http://schemas.microsoft.com/office/drawing/2014/chart" uri="{C3380CC4-5D6E-409C-BE32-E72D297353CC}">
              <c16:uniqueId val="{00000001-CDCE-4D6F-8485-3BFF5EAA6D7E}"/>
            </c:ext>
          </c:extLst>
        </c:ser>
        <c:ser>
          <c:idx val="2"/>
          <c:order val="2"/>
          <c:tx>
            <c:strRef>
              <c:f>'Temporary Employment'!$A$1007</c:f>
              <c:strCache>
                <c:ptCount val="1"/>
                <c:pt idx="0">
                  <c:v>7 - 12 Months</c:v>
                </c:pt>
              </c:strCache>
            </c:strRef>
          </c:tx>
          <c:spPr>
            <a:solidFill>
              <a:srgbClr val="00AB84"/>
            </a:solidFill>
            <a:ln>
              <a:solidFill>
                <a:srgbClr val="00AB84"/>
              </a:solidFill>
            </a:ln>
            <a:effectLst/>
          </c:spPr>
          <c:invertIfNegative val="0"/>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Employment'!$B$1007:$K$1007</c:f>
              <c:numCache>
                <c:formatCode>General</c:formatCode>
                <c:ptCount val="10"/>
                <c:pt idx="0">
                  <c:v>6486.7</c:v>
                </c:pt>
                <c:pt idx="1">
                  <c:v>6691.5</c:v>
                </c:pt>
                <c:pt idx="2">
                  <c:v>6343.2</c:v>
                </c:pt>
                <c:pt idx="3">
                  <c:v>6643.6</c:v>
                </c:pt>
                <c:pt idx="4">
                  <c:v>6640.3</c:v>
                </c:pt>
                <c:pt idx="5">
                  <c:v>7017.5</c:v>
                </c:pt>
                <c:pt idx="6">
                  <c:v>6674.1</c:v>
                </c:pt>
                <c:pt idx="7">
                  <c:v>7004.2</c:v>
                </c:pt>
                <c:pt idx="8">
                  <c:v>6890.2</c:v>
                </c:pt>
                <c:pt idx="9">
                  <c:v>7135.8</c:v>
                </c:pt>
              </c:numCache>
            </c:numRef>
          </c:val>
          <c:extLst>
            <c:ext xmlns:c16="http://schemas.microsoft.com/office/drawing/2014/chart" uri="{C3380CC4-5D6E-409C-BE32-E72D297353CC}">
              <c16:uniqueId val="{00000002-CDCE-4D6F-8485-3BFF5EAA6D7E}"/>
            </c:ext>
          </c:extLst>
        </c:ser>
        <c:ser>
          <c:idx val="1"/>
          <c:order val="3"/>
          <c:tx>
            <c:strRef>
              <c:f>'Temporary Employment'!$A$1006</c:f>
              <c:strCache>
                <c:ptCount val="1"/>
                <c:pt idx="0">
                  <c:v>4 - 6 Months</c:v>
                </c:pt>
              </c:strCache>
            </c:strRef>
          </c:tx>
          <c:spPr>
            <a:solidFill>
              <a:srgbClr val="D78825"/>
            </a:solidFill>
            <a:ln>
              <a:solidFill>
                <a:srgbClr val="D78825"/>
              </a:solidFill>
            </a:ln>
            <a:effectLst/>
          </c:spPr>
          <c:invertIfNegative val="0"/>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Employment'!$B$1006:$K$1006</c:f>
              <c:numCache>
                <c:formatCode>General</c:formatCode>
                <c:ptCount val="10"/>
                <c:pt idx="0">
                  <c:v>3539.8</c:v>
                </c:pt>
                <c:pt idx="1">
                  <c:v>4074.8</c:v>
                </c:pt>
                <c:pt idx="2">
                  <c:v>4233.8999999999996</c:v>
                </c:pt>
                <c:pt idx="3">
                  <c:v>3770.2</c:v>
                </c:pt>
                <c:pt idx="4">
                  <c:v>3507.5</c:v>
                </c:pt>
                <c:pt idx="5">
                  <c:v>4125.2</c:v>
                </c:pt>
                <c:pt idx="6">
                  <c:v>4523.8</c:v>
                </c:pt>
                <c:pt idx="7">
                  <c:v>4035.7</c:v>
                </c:pt>
                <c:pt idx="8">
                  <c:v>3742.2</c:v>
                </c:pt>
                <c:pt idx="9">
                  <c:v>4244</c:v>
                </c:pt>
              </c:numCache>
            </c:numRef>
          </c:val>
          <c:extLst>
            <c:ext xmlns:c16="http://schemas.microsoft.com/office/drawing/2014/chart" uri="{C3380CC4-5D6E-409C-BE32-E72D297353CC}">
              <c16:uniqueId val="{00000003-CDCE-4D6F-8485-3BFF5EAA6D7E}"/>
            </c:ext>
          </c:extLst>
        </c:ser>
        <c:ser>
          <c:idx val="0"/>
          <c:order val="4"/>
          <c:tx>
            <c:strRef>
              <c:f>'Temporary Employment'!$A$1005</c:f>
              <c:strCache>
                <c:ptCount val="1"/>
                <c:pt idx="0">
                  <c:v>1 - 3 Months</c:v>
                </c:pt>
              </c:strCache>
            </c:strRef>
          </c:tx>
          <c:spPr>
            <a:solidFill>
              <a:srgbClr val="0057B8"/>
            </a:solidFill>
            <a:ln>
              <a:solidFill>
                <a:srgbClr val="0057B8"/>
              </a:solidFill>
            </a:ln>
            <a:effectLst/>
          </c:spPr>
          <c:invertIfNegative val="0"/>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Employment'!$B$1005:$K$1005</c:f>
              <c:numCache>
                <c:formatCode>General</c:formatCode>
                <c:ptCount val="10"/>
                <c:pt idx="0">
                  <c:v>2507</c:v>
                </c:pt>
                <c:pt idx="1">
                  <c:v>2826.4</c:v>
                </c:pt>
                <c:pt idx="2">
                  <c:v>3722.2</c:v>
                </c:pt>
                <c:pt idx="3">
                  <c:v>2992.5</c:v>
                </c:pt>
                <c:pt idx="4">
                  <c:v>2538.6</c:v>
                </c:pt>
                <c:pt idx="5">
                  <c:v>2903.5</c:v>
                </c:pt>
                <c:pt idx="6">
                  <c:v>3865.5</c:v>
                </c:pt>
                <c:pt idx="7">
                  <c:v>3007</c:v>
                </c:pt>
                <c:pt idx="8">
                  <c:v>2612.3000000000002</c:v>
                </c:pt>
                <c:pt idx="9">
                  <c:v>2970.3</c:v>
                </c:pt>
              </c:numCache>
            </c:numRef>
          </c:val>
          <c:extLst>
            <c:ext xmlns:c16="http://schemas.microsoft.com/office/drawing/2014/chart" uri="{C3380CC4-5D6E-409C-BE32-E72D297353CC}">
              <c16:uniqueId val="{00000004-CDCE-4D6F-8485-3BFF5EAA6D7E}"/>
            </c:ext>
          </c:extLst>
        </c:ser>
        <c:ser>
          <c:idx val="3"/>
          <c:order val="5"/>
          <c:tx>
            <c:strRef>
              <c:f>'Temporary Employment'!$A$1004</c:f>
              <c:strCache>
                <c:ptCount val="1"/>
                <c:pt idx="0">
                  <c:v>&lt; 1 Month</c:v>
                </c:pt>
              </c:strCache>
            </c:strRef>
          </c:tx>
          <c:spPr>
            <a:solidFill>
              <a:srgbClr val="BA0C2F"/>
            </a:solidFill>
            <a:ln>
              <a:solidFill>
                <a:srgbClr val="BA0C2F"/>
              </a:solidFill>
            </a:ln>
            <a:effectLst/>
          </c:spPr>
          <c:invertIfNegative val="0"/>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Employment'!$B$1004:$K$1004</c:f>
              <c:numCache>
                <c:formatCode>General</c:formatCode>
                <c:ptCount val="10"/>
                <c:pt idx="0">
                  <c:v>1192.7</c:v>
                </c:pt>
                <c:pt idx="1">
                  <c:v>1315</c:v>
                </c:pt>
                <c:pt idx="2">
                  <c:v>1331</c:v>
                </c:pt>
                <c:pt idx="3">
                  <c:v>1266.5</c:v>
                </c:pt>
                <c:pt idx="4">
                  <c:v>1240.9000000000001</c:v>
                </c:pt>
                <c:pt idx="5">
                  <c:v>1323.7</c:v>
                </c:pt>
                <c:pt idx="6">
                  <c:v>1389.7</c:v>
                </c:pt>
                <c:pt idx="7">
                  <c:v>1304.3</c:v>
                </c:pt>
                <c:pt idx="8">
                  <c:v>1200</c:v>
                </c:pt>
                <c:pt idx="9">
                  <c:v>1304.3</c:v>
                </c:pt>
              </c:numCache>
            </c:numRef>
          </c:val>
          <c:extLst>
            <c:ext xmlns:c16="http://schemas.microsoft.com/office/drawing/2014/chart" uri="{C3380CC4-5D6E-409C-BE32-E72D297353CC}">
              <c16:uniqueId val="{00000005-CDCE-4D6F-8485-3BFF5EAA6D7E}"/>
            </c:ext>
          </c:extLst>
        </c:ser>
        <c:dLbls>
          <c:showLegendKey val="0"/>
          <c:showVal val="0"/>
          <c:showCatName val="0"/>
          <c:showSerName val="0"/>
          <c:showPercent val="0"/>
          <c:showBubbleSize val="0"/>
        </c:dLbls>
        <c:gapWidth val="50"/>
        <c:overlap val="100"/>
        <c:axId val="242152664"/>
        <c:axId val="242153056"/>
      </c:barChart>
      <c:catAx>
        <c:axId val="24215266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242153056"/>
        <c:crosses val="autoZero"/>
        <c:auto val="1"/>
        <c:lblAlgn val="ctr"/>
        <c:lblOffset val="50"/>
        <c:noMultiLvlLbl val="0"/>
      </c:catAx>
      <c:valAx>
        <c:axId val="242153056"/>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'Temporary Employment'!$P$8</c:f>
              <c:strCache>
                <c:ptCount val="1"/>
                <c:pt idx="0">
                  <c:v>Temp Employees (1000s)</c:v>
                </c:pt>
              </c:strCache>
            </c:strRef>
          </c:tx>
          <c:layout>
            <c:manualLayout>
              <c:xMode val="edge"/>
              <c:yMode val="edge"/>
              <c:x val="1.7163684582028781E-2"/>
              <c:y val="0.1361532493917462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2152664"/>
        <c:crosses val="autoZero"/>
        <c:crossBetween val="between"/>
      </c:valAx>
      <c:spPr>
        <a:noFill/>
        <a:ln>
          <a:noFill/>
        </a:ln>
        <a:effectLst/>
      </c:spPr>
    </c:plotArea>
    <c:legend>
      <c:legendPos val="r"/>
      <c:layout>
        <c:manualLayout>
          <c:xMode val="edge"/>
          <c:yMode val="edge"/>
          <c:x val="7.3528333548470381E-2"/>
          <c:y val="0.91001990160812807"/>
          <c:w val="0.88399380405318184"/>
          <c:h val="7.88767048290742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'Temporary Employment'!$B$24</c:f>
          <c:strCache>
            <c:ptCount val="1"/>
            <c:pt idx="0">
              <c:v>Temporary employees by education - European Union (28 countries)</c:v>
            </c:pt>
          </c:strCache>
        </c:strRef>
      </c:tx>
      <c:layout>
        <c:manualLayout>
          <c:xMode val="edge"/>
          <c:yMode val="edge"/>
          <c:x val="0.14591214753200912"/>
          <c:y val="2.64901879621626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9281879504869484"/>
          <c:y val="0.25696777486147565"/>
          <c:w val="0.75776189266664251"/>
          <c:h val="0.49266691001373175"/>
        </c:manualLayout>
      </c:layout>
      <c:lineChart>
        <c:grouping val="standard"/>
        <c:varyColors val="0"/>
        <c:ser>
          <c:idx val="0"/>
          <c:order val="0"/>
          <c:tx>
            <c:strRef>
              <c:f>'Temporary Employment'!$A$1011</c:f>
              <c:strCache>
                <c:ptCount val="1"/>
                <c:pt idx="0">
                  <c:v>Primary</c:v>
                </c:pt>
              </c:strCache>
            </c:strRef>
          </c:tx>
          <c:spPr>
            <a:ln w="28575" cap="rnd">
              <a:solidFill>
                <a:srgbClr val="0057B8"/>
              </a:solidFill>
              <a:round/>
            </a:ln>
            <a:effectLst/>
          </c:spPr>
          <c:marker>
            <c:symbol val="circle"/>
            <c:size val="5"/>
            <c:spPr>
              <a:solidFill>
                <a:srgbClr val="0057B8"/>
              </a:solidFill>
              <a:ln w="9525">
                <a:solidFill>
                  <a:srgbClr val="0057B8"/>
                </a:solidFill>
              </a:ln>
              <a:effectLst/>
            </c:spPr>
          </c:marke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Employment'!$B$1011:$K$1011</c:f>
              <c:numCache>
                <c:formatCode>General</c:formatCode>
                <c:ptCount val="10"/>
                <c:pt idx="0">
                  <c:v>6350.5</c:v>
                </c:pt>
                <c:pt idx="1">
                  <c:v>6830.9</c:v>
                </c:pt>
                <c:pt idx="2">
                  <c:v>7032.4</c:v>
                </c:pt>
                <c:pt idx="3">
                  <c:v>6939.9</c:v>
                </c:pt>
                <c:pt idx="4">
                  <c:v>6546.8</c:v>
                </c:pt>
                <c:pt idx="5">
                  <c:v>7128.4</c:v>
                </c:pt>
                <c:pt idx="6">
                  <c:v>7465.9</c:v>
                </c:pt>
                <c:pt idx="7">
                  <c:v>7119.9</c:v>
                </c:pt>
                <c:pt idx="8">
                  <c:v>6803.8</c:v>
                </c:pt>
                <c:pt idx="9">
                  <c:v>7276.3</c:v>
                </c:pt>
              </c:numCache>
            </c:numRef>
          </c:val>
          <c:smooth val="0"/>
          <c:extLst>
            <c:ext xmlns:c16="http://schemas.microsoft.com/office/drawing/2014/chart" uri="{C3380CC4-5D6E-409C-BE32-E72D297353CC}">
              <c16:uniqueId val="{00000000-90D6-4000-9659-6DBF3A498556}"/>
            </c:ext>
          </c:extLst>
        </c:ser>
        <c:ser>
          <c:idx val="1"/>
          <c:order val="1"/>
          <c:tx>
            <c:strRef>
              <c:f>'Temporary Employment'!$A$1012</c:f>
              <c:strCache>
                <c:ptCount val="1"/>
                <c:pt idx="0">
                  <c:v>Secondary</c:v>
                </c:pt>
              </c:strCache>
            </c:strRef>
          </c:tx>
          <c:spPr>
            <a:ln w="28575" cap="rnd">
              <a:solidFill>
                <a:srgbClr val="D78825"/>
              </a:solidFill>
              <a:round/>
            </a:ln>
            <a:effectLst/>
          </c:spPr>
          <c:marker>
            <c:symbol val="circle"/>
            <c:size val="5"/>
            <c:spPr>
              <a:solidFill>
                <a:schemeClr val="accent2"/>
              </a:solidFill>
              <a:ln w="9525">
                <a:solidFill>
                  <a:srgbClr val="D78825"/>
                </a:solidFill>
              </a:ln>
              <a:effectLst/>
            </c:spPr>
          </c:marke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Employment'!$B$1012:$K$1012</c:f>
              <c:numCache>
                <c:formatCode>General</c:formatCode>
                <c:ptCount val="10"/>
                <c:pt idx="0">
                  <c:v>11511.5</c:v>
                </c:pt>
                <c:pt idx="1">
                  <c:v>12272.2</c:v>
                </c:pt>
                <c:pt idx="2">
                  <c:v>12665.4</c:v>
                </c:pt>
                <c:pt idx="3">
                  <c:v>12164.8</c:v>
                </c:pt>
                <c:pt idx="4">
                  <c:v>11633.9</c:v>
                </c:pt>
                <c:pt idx="5">
                  <c:v>12328.7</c:v>
                </c:pt>
                <c:pt idx="6">
                  <c:v>12795.2</c:v>
                </c:pt>
                <c:pt idx="7">
                  <c:v>12285.3</c:v>
                </c:pt>
                <c:pt idx="8">
                  <c:v>11753.5</c:v>
                </c:pt>
                <c:pt idx="9">
                  <c:v>12205.2</c:v>
                </c:pt>
              </c:numCache>
            </c:numRef>
          </c:val>
          <c:smooth val="0"/>
          <c:extLst>
            <c:ext xmlns:c16="http://schemas.microsoft.com/office/drawing/2014/chart" uri="{C3380CC4-5D6E-409C-BE32-E72D297353CC}">
              <c16:uniqueId val="{00000001-90D6-4000-9659-6DBF3A498556}"/>
            </c:ext>
          </c:extLst>
        </c:ser>
        <c:ser>
          <c:idx val="2"/>
          <c:order val="2"/>
          <c:tx>
            <c:strRef>
              <c:f>'Temporary Employment'!$A$1013</c:f>
              <c:strCache>
                <c:ptCount val="1"/>
                <c:pt idx="0">
                  <c:v>Tertiary</c:v>
                </c:pt>
              </c:strCache>
            </c:strRef>
          </c:tx>
          <c:spPr>
            <a:ln w="28575" cap="rnd">
              <a:solidFill>
                <a:srgbClr val="BA0C2F"/>
              </a:solidFill>
              <a:round/>
            </a:ln>
            <a:effectLst/>
          </c:spPr>
          <c:marker>
            <c:symbol val="circle"/>
            <c:size val="5"/>
            <c:spPr>
              <a:solidFill>
                <a:srgbClr val="BA0C2F"/>
              </a:solidFill>
              <a:ln w="9525">
                <a:solidFill>
                  <a:srgbClr val="BA0C2F"/>
                </a:solidFill>
              </a:ln>
              <a:effectLst/>
            </c:spPr>
          </c:marke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Employment'!$B$1013:$K$1013</c:f>
              <c:numCache>
                <c:formatCode>General</c:formatCode>
                <c:ptCount val="10"/>
                <c:pt idx="0">
                  <c:v>7245.3</c:v>
                </c:pt>
                <c:pt idx="1">
                  <c:v>7470.1</c:v>
                </c:pt>
                <c:pt idx="2">
                  <c:v>7497.7</c:v>
                </c:pt>
                <c:pt idx="3">
                  <c:v>7493.4</c:v>
                </c:pt>
                <c:pt idx="4">
                  <c:v>7418.6</c:v>
                </c:pt>
                <c:pt idx="5">
                  <c:v>7757.9</c:v>
                </c:pt>
                <c:pt idx="6">
                  <c:v>7796.8</c:v>
                </c:pt>
                <c:pt idx="7">
                  <c:v>7816</c:v>
                </c:pt>
                <c:pt idx="8">
                  <c:v>7701.4</c:v>
                </c:pt>
                <c:pt idx="9">
                  <c:v>7894.9</c:v>
                </c:pt>
              </c:numCache>
            </c:numRef>
          </c:val>
          <c:smooth val="0"/>
          <c:extLst>
            <c:ext xmlns:c16="http://schemas.microsoft.com/office/drawing/2014/chart" uri="{C3380CC4-5D6E-409C-BE32-E72D297353CC}">
              <c16:uniqueId val="{00000002-90D6-4000-9659-6DBF3A498556}"/>
            </c:ext>
          </c:extLst>
        </c:ser>
        <c:dLbls>
          <c:showLegendKey val="0"/>
          <c:showVal val="0"/>
          <c:showCatName val="0"/>
          <c:showSerName val="0"/>
          <c:showPercent val="0"/>
          <c:showBubbleSize val="0"/>
        </c:dLbls>
        <c:marker val="1"/>
        <c:smooth val="0"/>
        <c:axId val="242153840"/>
        <c:axId val="242154232"/>
      </c:lineChart>
      <c:catAx>
        <c:axId val="2421538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242154232"/>
        <c:crosses val="autoZero"/>
        <c:auto val="1"/>
        <c:lblAlgn val="ctr"/>
        <c:lblOffset val="50"/>
        <c:noMultiLvlLbl val="0"/>
      </c:catAx>
      <c:valAx>
        <c:axId val="242154232"/>
        <c:scaling>
          <c:orientation val="minMax"/>
        </c:scaling>
        <c:delete val="0"/>
        <c:axPos val="l"/>
        <c:majorGridlines>
          <c:spPr>
            <a:ln w="9525" cap="flat" cmpd="sng" algn="ctr">
              <a:solidFill>
                <a:schemeClr val="tx1">
                  <a:lumMod val="15000"/>
                  <a:lumOff val="85000"/>
                </a:schemeClr>
              </a:solidFill>
              <a:round/>
            </a:ln>
            <a:effectLst/>
          </c:spPr>
        </c:majorGridlines>
        <c:title>
          <c:tx>
            <c:strRef>
              <c:f>'Temporary Employment'!$P$8</c:f>
              <c:strCache>
                <c:ptCount val="1"/>
                <c:pt idx="0">
                  <c:v>Temp Employees (1000s)</c:v>
                </c:pt>
              </c:strCache>
            </c:strRef>
          </c:tx>
          <c:layout>
            <c:manualLayout>
              <c:xMode val="edge"/>
              <c:yMode val="edge"/>
              <c:x val="1.9502112521817494E-2"/>
              <c:y val="0.22454032263934579"/>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2153840"/>
        <c:crosses val="autoZero"/>
        <c:crossBetween val="between"/>
      </c:valAx>
      <c:spPr>
        <a:noFill/>
        <a:ln>
          <a:noFill/>
        </a:ln>
        <a:effectLst/>
      </c:spPr>
    </c:plotArea>
    <c:legend>
      <c:legendPos val="b"/>
      <c:layout>
        <c:manualLayout>
          <c:xMode val="edge"/>
          <c:yMode val="edge"/>
          <c:x val="0.16700430472197941"/>
          <c:y val="0.91666614520867007"/>
          <c:w val="0.66599139055604117"/>
          <c:h val="7.45038327162747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'Temporary Employment'!$I$24</c:f>
          <c:strCache>
            <c:ptCount val="1"/>
            <c:pt idx="0">
              <c:v>Temporary employees by occupation  - European Union (28 countries)</c:v>
            </c:pt>
          </c:strCache>
        </c:strRef>
      </c:tx>
      <c:layout>
        <c:manualLayout>
          <c:xMode val="edge"/>
          <c:yMode val="edge"/>
          <c:x val="0.12285237255915371"/>
          <c:y val="2.6490066225165563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5367926289548534"/>
          <c:y val="0.16212840518973934"/>
          <c:w val="0.58259875465357625"/>
          <c:h val="0.64187828470871933"/>
        </c:manualLayout>
      </c:layout>
      <c:barChart>
        <c:barDir val="col"/>
        <c:grouping val="stacked"/>
        <c:varyColors val="0"/>
        <c:ser>
          <c:idx val="0"/>
          <c:order val="0"/>
          <c:tx>
            <c:strRef>
              <c:f>'Temporary Employment'!$A$1014</c:f>
              <c:strCache>
                <c:ptCount val="1"/>
                <c:pt idx="0">
                  <c:v>Manager</c:v>
                </c:pt>
              </c:strCache>
            </c:strRef>
          </c:tx>
          <c:spPr>
            <a:solidFill>
              <a:srgbClr val="A20067"/>
            </a:solidFill>
            <a:ln>
              <a:solidFill>
                <a:srgbClr val="A20067"/>
              </a:solidFill>
            </a:ln>
            <a:effectLst/>
          </c:spPr>
          <c:invertIfNegative val="0"/>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Employment'!$B$1014:$K$1014</c:f>
              <c:numCache>
                <c:formatCode>General</c:formatCode>
                <c:ptCount val="10"/>
                <c:pt idx="0">
                  <c:v>329.6</c:v>
                </c:pt>
                <c:pt idx="1">
                  <c:v>344</c:v>
                </c:pt>
                <c:pt idx="2">
                  <c:v>369.2</c:v>
                </c:pt>
                <c:pt idx="3">
                  <c:v>358.6</c:v>
                </c:pt>
                <c:pt idx="4">
                  <c:v>327.60000000000002</c:v>
                </c:pt>
                <c:pt idx="5">
                  <c:v>322.5</c:v>
                </c:pt>
                <c:pt idx="6">
                  <c:v>366.9</c:v>
                </c:pt>
                <c:pt idx="7">
                  <c:v>346.5</c:v>
                </c:pt>
                <c:pt idx="8">
                  <c:v>317.5</c:v>
                </c:pt>
                <c:pt idx="9">
                  <c:v>294.10000000000002</c:v>
                </c:pt>
              </c:numCache>
            </c:numRef>
          </c:val>
          <c:extLst>
            <c:ext xmlns:c16="http://schemas.microsoft.com/office/drawing/2014/chart" uri="{C3380CC4-5D6E-409C-BE32-E72D297353CC}">
              <c16:uniqueId val="{00000000-441B-4AB5-87BF-4C95CEA14176}"/>
            </c:ext>
          </c:extLst>
        </c:ser>
        <c:ser>
          <c:idx val="1"/>
          <c:order val="1"/>
          <c:tx>
            <c:strRef>
              <c:f>'Temporary Employment'!$A$1015</c:f>
              <c:strCache>
                <c:ptCount val="1"/>
                <c:pt idx="0">
                  <c:v>Professional</c:v>
                </c:pt>
              </c:strCache>
            </c:strRef>
          </c:tx>
          <c:spPr>
            <a:solidFill>
              <a:srgbClr val="BA0C2F"/>
            </a:solidFill>
            <a:ln>
              <a:solidFill>
                <a:srgbClr val="BA0C2F"/>
              </a:solidFill>
            </a:ln>
            <a:effectLst/>
          </c:spPr>
          <c:invertIfNegative val="0"/>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Employment'!$B$1015:$K$1015</c:f>
              <c:numCache>
                <c:formatCode>General</c:formatCode>
                <c:ptCount val="10"/>
                <c:pt idx="0">
                  <c:v>4063.3</c:v>
                </c:pt>
                <c:pt idx="1">
                  <c:v>4133</c:v>
                </c:pt>
                <c:pt idx="2">
                  <c:v>3851.9</c:v>
                </c:pt>
                <c:pt idx="3">
                  <c:v>4112</c:v>
                </c:pt>
                <c:pt idx="4">
                  <c:v>4112.5</c:v>
                </c:pt>
                <c:pt idx="5">
                  <c:v>4250.5</c:v>
                </c:pt>
                <c:pt idx="6">
                  <c:v>3935.3</c:v>
                </c:pt>
                <c:pt idx="7">
                  <c:v>4225.3</c:v>
                </c:pt>
                <c:pt idx="8">
                  <c:v>4276.8999999999996</c:v>
                </c:pt>
                <c:pt idx="9">
                  <c:v>4330.3999999999996</c:v>
                </c:pt>
              </c:numCache>
            </c:numRef>
          </c:val>
          <c:extLst>
            <c:ext xmlns:c16="http://schemas.microsoft.com/office/drawing/2014/chart" uri="{C3380CC4-5D6E-409C-BE32-E72D297353CC}">
              <c16:uniqueId val="{00000001-441B-4AB5-87BF-4C95CEA14176}"/>
            </c:ext>
          </c:extLst>
        </c:ser>
        <c:ser>
          <c:idx val="2"/>
          <c:order val="2"/>
          <c:tx>
            <c:strRef>
              <c:f>'Temporary Employment'!$A$1016</c:f>
              <c:strCache>
                <c:ptCount val="1"/>
                <c:pt idx="0">
                  <c:v>Technicians</c:v>
                </c:pt>
              </c:strCache>
            </c:strRef>
          </c:tx>
          <c:spPr>
            <a:solidFill>
              <a:srgbClr val="00AB84"/>
            </a:solidFill>
            <a:ln>
              <a:solidFill>
                <a:srgbClr val="00AB84"/>
              </a:solidFill>
            </a:ln>
            <a:effectLst/>
          </c:spPr>
          <c:invertIfNegative val="0"/>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Employment'!$B$1016:$K$1016</c:f>
              <c:numCache>
                <c:formatCode>General</c:formatCode>
                <c:ptCount val="10"/>
                <c:pt idx="0">
                  <c:v>3331.7</c:v>
                </c:pt>
                <c:pt idx="1">
                  <c:v>3466.1</c:v>
                </c:pt>
                <c:pt idx="2">
                  <c:v>3415.3</c:v>
                </c:pt>
                <c:pt idx="3">
                  <c:v>3404.1</c:v>
                </c:pt>
                <c:pt idx="4">
                  <c:v>3397.6</c:v>
                </c:pt>
                <c:pt idx="5">
                  <c:v>3494.1</c:v>
                </c:pt>
                <c:pt idx="6">
                  <c:v>3534.5</c:v>
                </c:pt>
                <c:pt idx="7">
                  <c:v>3631.1</c:v>
                </c:pt>
                <c:pt idx="8">
                  <c:v>3544.1</c:v>
                </c:pt>
                <c:pt idx="9">
                  <c:v>3538.3</c:v>
                </c:pt>
              </c:numCache>
            </c:numRef>
          </c:val>
          <c:extLst>
            <c:ext xmlns:c16="http://schemas.microsoft.com/office/drawing/2014/chart" uri="{C3380CC4-5D6E-409C-BE32-E72D297353CC}">
              <c16:uniqueId val="{00000002-441B-4AB5-87BF-4C95CEA14176}"/>
            </c:ext>
          </c:extLst>
        </c:ser>
        <c:ser>
          <c:idx val="3"/>
          <c:order val="3"/>
          <c:tx>
            <c:strRef>
              <c:f>'Temporary Employment'!$A$1017</c:f>
              <c:strCache>
                <c:ptCount val="1"/>
                <c:pt idx="0">
                  <c:v>Clerical</c:v>
                </c:pt>
              </c:strCache>
            </c:strRef>
          </c:tx>
          <c:spPr>
            <a:solidFill>
              <a:srgbClr val="D78825"/>
            </a:solidFill>
            <a:ln>
              <a:solidFill>
                <a:srgbClr val="D78825"/>
              </a:solidFill>
            </a:ln>
            <a:effectLst/>
          </c:spPr>
          <c:invertIfNegative val="0"/>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Employment'!$B$1017:$K$1017</c:f>
              <c:numCache>
                <c:formatCode>General</c:formatCode>
                <c:ptCount val="10"/>
                <c:pt idx="0">
                  <c:v>2433</c:v>
                </c:pt>
                <c:pt idx="1">
                  <c:v>2490.5</c:v>
                </c:pt>
                <c:pt idx="2">
                  <c:v>2642.9</c:v>
                </c:pt>
                <c:pt idx="3">
                  <c:v>2580</c:v>
                </c:pt>
                <c:pt idx="4">
                  <c:v>2515.3000000000002</c:v>
                </c:pt>
                <c:pt idx="5">
                  <c:v>2659.2</c:v>
                </c:pt>
                <c:pt idx="6">
                  <c:v>2787.3</c:v>
                </c:pt>
                <c:pt idx="7">
                  <c:v>2652.4</c:v>
                </c:pt>
                <c:pt idx="8">
                  <c:v>2563.8000000000002</c:v>
                </c:pt>
                <c:pt idx="9">
                  <c:v>2704.1</c:v>
                </c:pt>
              </c:numCache>
            </c:numRef>
          </c:val>
          <c:extLst>
            <c:ext xmlns:c16="http://schemas.microsoft.com/office/drawing/2014/chart" uri="{C3380CC4-5D6E-409C-BE32-E72D297353CC}">
              <c16:uniqueId val="{00000003-441B-4AB5-87BF-4C95CEA14176}"/>
            </c:ext>
          </c:extLst>
        </c:ser>
        <c:ser>
          <c:idx val="4"/>
          <c:order val="4"/>
          <c:tx>
            <c:strRef>
              <c:f>'Temporary Employment'!$A$1018</c:f>
              <c:strCache>
                <c:ptCount val="1"/>
                <c:pt idx="0">
                  <c:v>Service and Sales</c:v>
                </c:pt>
              </c:strCache>
            </c:strRef>
          </c:tx>
          <c:spPr>
            <a:solidFill>
              <a:srgbClr val="0057B8"/>
            </a:solidFill>
            <a:ln>
              <a:solidFill>
                <a:srgbClr val="0057B8"/>
              </a:solidFill>
            </a:ln>
            <a:effectLst/>
          </c:spPr>
          <c:invertIfNegative val="0"/>
          <c:dPt>
            <c:idx val="0"/>
            <c:invertIfNegative val="0"/>
            <c:bubble3D val="0"/>
            <c:extLst>
              <c:ext xmlns:c16="http://schemas.microsoft.com/office/drawing/2014/chart" uri="{C3380CC4-5D6E-409C-BE32-E72D297353CC}">
                <c16:uniqueId val="{00000004-441B-4AB5-87BF-4C95CEA14176}"/>
              </c:ext>
            </c:extLst>
          </c:dPt>
          <c:dPt>
            <c:idx val="1"/>
            <c:invertIfNegative val="0"/>
            <c:bubble3D val="0"/>
            <c:extLst>
              <c:ext xmlns:c16="http://schemas.microsoft.com/office/drawing/2014/chart" uri="{C3380CC4-5D6E-409C-BE32-E72D297353CC}">
                <c16:uniqueId val="{00000005-441B-4AB5-87BF-4C95CEA14176}"/>
              </c:ext>
            </c:extLst>
          </c:dPt>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Employment'!$B$1018:$K$1018</c:f>
              <c:numCache>
                <c:formatCode>General</c:formatCode>
                <c:ptCount val="10"/>
                <c:pt idx="0">
                  <c:v>5243.4</c:v>
                </c:pt>
                <c:pt idx="1">
                  <c:v>5767.3</c:v>
                </c:pt>
                <c:pt idx="2">
                  <c:v>6116.1</c:v>
                </c:pt>
                <c:pt idx="3">
                  <c:v>5668.4</c:v>
                </c:pt>
                <c:pt idx="4">
                  <c:v>5391.2</c:v>
                </c:pt>
                <c:pt idx="5">
                  <c:v>5836.3</c:v>
                </c:pt>
                <c:pt idx="6">
                  <c:v>6279</c:v>
                </c:pt>
                <c:pt idx="7">
                  <c:v>5682.7</c:v>
                </c:pt>
                <c:pt idx="8">
                  <c:v>5452.1</c:v>
                </c:pt>
                <c:pt idx="9">
                  <c:v>5831.7</c:v>
                </c:pt>
              </c:numCache>
            </c:numRef>
          </c:val>
          <c:extLst>
            <c:ext xmlns:c16="http://schemas.microsoft.com/office/drawing/2014/chart" uri="{C3380CC4-5D6E-409C-BE32-E72D297353CC}">
              <c16:uniqueId val="{00000006-441B-4AB5-87BF-4C95CEA14176}"/>
            </c:ext>
          </c:extLst>
        </c:ser>
        <c:ser>
          <c:idx val="5"/>
          <c:order val="5"/>
          <c:tx>
            <c:strRef>
              <c:f>'Temporary Employment'!$A$1019</c:f>
              <c:strCache>
                <c:ptCount val="1"/>
                <c:pt idx="0">
                  <c:v>Skilled Agricultural</c:v>
                </c:pt>
              </c:strCache>
            </c:strRef>
          </c:tx>
          <c:spPr>
            <a:solidFill>
              <a:srgbClr val="5BC500"/>
            </a:solidFill>
            <a:ln>
              <a:solidFill>
                <a:srgbClr val="5BC500"/>
              </a:solidFill>
            </a:ln>
            <a:effectLst/>
          </c:spPr>
          <c:invertIfNegative val="0"/>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Employment'!$B$1019:$K$1019</c:f>
              <c:numCache>
                <c:formatCode>General</c:formatCode>
                <c:ptCount val="10"/>
                <c:pt idx="0">
                  <c:v>385.7</c:v>
                </c:pt>
                <c:pt idx="1">
                  <c:v>462.4</c:v>
                </c:pt>
                <c:pt idx="2">
                  <c:v>470.8</c:v>
                </c:pt>
                <c:pt idx="3">
                  <c:v>391.5</c:v>
                </c:pt>
                <c:pt idx="4">
                  <c:v>397.2</c:v>
                </c:pt>
                <c:pt idx="5">
                  <c:v>470.5</c:v>
                </c:pt>
                <c:pt idx="6">
                  <c:v>494.1</c:v>
                </c:pt>
                <c:pt idx="7">
                  <c:v>416.9</c:v>
                </c:pt>
                <c:pt idx="8">
                  <c:v>384.8</c:v>
                </c:pt>
                <c:pt idx="9">
                  <c:v>478.8</c:v>
                </c:pt>
              </c:numCache>
            </c:numRef>
          </c:val>
          <c:extLst>
            <c:ext xmlns:c16="http://schemas.microsoft.com/office/drawing/2014/chart" uri="{C3380CC4-5D6E-409C-BE32-E72D297353CC}">
              <c16:uniqueId val="{00000007-441B-4AB5-87BF-4C95CEA14176}"/>
            </c:ext>
          </c:extLst>
        </c:ser>
        <c:ser>
          <c:idx val="6"/>
          <c:order val="6"/>
          <c:tx>
            <c:strRef>
              <c:f>'Temporary Employment'!$A$1020</c:f>
              <c:strCache>
                <c:ptCount val="1"/>
                <c:pt idx="0">
                  <c:v>Craft and trade</c:v>
                </c:pt>
              </c:strCache>
            </c:strRef>
          </c:tx>
          <c:spPr>
            <a:solidFill>
              <a:srgbClr val="DEC21C"/>
            </a:solidFill>
            <a:ln>
              <a:solidFill>
                <a:srgbClr val="DEC21C"/>
              </a:solidFill>
            </a:ln>
            <a:effectLst/>
          </c:spPr>
          <c:invertIfNegative val="0"/>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Employment'!$B$1020:$K$1020</c:f>
              <c:numCache>
                <c:formatCode>General</c:formatCode>
                <c:ptCount val="10"/>
                <c:pt idx="0">
                  <c:v>3048.9</c:v>
                </c:pt>
                <c:pt idx="1">
                  <c:v>3171</c:v>
                </c:pt>
                <c:pt idx="2">
                  <c:v>3255.8</c:v>
                </c:pt>
                <c:pt idx="3">
                  <c:v>3245.7</c:v>
                </c:pt>
                <c:pt idx="4">
                  <c:v>3011.1</c:v>
                </c:pt>
                <c:pt idx="5">
                  <c:v>3231.1</c:v>
                </c:pt>
                <c:pt idx="6">
                  <c:v>3262.6</c:v>
                </c:pt>
                <c:pt idx="7">
                  <c:v>3228.3</c:v>
                </c:pt>
                <c:pt idx="8">
                  <c:v>3102.8</c:v>
                </c:pt>
                <c:pt idx="9">
                  <c:v>3201.2</c:v>
                </c:pt>
              </c:numCache>
            </c:numRef>
          </c:val>
          <c:extLst>
            <c:ext xmlns:c16="http://schemas.microsoft.com/office/drawing/2014/chart" uri="{C3380CC4-5D6E-409C-BE32-E72D297353CC}">
              <c16:uniqueId val="{00000008-441B-4AB5-87BF-4C95CEA14176}"/>
            </c:ext>
          </c:extLst>
        </c:ser>
        <c:ser>
          <c:idx val="7"/>
          <c:order val="7"/>
          <c:tx>
            <c:strRef>
              <c:f>'Temporary Employment'!$A$1021</c:f>
              <c:strCache>
                <c:ptCount val="1"/>
                <c:pt idx="0">
                  <c:v>Machine operators</c:v>
                </c:pt>
              </c:strCache>
            </c:strRef>
          </c:tx>
          <c:spPr>
            <a:solidFill>
              <a:srgbClr val="5C068C"/>
            </a:solidFill>
            <a:ln>
              <a:solidFill>
                <a:srgbClr val="5C068C"/>
              </a:solidFill>
            </a:ln>
            <a:effectLst/>
          </c:spPr>
          <c:invertIfNegative val="0"/>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Employment'!$B$1021:$K$1021</c:f>
              <c:numCache>
                <c:formatCode>General</c:formatCode>
                <c:ptCount val="10"/>
                <c:pt idx="0">
                  <c:v>1940.9</c:v>
                </c:pt>
                <c:pt idx="1">
                  <c:v>2074.6</c:v>
                </c:pt>
                <c:pt idx="2">
                  <c:v>2161.1</c:v>
                </c:pt>
                <c:pt idx="3">
                  <c:v>2117.6999999999998</c:v>
                </c:pt>
                <c:pt idx="4">
                  <c:v>1968.1</c:v>
                </c:pt>
                <c:pt idx="5">
                  <c:v>2161.4</c:v>
                </c:pt>
                <c:pt idx="6">
                  <c:v>2260</c:v>
                </c:pt>
                <c:pt idx="7">
                  <c:v>2217.8000000000002</c:v>
                </c:pt>
                <c:pt idx="8">
                  <c:v>2146.5</c:v>
                </c:pt>
                <c:pt idx="9">
                  <c:v>2195.6</c:v>
                </c:pt>
              </c:numCache>
            </c:numRef>
          </c:val>
          <c:extLst>
            <c:ext xmlns:c16="http://schemas.microsoft.com/office/drawing/2014/chart" uri="{C3380CC4-5D6E-409C-BE32-E72D297353CC}">
              <c16:uniqueId val="{00000009-441B-4AB5-87BF-4C95CEA14176}"/>
            </c:ext>
          </c:extLst>
        </c:ser>
        <c:ser>
          <c:idx val="8"/>
          <c:order val="8"/>
          <c:tx>
            <c:strRef>
              <c:f>'Temporary Employment'!$A$1022</c:f>
              <c:strCache>
                <c:ptCount val="1"/>
                <c:pt idx="0">
                  <c:v>Elementary occupations</c:v>
                </c:pt>
              </c:strCache>
            </c:strRef>
          </c:tx>
          <c:spPr>
            <a:solidFill>
              <a:srgbClr val="DDCBA4"/>
            </a:solidFill>
            <a:ln>
              <a:solidFill>
                <a:srgbClr val="DEC21C"/>
              </a:solidFill>
            </a:ln>
            <a:effectLst/>
          </c:spPr>
          <c:invertIfNegative val="0"/>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Employment'!$B$1022:$K$1022</c:f>
              <c:numCache>
                <c:formatCode>General</c:formatCode>
                <c:ptCount val="10"/>
                <c:pt idx="0">
                  <c:v>4113.5</c:v>
                </c:pt>
                <c:pt idx="1">
                  <c:v>4477</c:v>
                </c:pt>
                <c:pt idx="2">
                  <c:v>4730.6000000000004</c:v>
                </c:pt>
                <c:pt idx="3">
                  <c:v>4510.7</c:v>
                </c:pt>
                <c:pt idx="4">
                  <c:v>4275.8</c:v>
                </c:pt>
                <c:pt idx="5">
                  <c:v>4582.6000000000004</c:v>
                </c:pt>
                <c:pt idx="6">
                  <c:v>4951.1000000000004</c:v>
                </c:pt>
                <c:pt idx="7">
                  <c:v>4610.3</c:v>
                </c:pt>
                <c:pt idx="8">
                  <c:v>4264.7</c:v>
                </c:pt>
                <c:pt idx="9">
                  <c:v>4608.8999999999996</c:v>
                </c:pt>
              </c:numCache>
            </c:numRef>
          </c:val>
          <c:extLst>
            <c:ext xmlns:c16="http://schemas.microsoft.com/office/drawing/2014/chart" uri="{C3380CC4-5D6E-409C-BE32-E72D297353CC}">
              <c16:uniqueId val="{0000000A-441B-4AB5-87BF-4C95CEA14176}"/>
            </c:ext>
          </c:extLst>
        </c:ser>
        <c:ser>
          <c:idx val="9"/>
          <c:order val="9"/>
          <c:tx>
            <c:strRef>
              <c:f>'Temporary Employment'!$A$1023</c:f>
              <c:strCache>
                <c:ptCount val="1"/>
                <c:pt idx="0">
                  <c:v>Armed forces</c:v>
                </c:pt>
              </c:strCache>
            </c:strRef>
          </c:tx>
          <c:spPr>
            <a:solidFill>
              <a:srgbClr val="455F60"/>
            </a:solidFill>
            <a:ln>
              <a:solidFill>
                <a:srgbClr val="455F60"/>
              </a:solidFill>
            </a:ln>
            <a:effectLst/>
          </c:spPr>
          <c:invertIfNegative val="0"/>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Employment'!$B$1023:$K$1023</c:f>
              <c:numCache>
                <c:formatCode>General</c:formatCode>
                <c:ptCount val="10"/>
                <c:pt idx="0">
                  <c:v>195.9</c:v>
                </c:pt>
                <c:pt idx="1">
                  <c:v>185.9</c:v>
                </c:pt>
                <c:pt idx="2">
                  <c:v>174.3</c:v>
                </c:pt>
                <c:pt idx="3">
                  <c:v>209.9</c:v>
                </c:pt>
                <c:pt idx="4">
                  <c:v>203.8</c:v>
                </c:pt>
                <c:pt idx="5">
                  <c:v>207.8</c:v>
                </c:pt>
                <c:pt idx="6">
                  <c:v>176.7</c:v>
                </c:pt>
                <c:pt idx="7">
                  <c:v>206.3</c:v>
                </c:pt>
                <c:pt idx="8">
                  <c:v>207.6</c:v>
                </c:pt>
                <c:pt idx="9">
                  <c:v>186.6</c:v>
                </c:pt>
              </c:numCache>
            </c:numRef>
          </c:val>
          <c:extLst>
            <c:ext xmlns:c16="http://schemas.microsoft.com/office/drawing/2014/chart" uri="{C3380CC4-5D6E-409C-BE32-E72D297353CC}">
              <c16:uniqueId val="{0000000B-441B-4AB5-87BF-4C95CEA14176}"/>
            </c:ext>
          </c:extLst>
        </c:ser>
        <c:dLbls>
          <c:showLegendKey val="0"/>
          <c:showVal val="0"/>
          <c:showCatName val="0"/>
          <c:showSerName val="0"/>
          <c:showPercent val="0"/>
          <c:showBubbleSize val="0"/>
        </c:dLbls>
        <c:gapWidth val="100"/>
        <c:overlap val="100"/>
        <c:axId val="244301832"/>
        <c:axId val="244302224"/>
      </c:barChart>
      <c:catAx>
        <c:axId val="24430183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244302224"/>
        <c:crosses val="autoZero"/>
        <c:auto val="1"/>
        <c:lblAlgn val="ctr"/>
        <c:lblOffset val="50"/>
        <c:noMultiLvlLbl val="0"/>
      </c:catAx>
      <c:valAx>
        <c:axId val="244302224"/>
        <c:scaling>
          <c:orientation val="minMax"/>
        </c:scaling>
        <c:delete val="0"/>
        <c:axPos val="l"/>
        <c:majorGridlines>
          <c:spPr>
            <a:ln w="9525" cap="flat" cmpd="sng" algn="ctr">
              <a:solidFill>
                <a:schemeClr val="tx1">
                  <a:lumMod val="15000"/>
                  <a:lumOff val="85000"/>
                </a:schemeClr>
              </a:solidFill>
              <a:round/>
            </a:ln>
            <a:effectLst/>
          </c:spPr>
        </c:majorGridlines>
        <c:title>
          <c:tx>
            <c:strRef>
              <c:f>'Temporary Employment'!$P$8</c:f>
              <c:strCache>
                <c:ptCount val="1"/>
                <c:pt idx="0">
                  <c:v>Temp Employees (1000s)</c:v>
                </c:pt>
              </c:strCache>
            </c:strRef>
          </c:tx>
          <c:layout>
            <c:manualLayout>
              <c:xMode val="edge"/>
              <c:yMode val="edge"/>
              <c:x val="2.7658990324954153E-3"/>
              <c:y val="0.2159077745519022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4301832"/>
        <c:crosses val="autoZero"/>
        <c:crossBetween val="between"/>
      </c:valAx>
      <c:spPr>
        <a:noFill/>
        <a:ln>
          <a:noFill/>
        </a:ln>
        <a:effectLst/>
      </c:spPr>
    </c:plotArea>
    <c:legend>
      <c:legendPos val="r"/>
      <c:layout>
        <c:manualLayout>
          <c:xMode val="edge"/>
          <c:yMode val="edge"/>
          <c:x val="0.74263213960179653"/>
          <c:y val="0.12831590375834234"/>
          <c:w val="0.25736786039820336"/>
          <c:h val="0.87090906737307694"/>
        </c:manualLayout>
      </c:layout>
      <c:overlay val="0"/>
      <c:spPr>
        <a:noFill/>
        <a:ln>
          <a:noFill/>
        </a:ln>
        <a:effectLst/>
      </c:spPr>
      <c:txPr>
        <a:bodyPr rot="0" spcFirstLastPara="1" vertOverflow="ellipsis" vert="horz" wrap="square" anchor="ctr" anchorCtr="1"/>
        <a:lstStyle/>
        <a:p>
          <a:pPr>
            <a:defRPr sz="97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'Temporary Employment'!$P$24</c:f>
          <c:strCache>
            <c:ptCount val="1"/>
            <c:pt idx="0">
              <c:v>Temporary employees by economic activity - European Union (28 countries)</c:v>
            </c:pt>
          </c:strCache>
        </c:strRef>
      </c:tx>
      <c:layout>
        <c:manualLayout>
          <c:xMode val="edge"/>
          <c:yMode val="edge"/>
          <c:x val="9.6622848135132194E-2"/>
          <c:y val="2.015372494804993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5122530851076832"/>
          <c:y val="0.17245494313210849"/>
          <c:w val="0.54382865731618135"/>
          <c:h val="0.65110734235143686"/>
        </c:manualLayout>
      </c:layout>
      <c:areaChart>
        <c:grouping val="stacked"/>
        <c:varyColors val="0"/>
        <c:ser>
          <c:idx val="0"/>
          <c:order val="0"/>
          <c:tx>
            <c:strRef>
              <c:f>'Temporary Employment'!$L$1024</c:f>
              <c:strCache>
                <c:ptCount val="1"/>
                <c:pt idx="0">
                  <c:v>Agri/ Fisheries/Forestry</c:v>
                </c:pt>
              </c:strCache>
            </c:strRef>
          </c:tx>
          <c:spPr>
            <a:solidFill>
              <a:srgbClr val="0097A9"/>
            </a:solidFill>
            <a:ln>
              <a:solidFill>
                <a:srgbClr val="0097A9"/>
              </a:solidFill>
            </a:ln>
            <a:effectLst/>
          </c:spP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Employment'!$B$1024:$K$1024</c:f>
              <c:numCache>
                <c:formatCode>General</c:formatCode>
                <c:ptCount val="10"/>
                <c:pt idx="0">
                  <c:v>868.1</c:v>
                </c:pt>
                <c:pt idx="1">
                  <c:v>975.1</c:v>
                </c:pt>
                <c:pt idx="2">
                  <c:v>1016.3</c:v>
                </c:pt>
                <c:pt idx="3">
                  <c:v>954.6</c:v>
                </c:pt>
                <c:pt idx="4">
                  <c:v>875.9</c:v>
                </c:pt>
                <c:pt idx="5">
                  <c:v>1017</c:v>
                </c:pt>
                <c:pt idx="6">
                  <c:v>1020.3</c:v>
                </c:pt>
                <c:pt idx="7">
                  <c:v>990.2</c:v>
                </c:pt>
                <c:pt idx="8">
                  <c:v>879.7</c:v>
                </c:pt>
                <c:pt idx="9">
                  <c:v>989.1</c:v>
                </c:pt>
              </c:numCache>
            </c:numRef>
          </c:val>
          <c:extLst>
            <c:ext xmlns:c16="http://schemas.microsoft.com/office/drawing/2014/chart" uri="{C3380CC4-5D6E-409C-BE32-E72D297353CC}">
              <c16:uniqueId val="{00000000-AC21-4792-AC50-205F1611A304}"/>
            </c:ext>
          </c:extLst>
        </c:ser>
        <c:ser>
          <c:idx val="1"/>
          <c:order val="1"/>
          <c:tx>
            <c:strRef>
              <c:f>'Temporary Employment'!$L$1025</c:f>
              <c:strCache>
                <c:ptCount val="1"/>
                <c:pt idx="0">
                  <c:v>Manufacturing</c:v>
                </c:pt>
              </c:strCache>
            </c:strRef>
          </c:tx>
          <c:spPr>
            <a:solidFill>
              <a:srgbClr val="A76D11"/>
            </a:solidFill>
            <a:ln>
              <a:noFill/>
            </a:ln>
            <a:effectLst/>
          </c:spP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Employment'!$B$1025:$K$1025</c:f>
              <c:numCache>
                <c:formatCode>General</c:formatCode>
                <c:ptCount val="10"/>
                <c:pt idx="0">
                  <c:v>3661.2</c:v>
                </c:pt>
                <c:pt idx="1">
                  <c:v>3864.1</c:v>
                </c:pt>
                <c:pt idx="2">
                  <c:v>4007.2</c:v>
                </c:pt>
                <c:pt idx="3">
                  <c:v>3929.6</c:v>
                </c:pt>
                <c:pt idx="4">
                  <c:v>3791.3</c:v>
                </c:pt>
                <c:pt idx="5">
                  <c:v>3941.7</c:v>
                </c:pt>
                <c:pt idx="6">
                  <c:v>4062.1</c:v>
                </c:pt>
                <c:pt idx="7">
                  <c:v>3989.7</c:v>
                </c:pt>
                <c:pt idx="8">
                  <c:v>3868.9</c:v>
                </c:pt>
                <c:pt idx="9">
                  <c:v>3969</c:v>
                </c:pt>
              </c:numCache>
            </c:numRef>
          </c:val>
          <c:extLst>
            <c:ext xmlns:c16="http://schemas.microsoft.com/office/drawing/2014/chart" uri="{C3380CC4-5D6E-409C-BE32-E72D297353CC}">
              <c16:uniqueId val="{00000001-AC21-4792-AC50-205F1611A304}"/>
            </c:ext>
          </c:extLst>
        </c:ser>
        <c:ser>
          <c:idx val="2"/>
          <c:order val="2"/>
          <c:tx>
            <c:strRef>
              <c:f>'Temporary Employment'!$A$1026</c:f>
              <c:strCache>
                <c:ptCount val="1"/>
                <c:pt idx="0">
                  <c:v>Construction</c:v>
                </c:pt>
              </c:strCache>
            </c:strRef>
          </c:tx>
          <c:spPr>
            <a:solidFill>
              <a:srgbClr val="E1D100"/>
            </a:solidFill>
            <a:ln>
              <a:solidFill>
                <a:srgbClr val="E1D100"/>
              </a:solidFill>
            </a:ln>
            <a:effectLst/>
          </c:spP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Employment'!$B$1026:$K$1026</c:f>
              <c:numCache>
                <c:formatCode>General</c:formatCode>
                <c:ptCount val="10"/>
                <c:pt idx="0">
                  <c:v>1570.5</c:v>
                </c:pt>
                <c:pt idx="1">
                  <c:v>1725.7</c:v>
                </c:pt>
                <c:pt idx="2">
                  <c:v>1756.4</c:v>
                </c:pt>
                <c:pt idx="3">
                  <c:v>1713.4</c:v>
                </c:pt>
                <c:pt idx="4">
                  <c:v>1601.5</c:v>
                </c:pt>
                <c:pt idx="5">
                  <c:v>1745.5</c:v>
                </c:pt>
                <c:pt idx="6">
                  <c:v>1744.8</c:v>
                </c:pt>
                <c:pt idx="7">
                  <c:v>1742.2</c:v>
                </c:pt>
                <c:pt idx="8">
                  <c:v>1635.3</c:v>
                </c:pt>
                <c:pt idx="9">
                  <c:v>1726</c:v>
                </c:pt>
              </c:numCache>
            </c:numRef>
          </c:val>
          <c:extLst>
            <c:ext xmlns:c16="http://schemas.microsoft.com/office/drawing/2014/chart" uri="{C3380CC4-5D6E-409C-BE32-E72D297353CC}">
              <c16:uniqueId val="{00000002-AC21-4792-AC50-205F1611A304}"/>
            </c:ext>
          </c:extLst>
        </c:ser>
        <c:ser>
          <c:idx val="3"/>
          <c:order val="3"/>
          <c:tx>
            <c:strRef>
              <c:f>'Temporary Employment'!$L$1027</c:f>
              <c:strCache>
                <c:ptCount val="1"/>
                <c:pt idx="0">
                  <c:v>Wholesale/retail trade</c:v>
                </c:pt>
              </c:strCache>
            </c:strRef>
          </c:tx>
          <c:spPr>
            <a:solidFill>
              <a:srgbClr val="00AB84"/>
            </a:solidFill>
            <a:ln>
              <a:solidFill>
                <a:srgbClr val="00AB84"/>
              </a:solidFill>
            </a:ln>
            <a:effectLst/>
          </c:spP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Employment'!$B$1027:$K$1027</c:f>
              <c:numCache>
                <c:formatCode>General</c:formatCode>
                <c:ptCount val="10"/>
                <c:pt idx="0">
                  <c:v>3367.5</c:v>
                </c:pt>
                <c:pt idx="1">
                  <c:v>3430.8</c:v>
                </c:pt>
                <c:pt idx="2">
                  <c:v>3578.6</c:v>
                </c:pt>
                <c:pt idx="3">
                  <c:v>3630.8</c:v>
                </c:pt>
                <c:pt idx="4">
                  <c:v>3416.9</c:v>
                </c:pt>
                <c:pt idx="5">
                  <c:v>3457.3</c:v>
                </c:pt>
                <c:pt idx="6">
                  <c:v>3738.4</c:v>
                </c:pt>
                <c:pt idx="7">
                  <c:v>3646.7</c:v>
                </c:pt>
                <c:pt idx="8">
                  <c:v>3466.9</c:v>
                </c:pt>
                <c:pt idx="9">
                  <c:v>3569</c:v>
                </c:pt>
              </c:numCache>
            </c:numRef>
          </c:val>
          <c:extLst>
            <c:ext xmlns:c16="http://schemas.microsoft.com/office/drawing/2014/chart" uri="{C3380CC4-5D6E-409C-BE32-E72D297353CC}">
              <c16:uniqueId val="{00000003-AC21-4792-AC50-205F1611A304}"/>
            </c:ext>
          </c:extLst>
        </c:ser>
        <c:ser>
          <c:idx val="4"/>
          <c:order val="4"/>
          <c:tx>
            <c:strRef>
              <c:f>'Temporary Employment'!$L$1028</c:f>
              <c:strCache>
                <c:ptCount val="1"/>
                <c:pt idx="0">
                  <c:v>Transportation and storage</c:v>
                </c:pt>
              </c:strCache>
            </c:strRef>
          </c:tx>
          <c:spPr>
            <a:solidFill>
              <a:srgbClr val="BA0C2F"/>
            </a:solidFill>
            <a:ln>
              <a:solidFill>
                <a:srgbClr val="BA0C2F"/>
              </a:solidFill>
            </a:ln>
            <a:effectLst/>
          </c:spP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Employment'!$B$1028:$K$1028</c:f>
              <c:numCache>
                <c:formatCode>General</c:formatCode>
                <c:ptCount val="10"/>
                <c:pt idx="0">
                  <c:v>1148.5999999999999</c:v>
                </c:pt>
                <c:pt idx="1">
                  <c:v>1148.8</c:v>
                </c:pt>
                <c:pt idx="2">
                  <c:v>1190.5</c:v>
                </c:pt>
                <c:pt idx="3">
                  <c:v>1203</c:v>
                </c:pt>
                <c:pt idx="4">
                  <c:v>1120.4000000000001</c:v>
                </c:pt>
                <c:pt idx="5">
                  <c:v>1189.0999999999999</c:v>
                </c:pt>
                <c:pt idx="6">
                  <c:v>1276.5999999999999</c:v>
                </c:pt>
                <c:pt idx="7">
                  <c:v>1283.2</c:v>
                </c:pt>
                <c:pt idx="8">
                  <c:v>1218.8</c:v>
                </c:pt>
                <c:pt idx="9">
                  <c:v>1200.2</c:v>
                </c:pt>
              </c:numCache>
            </c:numRef>
          </c:val>
          <c:extLst>
            <c:ext xmlns:c16="http://schemas.microsoft.com/office/drawing/2014/chart" uri="{C3380CC4-5D6E-409C-BE32-E72D297353CC}">
              <c16:uniqueId val="{00000004-AC21-4792-AC50-205F1611A304}"/>
            </c:ext>
          </c:extLst>
        </c:ser>
        <c:ser>
          <c:idx val="5"/>
          <c:order val="5"/>
          <c:tx>
            <c:strRef>
              <c:f>'Temporary Employment'!$L$1029</c:f>
              <c:strCache>
                <c:ptCount val="1"/>
                <c:pt idx="0">
                  <c:v>Accommodation/food service</c:v>
                </c:pt>
              </c:strCache>
            </c:strRef>
          </c:tx>
          <c:spPr>
            <a:solidFill>
              <a:srgbClr val="D78825"/>
            </a:solidFill>
            <a:ln>
              <a:solidFill>
                <a:srgbClr val="D78825"/>
              </a:solidFill>
            </a:ln>
            <a:effectLst/>
          </c:spP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Employment'!$B$1029:$K$1029</c:f>
              <c:numCache>
                <c:formatCode>General</c:formatCode>
                <c:ptCount val="10"/>
                <c:pt idx="0">
                  <c:v>1763.5</c:v>
                </c:pt>
                <c:pt idx="1">
                  <c:v>2232.8000000000002</c:v>
                </c:pt>
                <c:pt idx="2">
                  <c:v>2534.4</c:v>
                </c:pt>
                <c:pt idx="3">
                  <c:v>1948.6</c:v>
                </c:pt>
                <c:pt idx="4">
                  <c:v>1788.1</c:v>
                </c:pt>
                <c:pt idx="5">
                  <c:v>2300.9</c:v>
                </c:pt>
                <c:pt idx="6">
                  <c:v>2690</c:v>
                </c:pt>
                <c:pt idx="7">
                  <c:v>2015.4</c:v>
                </c:pt>
                <c:pt idx="8">
                  <c:v>1894.3</c:v>
                </c:pt>
                <c:pt idx="9">
                  <c:v>2316.6</c:v>
                </c:pt>
              </c:numCache>
            </c:numRef>
          </c:val>
          <c:extLst>
            <c:ext xmlns:c16="http://schemas.microsoft.com/office/drawing/2014/chart" uri="{C3380CC4-5D6E-409C-BE32-E72D297353CC}">
              <c16:uniqueId val="{00000005-AC21-4792-AC50-205F1611A304}"/>
            </c:ext>
          </c:extLst>
        </c:ser>
        <c:ser>
          <c:idx val="6"/>
          <c:order val="6"/>
          <c:tx>
            <c:strRef>
              <c:f>'Temporary Employment'!$L$1030</c:f>
              <c:strCache>
                <c:ptCount val="1"/>
                <c:pt idx="0">
                  <c:v>Information and communication</c:v>
                </c:pt>
              </c:strCache>
            </c:strRef>
          </c:tx>
          <c:spPr>
            <a:solidFill>
              <a:srgbClr val="0057B8"/>
            </a:solidFill>
            <a:ln>
              <a:solidFill>
                <a:srgbClr val="0057B8"/>
              </a:solidFill>
            </a:ln>
            <a:effectLst/>
          </c:spP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Employment'!$B$1030:$K$1030</c:f>
              <c:numCache>
                <c:formatCode>General</c:formatCode>
                <c:ptCount val="10"/>
                <c:pt idx="0">
                  <c:v>541.20000000000005</c:v>
                </c:pt>
                <c:pt idx="1">
                  <c:v>575</c:v>
                </c:pt>
                <c:pt idx="2">
                  <c:v>566.6</c:v>
                </c:pt>
                <c:pt idx="3">
                  <c:v>570.1</c:v>
                </c:pt>
                <c:pt idx="4">
                  <c:v>572.9</c:v>
                </c:pt>
                <c:pt idx="5">
                  <c:v>599.4</c:v>
                </c:pt>
                <c:pt idx="6">
                  <c:v>607.79999999999995</c:v>
                </c:pt>
                <c:pt idx="7">
                  <c:v>576.5</c:v>
                </c:pt>
                <c:pt idx="8">
                  <c:v>582.5</c:v>
                </c:pt>
                <c:pt idx="9">
                  <c:v>574.1</c:v>
                </c:pt>
              </c:numCache>
            </c:numRef>
          </c:val>
          <c:extLst>
            <c:ext xmlns:c16="http://schemas.microsoft.com/office/drawing/2014/chart" uri="{C3380CC4-5D6E-409C-BE32-E72D297353CC}">
              <c16:uniqueId val="{00000006-AC21-4792-AC50-205F1611A304}"/>
            </c:ext>
          </c:extLst>
        </c:ser>
        <c:ser>
          <c:idx val="7"/>
          <c:order val="7"/>
          <c:tx>
            <c:strRef>
              <c:f>'Temporary Employment'!$L$1031</c:f>
              <c:strCache>
                <c:ptCount val="1"/>
                <c:pt idx="0">
                  <c:v>Financial/ insurance</c:v>
                </c:pt>
              </c:strCache>
            </c:strRef>
          </c:tx>
          <c:spPr>
            <a:solidFill>
              <a:srgbClr val="DDCBA4"/>
            </a:solidFill>
            <a:ln>
              <a:solidFill>
                <a:srgbClr val="DDCBA4"/>
              </a:solidFill>
            </a:ln>
            <a:effectLst/>
          </c:spP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Employment'!$B$1031:$K$1031</c:f>
              <c:numCache>
                <c:formatCode>General</c:formatCode>
                <c:ptCount val="10"/>
                <c:pt idx="0">
                  <c:v>359.2</c:v>
                </c:pt>
                <c:pt idx="1">
                  <c:v>400.1</c:v>
                </c:pt>
                <c:pt idx="2">
                  <c:v>421.6</c:v>
                </c:pt>
                <c:pt idx="3">
                  <c:v>384.3</c:v>
                </c:pt>
                <c:pt idx="4">
                  <c:v>368.2</c:v>
                </c:pt>
                <c:pt idx="5">
                  <c:v>409.1</c:v>
                </c:pt>
                <c:pt idx="6">
                  <c:v>378</c:v>
                </c:pt>
                <c:pt idx="7">
                  <c:v>380.2</c:v>
                </c:pt>
                <c:pt idx="8">
                  <c:v>391.3</c:v>
                </c:pt>
                <c:pt idx="9">
                  <c:v>378</c:v>
                </c:pt>
              </c:numCache>
            </c:numRef>
          </c:val>
          <c:extLst>
            <c:ext xmlns:c16="http://schemas.microsoft.com/office/drawing/2014/chart" uri="{C3380CC4-5D6E-409C-BE32-E72D297353CC}">
              <c16:uniqueId val="{00000007-AC21-4792-AC50-205F1611A304}"/>
            </c:ext>
          </c:extLst>
        </c:ser>
        <c:ser>
          <c:idx val="8"/>
          <c:order val="8"/>
          <c:tx>
            <c:strRef>
              <c:f>'Temporary Employment'!$L$1032</c:f>
              <c:strCache>
                <c:ptCount val="1"/>
                <c:pt idx="0">
                  <c:v>Professional/ scientific/technical</c:v>
                </c:pt>
              </c:strCache>
            </c:strRef>
          </c:tx>
          <c:spPr>
            <a:solidFill>
              <a:srgbClr val="A20067"/>
            </a:solidFill>
            <a:ln>
              <a:solidFill>
                <a:srgbClr val="A20067"/>
              </a:solidFill>
            </a:ln>
            <a:effectLst/>
          </c:spP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Employment'!$B$1032:$K$1032</c:f>
              <c:numCache>
                <c:formatCode>General</c:formatCode>
                <c:ptCount val="10"/>
                <c:pt idx="0">
                  <c:v>908.6</c:v>
                </c:pt>
                <c:pt idx="1">
                  <c:v>956.6</c:v>
                </c:pt>
                <c:pt idx="2">
                  <c:v>971.3</c:v>
                </c:pt>
                <c:pt idx="3">
                  <c:v>981.7</c:v>
                </c:pt>
                <c:pt idx="4">
                  <c:v>905.7</c:v>
                </c:pt>
                <c:pt idx="5">
                  <c:v>970.8</c:v>
                </c:pt>
                <c:pt idx="6">
                  <c:v>1026.7</c:v>
                </c:pt>
                <c:pt idx="7">
                  <c:v>994.6</c:v>
                </c:pt>
                <c:pt idx="8">
                  <c:v>946.4</c:v>
                </c:pt>
                <c:pt idx="9">
                  <c:v>975.4</c:v>
                </c:pt>
              </c:numCache>
            </c:numRef>
          </c:val>
          <c:extLst>
            <c:ext xmlns:c16="http://schemas.microsoft.com/office/drawing/2014/chart" uri="{C3380CC4-5D6E-409C-BE32-E72D297353CC}">
              <c16:uniqueId val="{00000008-AC21-4792-AC50-205F1611A304}"/>
            </c:ext>
          </c:extLst>
        </c:ser>
        <c:ser>
          <c:idx val="9"/>
          <c:order val="9"/>
          <c:tx>
            <c:strRef>
              <c:f>'Temporary Employment'!$L$1033</c:f>
              <c:strCache>
                <c:ptCount val="1"/>
                <c:pt idx="0">
                  <c:v>Administrative</c:v>
                </c:pt>
              </c:strCache>
            </c:strRef>
          </c:tx>
          <c:spPr>
            <a:solidFill>
              <a:srgbClr val="DEC21C"/>
            </a:solidFill>
            <a:ln>
              <a:solidFill>
                <a:srgbClr val="DEC21C"/>
              </a:solidFill>
            </a:ln>
            <a:effectLst/>
          </c:spP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Employment'!$B$1033:$K$1033</c:f>
              <c:numCache>
                <c:formatCode>General</c:formatCode>
                <c:ptCount val="10"/>
                <c:pt idx="0">
                  <c:v>1379.1</c:v>
                </c:pt>
                <c:pt idx="1">
                  <c:v>1482.3</c:v>
                </c:pt>
                <c:pt idx="2">
                  <c:v>1582.2</c:v>
                </c:pt>
                <c:pt idx="3">
                  <c:v>1490.2</c:v>
                </c:pt>
                <c:pt idx="4">
                  <c:v>1422.8</c:v>
                </c:pt>
                <c:pt idx="5">
                  <c:v>1529.3</c:v>
                </c:pt>
                <c:pt idx="6">
                  <c:v>1602.6</c:v>
                </c:pt>
                <c:pt idx="7">
                  <c:v>1487.4</c:v>
                </c:pt>
                <c:pt idx="8">
                  <c:v>1408.5</c:v>
                </c:pt>
                <c:pt idx="9">
                  <c:v>1547.1</c:v>
                </c:pt>
              </c:numCache>
            </c:numRef>
          </c:val>
          <c:extLst>
            <c:ext xmlns:c16="http://schemas.microsoft.com/office/drawing/2014/chart" uri="{C3380CC4-5D6E-409C-BE32-E72D297353CC}">
              <c16:uniqueId val="{00000009-AC21-4792-AC50-205F1611A304}"/>
            </c:ext>
          </c:extLst>
        </c:ser>
        <c:ser>
          <c:idx val="10"/>
          <c:order val="10"/>
          <c:tx>
            <c:strRef>
              <c:f>'Temporary Employment'!$L$1034</c:f>
              <c:strCache>
                <c:ptCount val="1"/>
                <c:pt idx="0">
                  <c:v>Public administration and defence</c:v>
                </c:pt>
              </c:strCache>
            </c:strRef>
          </c:tx>
          <c:spPr>
            <a:solidFill>
              <a:srgbClr val="5C068C"/>
            </a:solidFill>
            <a:ln>
              <a:solidFill>
                <a:srgbClr val="5C068C"/>
              </a:solidFill>
            </a:ln>
            <a:effectLst/>
          </c:spP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Employment'!$B$1034:$K$1034</c:f>
              <c:numCache>
                <c:formatCode>General</c:formatCode>
                <c:ptCount val="10"/>
                <c:pt idx="0">
                  <c:v>1617.7</c:v>
                </c:pt>
                <c:pt idx="1">
                  <c:v>1680.3</c:v>
                </c:pt>
                <c:pt idx="2">
                  <c:v>1731.5</c:v>
                </c:pt>
                <c:pt idx="3">
                  <c:v>1709.3</c:v>
                </c:pt>
                <c:pt idx="4">
                  <c:v>1665</c:v>
                </c:pt>
                <c:pt idx="5">
                  <c:v>1707.5</c:v>
                </c:pt>
                <c:pt idx="6">
                  <c:v>1740.3</c:v>
                </c:pt>
                <c:pt idx="7">
                  <c:v>1800.1</c:v>
                </c:pt>
                <c:pt idx="8">
                  <c:v>1663.2</c:v>
                </c:pt>
                <c:pt idx="9">
                  <c:v>1666.8</c:v>
                </c:pt>
              </c:numCache>
            </c:numRef>
          </c:val>
          <c:extLst>
            <c:ext xmlns:c16="http://schemas.microsoft.com/office/drawing/2014/chart" uri="{C3380CC4-5D6E-409C-BE32-E72D297353CC}">
              <c16:uniqueId val="{0000000A-AC21-4792-AC50-205F1611A304}"/>
            </c:ext>
          </c:extLst>
        </c:ser>
        <c:ser>
          <c:idx val="11"/>
          <c:order val="11"/>
          <c:tx>
            <c:strRef>
              <c:f>'Temporary Employment'!$L$1035</c:f>
              <c:strCache>
                <c:ptCount val="1"/>
                <c:pt idx="0">
                  <c:v>Education</c:v>
                </c:pt>
              </c:strCache>
            </c:strRef>
          </c:tx>
          <c:spPr>
            <a:solidFill>
              <a:srgbClr val="5BC500"/>
            </a:solidFill>
            <a:ln>
              <a:solidFill>
                <a:srgbClr val="5BC500"/>
              </a:solidFill>
            </a:ln>
            <a:effectLst/>
          </c:spP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Employment'!$B$1035:$K$1035</c:f>
              <c:numCache>
                <c:formatCode>General</c:formatCode>
                <c:ptCount val="10"/>
                <c:pt idx="0">
                  <c:v>2645.2</c:v>
                </c:pt>
                <c:pt idx="1">
                  <c:v>2622.9</c:v>
                </c:pt>
                <c:pt idx="2">
                  <c:v>2154</c:v>
                </c:pt>
                <c:pt idx="3">
                  <c:v>2557.4</c:v>
                </c:pt>
                <c:pt idx="4">
                  <c:v>2631.6</c:v>
                </c:pt>
                <c:pt idx="5">
                  <c:v>2666.3</c:v>
                </c:pt>
                <c:pt idx="6">
                  <c:v>2240.4</c:v>
                </c:pt>
                <c:pt idx="7">
                  <c:v>2634.4</c:v>
                </c:pt>
                <c:pt idx="8">
                  <c:v>2734.1</c:v>
                </c:pt>
                <c:pt idx="9">
                  <c:v>2746.7</c:v>
                </c:pt>
              </c:numCache>
            </c:numRef>
          </c:val>
          <c:extLst>
            <c:ext xmlns:c16="http://schemas.microsoft.com/office/drawing/2014/chart" uri="{C3380CC4-5D6E-409C-BE32-E72D297353CC}">
              <c16:uniqueId val="{0000000B-AC21-4792-AC50-205F1611A304}"/>
            </c:ext>
          </c:extLst>
        </c:ser>
        <c:ser>
          <c:idx val="12"/>
          <c:order val="12"/>
          <c:tx>
            <c:strRef>
              <c:f>'Temporary Employment'!$L$1036</c:f>
              <c:strCache>
                <c:ptCount val="1"/>
                <c:pt idx="0">
                  <c:v>Human health/social work</c:v>
                </c:pt>
              </c:strCache>
            </c:strRef>
          </c:tx>
          <c:spPr>
            <a:solidFill>
              <a:srgbClr val="455F60"/>
            </a:solidFill>
            <a:ln>
              <a:solidFill>
                <a:srgbClr val="455F60"/>
              </a:solidFill>
            </a:ln>
            <a:effectLst/>
          </c:spPr>
          <c:cat>
            <c:strRef>
              <c:f>'Temporary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'Temporary Employment'!$B$1036:$K$1036</c:f>
              <c:numCache>
                <c:formatCode>General</c:formatCode>
                <c:ptCount val="10"/>
                <c:pt idx="0">
                  <c:v>2988.3</c:v>
                </c:pt>
                <c:pt idx="1">
                  <c:v>3070.7</c:v>
                </c:pt>
                <c:pt idx="2">
                  <c:v>3126.3</c:v>
                </c:pt>
                <c:pt idx="3">
                  <c:v>3098</c:v>
                </c:pt>
                <c:pt idx="4">
                  <c:v>3040.4</c:v>
                </c:pt>
                <c:pt idx="5">
                  <c:v>3113.4</c:v>
                </c:pt>
                <c:pt idx="6">
                  <c:v>3204.3</c:v>
                </c:pt>
                <c:pt idx="7">
                  <c:v>3095.6</c:v>
                </c:pt>
                <c:pt idx="8">
                  <c:v>3126.6</c:v>
                </c:pt>
                <c:pt idx="9">
                  <c:v>3155</c:v>
                </c:pt>
              </c:numCache>
            </c:numRef>
          </c:val>
          <c:extLst>
            <c:ext xmlns:c16="http://schemas.microsoft.com/office/drawing/2014/chart" uri="{C3380CC4-5D6E-409C-BE32-E72D297353CC}">
              <c16:uniqueId val="{0000000C-AC21-4792-AC50-205F1611A304}"/>
            </c:ext>
          </c:extLst>
        </c:ser>
        <c:dLbls>
          <c:showLegendKey val="0"/>
          <c:showVal val="0"/>
          <c:showCatName val="0"/>
          <c:showSerName val="0"/>
          <c:showPercent val="0"/>
          <c:showBubbleSize val="0"/>
        </c:dLbls>
        <c:axId val="244303008"/>
        <c:axId val="244303400"/>
      </c:areaChart>
      <c:catAx>
        <c:axId val="24430300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2760000" spcFirstLastPara="1" vertOverflow="ellipsis" wrap="square" anchor="b" anchorCtr="0"/>
          <a:lstStyle/>
          <a:p>
            <a:pPr>
              <a:defRPr sz="1100" b="0" i="0" u="none" strike="noStrike" kern="1200" baseline="0">
                <a:solidFill>
                  <a:sysClr val="windowText" lastClr="000000"/>
                </a:solidFill>
                <a:latin typeface="+mn-lt"/>
                <a:ea typeface="+mn-ea"/>
                <a:cs typeface="+mn-cs"/>
              </a:defRPr>
            </a:pPr>
            <a:endParaRPr lang="en-US"/>
          </a:p>
        </c:txPr>
        <c:crossAx val="244303400"/>
        <c:crosses val="autoZero"/>
        <c:auto val="1"/>
        <c:lblAlgn val="ctr"/>
        <c:lblOffset val="50"/>
        <c:noMultiLvlLbl val="0"/>
      </c:catAx>
      <c:valAx>
        <c:axId val="244303400"/>
        <c:scaling>
          <c:orientation val="minMax"/>
        </c:scaling>
        <c:delete val="0"/>
        <c:axPos val="l"/>
        <c:majorGridlines>
          <c:spPr>
            <a:ln w="9525" cap="flat" cmpd="sng" algn="ctr">
              <a:solidFill>
                <a:schemeClr val="tx1">
                  <a:lumMod val="15000"/>
                  <a:lumOff val="85000"/>
                </a:schemeClr>
              </a:solidFill>
              <a:round/>
            </a:ln>
            <a:effectLst/>
          </c:spPr>
        </c:majorGridlines>
        <c:title>
          <c:tx>
            <c:strRef>
              <c:f>'Temporary Employment'!$P$8</c:f>
              <c:strCache>
                <c:ptCount val="1"/>
                <c:pt idx="0">
                  <c:v>Temp Employees (1000s)</c:v>
                </c:pt>
              </c:strCache>
            </c:strRef>
          </c:tx>
          <c:layout>
            <c:manualLayout>
              <c:xMode val="edge"/>
              <c:yMode val="edge"/>
              <c:x val="1.9502221307577255E-2"/>
              <c:y val="0.2875688976377952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4303008"/>
        <c:crossesAt val="1"/>
        <c:crossBetween val="midCat"/>
      </c:valAx>
      <c:spPr>
        <a:noFill/>
        <a:ln>
          <a:noFill/>
        </a:ln>
        <a:effectLst/>
      </c:spPr>
    </c:plotArea>
    <c:legend>
      <c:legendPos val="r"/>
      <c:layout>
        <c:manualLayout>
          <c:xMode val="edge"/>
          <c:yMode val="edge"/>
          <c:x val="0.70953634248197528"/>
          <c:y val="0.10501897703325598"/>
          <c:w val="0.29046352730716796"/>
          <c:h val="0.89263000893977928"/>
        </c:manualLayout>
      </c:layout>
      <c:overlay val="0"/>
      <c:spPr>
        <a:noFill/>
        <a:ln>
          <a:noFill/>
        </a:ln>
        <a:effectLst/>
      </c:spPr>
      <c:txPr>
        <a:bodyPr rot="0" spcFirstLastPara="1" vertOverflow="ellipsis" vert="horz" wrap="square" anchor="ctr" anchorCtr="1"/>
        <a:lstStyle/>
        <a:p>
          <a:pPr>
            <a:defRPr sz="87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'Agency Work'!$B$7</c:f>
          <c:strCache>
            <c:ptCount val="1"/>
            <c:pt idx="0">
              <c:v>Y/Y Change in Hours^ Worked by Temporary Agency Workers - Spain</c:v>
            </c:pt>
          </c:strCache>
        </c:strRef>
      </c:tx>
      <c:layout>
        <c:manualLayout>
          <c:xMode val="edge"/>
          <c:yMode val="edge"/>
          <c:x val="0.16775799891270007"/>
          <c:y val="1.618379696088682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6254463122689533"/>
          <c:y val="0.11901025644431591"/>
          <c:w val="0.79647963747341277"/>
          <c:h val="0.63139067631593659"/>
        </c:manualLayout>
      </c:layout>
      <c:barChart>
        <c:barDir val="col"/>
        <c:grouping val="clustered"/>
        <c:varyColors val="0"/>
        <c:ser>
          <c:idx val="0"/>
          <c:order val="0"/>
          <c:tx>
            <c:strRef>
              <c:f>'Agency Work'!$A$1003</c:f>
              <c:strCache>
                <c:ptCount val="1"/>
                <c:pt idx="0">
                  <c:v>Spain</c:v>
                </c:pt>
              </c:strCache>
            </c:strRef>
          </c:tx>
          <c:spPr>
            <a:solidFill>
              <a:srgbClr val="0057B8"/>
            </a:solidFill>
            <a:ln>
              <a:solidFill>
                <a:srgbClr val="0057B8"/>
              </a:solidFill>
            </a:ln>
            <a:effectLst/>
          </c:spPr>
          <c:invertIfNegative val="0"/>
          <c:cat>
            <c:numRef>
              <c:f>'Agency Work'!$C$1002:$BA$1002</c:f>
              <c:numCache>
                <c:formatCode>[$-409]mmm\-yy;@</c:formatCode>
                <c:ptCount val="51"/>
                <c:pt idx="0">
                  <c:v>41730</c:v>
                </c:pt>
                <c:pt idx="1">
                  <c:v>41760</c:v>
                </c:pt>
                <c:pt idx="2">
                  <c:v>41791</c:v>
                </c:pt>
                <c:pt idx="3">
                  <c:v>41821</c:v>
                </c:pt>
                <c:pt idx="4">
                  <c:v>41852</c:v>
                </c:pt>
                <c:pt idx="5">
                  <c:v>41883</c:v>
                </c:pt>
                <c:pt idx="6">
                  <c:v>41913</c:v>
                </c:pt>
                <c:pt idx="7">
                  <c:v>41944</c:v>
                </c:pt>
                <c:pt idx="8">
                  <c:v>41974</c:v>
                </c:pt>
                <c:pt idx="9">
                  <c:v>42005</c:v>
                </c:pt>
                <c:pt idx="10">
                  <c:v>42036</c:v>
                </c:pt>
                <c:pt idx="11">
                  <c:v>42064</c:v>
                </c:pt>
                <c:pt idx="12">
                  <c:v>42095</c:v>
                </c:pt>
                <c:pt idx="13">
                  <c:v>42125</c:v>
                </c:pt>
                <c:pt idx="14">
                  <c:v>42156</c:v>
                </c:pt>
                <c:pt idx="15">
                  <c:v>42186</c:v>
                </c:pt>
                <c:pt idx="16">
                  <c:v>42217</c:v>
                </c:pt>
                <c:pt idx="17">
                  <c:v>42248</c:v>
                </c:pt>
                <c:pt idx="18">
                  <c:v>42278</c:v>
                </c:pt>
                <c:pt idx="19">
                  <c:v>42309</c:v>
                </c:pt>
                <c:pt idx="20">
                  <c:v>42339</c:v>
                </c:pt>
                <c:pt idx="21">
                  <c:v>42370</c:v>
                </c:pt>
                <c:pt idx="22">
                  <c:v>42401</c:v>
                </c:pt>
                <c:pt idx="23">
                  <c:v>42430</c:v>
                </c:pt>
                <c:pt idx="24">
                  <c:v>42461</c:v>
                </c:pt>
                <c:pt idx="25">
                  <c:v>42491</c:v>
                </c:pt>
                <c:pt idx="26">
                  <c:v>42522</c:v>
                </c:pt>
                <c:pt idx="27">
                  <c:v>42552</c:v>
                </c:pt>
                <c:pt idx="28">
                  <c:v>42583</c:v>
                </c:pt>
                <c:pt idx="29">
                  <c:v>42614</c:v>
                </c:pt>
                <c:pt idx="30">
                  <c:v>42644</c:v>
                </c:pt>
                <c:pt idx="31">
                  <c:v>42675</c:v>
                </c:pt>
                <c:pt idx="32">
                  <c:v>42705</c:v>
                </c:pt>
                <c:pt idx="33">
                  <c:v>42736</c:v>
                </c:pt>
                <c:pt idx="34">
                  <c:v>42767</c:v>
                </c:pt>
                <c:pt idx="35">
                  <c:v>42795</c:v>
                </c:pt>
                <c:pt idx="36">
                  <c:v>42826</c:v>
                </c:pt>
                <c:pt idx="37">
                  <c:v>42856</c:v>
                </c:pt>
                <c:pt idx="38">
                  <c:v>42887</c:v>
                </c:pt>
                <c:pt idx="39">
                  <c:v>42917</c:v>
                </c:pt>
                <c:pt idx="40">
                  <c:v>42948</c:v>
                </c:pt>
                <c:pt idx="41">
                  <c:v>42979</c:v>
                </c:pt>
                <c:pt idx="42">
                  <c:v>43009</c:v>
                </c:pt>
                <c:pt idx="43">
                  <c:v>43040</c:v>
                </c:pt>
                <c:pt idx="44">
                  <c:v>43070</c:v>
                </c:pt>
                <c:pt idx="45">
                  <c:v>43101</c:v>
                </c:pt>
                <c:pt idx="46">
                  <c:v>43132</c:v>
                </c:pt>
                <c:pt idx="47">
                  <c:v>43160</c:v>
                </c:pt>
                <c:pt idx="48">
                  <c:v>43191</c:v>
                </c:pt>
                <c:pt idx="49">
                  <c:v>43221</c:v>
                </c:pt>
                <c:pt idx="50">
                  <c:v>43252</c:v>
                </c:pt>
              </c:numCache>
            </c:numRef>
          </c:cat>
          <c:val>
            <c:numRef>
              <c:f>'Agency Work'!$C$1003:$BA$1003</c:f>
              <c:numCache>
                <c:formatCode>0.0%</c:formatCode>
                <c:ptCount val="5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0.113</c:v>
                </c:pt>
                <c:pt idx="22">
                  <c:v>0.16</c:v>
                </c:pt>
                <c:pt idx="23">
                  <c:v>6.0999999999999999E-2</c:v>
                </c:pt>
                <c:pt idx="24">
                  <c:v>0.14599999999999999</c:v>
                </c:pt>
                <c:pt idx="25">
                  <c:v>9.5000000000000001E-2</c:v>
                </c:pt>
                <c:pt idx="26">
                  <c:v>-7.0000000000000001E-3</c:v>
                </c:pt>
                <c:pt idx="27">
                  <c:v>-1.2E-2</c:v>
                </c:pt>
                <c:pt idx="28">
                  <c:v>0.23100000000000001</c:v>
                </c:pt>
                <c:pt idx="29">
                  <c:v>0.109</c:v>
                </c:pt>
                <c:pt idx="30">
                  <c:v>0.02</c:v>
                </c:pt>
                <c:pt idx="31">
                  <c:v>0.122</c:v>
                </c:pt>
                <c:pt idx="32">
                  <c:v>8.8999999999999996E-2</c:v>
                </c:pt>
                <c:pt idx="33">
                  <c:v>0.14899999999999999</c:v>
                </c:pt>
                <c:pt idx="34">
                  <c:v>5.1999999999999998E-2</c:v>
                </c:pt>
                <c:pt idx="35">
                  <c:v>0.26</c:v>
                </c:pt>
                <c:pt idx="36">
                  <c:v>-1.7000000000000001E-2</c:v>
                </c:pt>
                <c:pt idx="37">
                  <c:v>0.182</c:v>
                </c:pt>
                <c:pt idx="38">
                  <c:v>0.14899999999999999</c:v>
                </c:pt>
                <c:pt idx="39">
                  <c:v>0.14000000000000001</c:v>
                </c:pt>
                <c:pt idx="40">
                  <c:v>2.7E-2</c:v>
                </c:pt>
                <c:pt idx="41">
                  <c:v>8.7999999999999995E-2</c:v>
                </c:pt>
                <c:pt idx="42">
                  <c:v>0.222</c:v>
                </c:pt>
                <c:pt idx="43">
                  <c:v>0.183</c:v>
                </c:pt>
                <c:pt idx="44">
                  <c:v>0.14099999999999999</c:v>
                </c:pt>
                <c:pt idx="45">
                  <c:v>0.182</c:v>
                </c:pt>
                <c:pt idx="46">
                  <c:v>0.152</c:v>
                </c:pt>
                <c:pt idx="47">
                  <c:v>-2.7E-2</c:v>
                </c:pt>
                <c:pt idx="48">
                  <c:v>0.219</c:v>
                </c:pt>
                <c:pt idx="49">
                  <c:v>0.02</c:v>
                </c:pt>
                <c:pt idx="50">
                  <c:v>8.9999999999999993E-3</c:v>
                </c:pt>
              </c:numCache>
            </c:numRef>
          </c:val>
          <c:extLst>
            <c:ext xmlns:c16="http://schemas.microsoft.com/office/drawing/2014/chart" uri="{C3380CC4-5D6E-409C-BE32-E72D297353CC}">
              <c16:uniqueId val="{00000000-8341-4CDC-A023-CB3DA5749F68}"/>
            </c:ext>
          </c:extLst>
        </c:ser>
        <c:dLbls>
          <c:showLegendKey val="0"/>
          <c:showVal val="0"/>
          <c:showCatName val="0"/>
          <c:showSerName val="0"/>
          <c:showPercent val="0"/>
          <c:showBubbleSize val="0"/>
        </c:dLbls>
        <c:gapWidth val="50"/>
        <c:axId val="244304968"/>
        <c:axId val="244305360"/>
      </c:barChart>
      <c:lineChart>
        <c:grouping val="standard"/>
        <c:varyColors val="0"/>
        <c:ser>
          <c:idx val="1"/>
          <c:order val="1"/>
          <c:tx>
            <c:strRef>
              <c:f>'Agency Work'!$A$1005</c:f>
              <c:strCache>
                <c:ptCount val="1"/>
                <c:pt idx="0">
                  <c:v>Europe</c:v>
                </c:pt>
              </c:strCache>
            </c:strRef>
          </c:tx>
          <c:spPr>
            <a:ln w="28575" cap="rnd">
              <a:solidFill>
                <a:srgbClr val="BA0C2F"/>
              </a:solidFill>
              <a:round/>
            </a:ln>
            <a:effectLst/>
          </c:spPr>
          <c:marker>
            <c:symbol val="none"/>
          </c:marker>
          <c:cat>
            <c:multiLvlStrRef>
              <c:f>'Agency Work'!$B$1002:$BA$1003</c:f>
              <c:multiLvlStrCache>
                <c:ptCount val="52"/>
                <c:lvl>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11.3%</c:v>
                  </c:pt>
                  <c:pt idx="23">
                    <c:v>16.0%</c:v>
                  </c:pt>
                  <c:pt idx="24">
                    <c:v>6.1%</c:v>
                  </c:pt>
                  <c:pt idx="25">
                    <c:v>14.6%</c:v>
                  </c:pt>
                  <c:pt idx="26">
                    <c:v>9.5%</c:v>
                  </c:pt>
                  <c:pt idx="27">
                    <c:v>-0.7%</c:v>
                  </c:pt>
                  <c:pt idx="28">
                    <c:v>-1.2%</c:v>
                  </c:pt>
                  <c:pt idx="29">
                    <c:v>23.1%</c:v>
                  </c:pt>
                  <c:pt idx="30">
                    <c:v>10.9%</c:v>
                  </c:pt>
                  <c:pt idx="31">
                    <c:v>2.0%</c:v>
                  </c:pt>
                  <c:pt idx="32">
                    <c:v>12.2%</c:v>
                  </c:pt>
                  <c:pt idx="33">
                    <c:v>8.9%</c:v>
                  </c:pt>
                  <c:pt idx="34">
                    <c:v>14.9%</c:v>
                  </c:pt>
                  <c:pt idx="35">
                    <c:v>5.2%</c:v>
                  </c:pt>
                  <c:pt idx="36">
                    <c:v>26.0%</c:v>
                  </c:pt>
                  <c:pt idx="37">
                    <c:v>-1.7%</c:v>
                  </c:pt>
                  <c:pt idx="38">
                    <c:v>18.2%</c:v>
                  </c:pt>
                  <c:pt idx="39">
                    <c:v>14.9%</c:v>
                  </c:pt>
                  <c:pt idx="40">
                    <c:v>14.0%</c:v>
                  </c:pt>
                  <c:pt idx="41">
                    <c:v>2.7%</c:v>
                  </c:pt>
                  <c:pt idx="42">
                    <c:v>8.8%</c:v>
                  </c:pt>
                  <c:pt idx="43">
                    <c:v>22.2%</c:v>
                  </c:pt>
                  <c:pt idx="44">
                    <c:v>18.3%</c:v>
                  </c:pt>
                  <c:pt idx="45">
                    <c:v>14.1%</c:v>
                  </c:pt>
                  <c:pt idx="46">
                    <c:v>18.2%</c:v>
                  </c:pt>
                  <c:pt idx="47">
                    <c:v>15.2%</c:v>
                  </c:pt>
                  <c:pt idx="48">
                    <c:v>-2.7%</c:v>
                  </c:pt>
                  <c:pt idx="49">
                    <c:v>21.9%</c:v>
                  </c:pt>
                  <c:pt idx="50">
                    <c:v>2.0%</c:v>
                  </c:pt>
                  <c:pt idx="51">
                    <c:v>0.9%</c:v>
                  </c:pt>
                </c:lvl>
                <c:lvl>
                  <c:pt idx="0">
                    <c:v>#REF!</c:v>
                  </c:pt>
                  <c:pt idx="1">
                    <c:v>Apr-14</c:v>
                  </c:pt>
                  <c:pt idx="2">
                    <c:v>May-14</c:v>
                  </c:pt>
                  <c:pt idx="3">
                    <c:v>Jun-14</c:v>
                  </c:pt>
                  <c:pt idx="4">
                    <c:v>Jul-14</c:v>
                  </c:pt>
                  <c:pt idx="5">
                    <c:v>Aug-14</c:v>
                  </c:pt>
                  <c:pt idx="6">
                    <c:v>Sep-14</c:v>
                  </c:pt>
                  <c:pt idx="7">
                    <c:v>Oct-14</c:v>
                  </c:pt>
                  <c:pt idx="8">
                    <c:v>Nov-14</c:v>
                  </c:pt>
                  <c:pt idx="9">
                    <c:v>Dec-14</c:v>
                  </c:pt>
                  <c:pt idx="10">
                    <c:v>Jan-15</c:v>
                  </c:pt>
                  <c:pt idx="11">
                    <c:v>Feb-15</c:v>
                  </c:pt>
                  <c:pt idx="12">
                    <c:v>Mar-15</c:v>
                  </c:pt>
                  <c:pt idx="13">
                    <c:v>Apr-15</c:v>
                  </c:pt>
                  <c:pt idx="14">
                    <c:v>May-15</c:v>
                  </c:pt>
                  <c:pt idx="15">
                    <c:v>Jun-15</c:v>
                  </c:pt>
                  <c:pt idx="16">
                    <c:v>Jul-15</c:v>
                  </c:pt>
                  <c:pt idx="17">
                    <c:v>Aug-15</c:v>
                  </c:pt>
                  <c:pt idx="18">
                    <c:v>Sep-15</c:v>
                  </c:pt>
                  <c:pt idx="19">
                    <c:v>Oct-15</c:v>
                  </c:pt>
                  <c:pt idx="20">
                    <c:v>Nov-15</c:v>
                  </c:pt>
                  <c:pt idx="21">
                    <c:v>Dec-15</c:v>
                  </c:pt>
                  <c:pt idx="22">
                    <c:v>Jan-16</c:v>
                  </c:pt>
                  <c:pt idx="23">
                    <c:v>Feb-16</c:v>
                  </c:pt>
                  <c:pt idx="24">
                    <c:v>Mar-16</c:v>
                  </c:pt>
                  <c:pt idx="25">
                    <c:v>Apr-16</c:v>
                  </c:pt>
                  <c:pt idx="26">
                    <c:v>May-16</c:v>
                  </c:pt>
                  <c:pt idx="27">
                    <c:v>Jun-16</c:v>
                  </c:pt>
                  <c:pt idx="28">
                    <c:v>Jul-16</c:v>
                  </c:pt>
                  <c:pt idx="29">
                    <c:v>Aug-16</c:v>
                  </c:pt>
                  <c:pt idx="30">
                    <c:v>Sep-16</c:v>
                  </c:pt>
                  <c:pt idx="31">
                    <c:v>Oct-16</c:v>
                  </c:pt>
                  <c:pt idx="32">
                    <c:v>Nov-16</c:v>
                  </c:pt>
                  <c:pt idx="33">
                    <c:v>Dec-16</c:v>
                  </c:pt>
                  <c:pt idx="34">
                    <c:v>Jan-17</c:v>
                  </c:pt>
                  <c:pt idx="35">
                    <c:v>Feb-17</c:v>
                  </c:pt>
                  <c:pt idx="36">
                    <c:v>Mar-17</c:v>
                  </c:pt>
                  <c:pt idx="37">
                    <c:v>Apr-17</c:v>
                  </c:pt>
                  <c:pt idx="38">
                    <c:v>May-17</c:v>
                  </c:pt>
                  <c:pt idx="39">
                    <c:v>Jun-17</c:v>
                  </c:pt>
                  <c:pt idx="40">
                    <c:v>Jul-17</c:v>
                  </c:pt>
                  <c:pt idx="41">
                    <c:v>Aug-17</c:v>
                  </c:pt>
                  <c:pt idx="42">
                    <c:v>Sep-17</c:v>
                  </c:pt>
                  <c:pt idx="43">
                    <c:v>Oct-17</c:v>
                  </c:pt>
                  <c:pt idx="44">
                    <c:v>Nov-17</c:v>
                  </c:pt>
                  <c:pt idx="45">
                    <c:v>Dec-17</c:v>
                  </c:pt>
                  <c:pt idx="46">
                    <c:v>Jan-18</c:v>
                  </c:pt>
                  <c:pt idx="47">
                    <c:v>Feb-18</c:v>
                  </c:pt>
                  <c:pt idx="48">
                    <c:v>Mar-18</c:v>
                  </c:pt>
                  <c:pt idx="49">
                    <c:v>Apr-18</c:v>
                  </c:pt>
                  <c:pt idx="50">
                    <c:v>May-18</c:v>
                  </c:pt>
                  <c:pt idx="51">
                    <c:v>Jun-18</c:v>
                  </c:pt>
                </c:lvl>
              </c:multiLvlStrCache>
            </c:multiLvlStrRef>
          </c:cat>
          <c:val>
            <c:numRef>
              <c:f>'Agency Work'!$B$1005:$BA$1005</c:f>
              <c:numCache>
                <c:formatCode>0.0%</c:formatCode>
                <c:ptCount val="52"/>
                <c:pt idx="0">
                  <c:v>0</c:v>
                </c:pt>
                <c:pt idx="1">
                  <c:v>4.8502990311759357E-2</c:v>
                </c:pt>
                <c:pt idx="2">
                  <c:v>3.4574418272867911E-2</c:v>
                </c:pt>
                <c:pt idx="3">
                  <c:v>4.600893328909713E-2</c:v>
                </c:pt>
                <c:pt idx="4">
                  <c:v>5.9724831981893586E-2</c:v>
                </c:pt>
                <c:pt idx="5">
                  <c:v>2.8960074334305582E-2</c:v>
                </c:pt>
                <c:pt idx="6">
                  <c:v>3.3985123481058852E-2</c:v>
                </c:pt>
                <c:pt idx="7">
                  <c:v>3.8030310313092661E-2</c:v>
                </c:pt>
                <c:pt idx="8">
                  <c:v>2.5916713548436353E-2</c:v>
                </c:pt>
                <c:pt idx="9">
                  <c:v>3.5271514998754042E-2</c:v>
                </c:pt>
                <c:pt idx="10">
                  <c:v>4.5330789579331981E-2</c:v>
                </c:pt>
                <c:pt idx="11">
                  <c:v>3.1710327160945621E-2</c:v>
                </c:pt>
                <c:pt idx="12">
                  <c:v>2.8976757666691055E-2</c:v>
                </c:pt>
                <c:pt idx="13">
                  <c:v>2.6278972407231201E-2</c:v>
                </c:pt>
                <c:pt idx="14">
                  <c:v>5.3789832394056936E-2</c:v>
                </c:pt>
                <c:pt idx="15">
                  <c:v>3.8297302636526448E-2</c:v>
                </c:pt>
                <c:pt idx="16">
                  <c:v>4.2445660550527363E-2</c:v>
                </c:pt>
                <c:pt idx="17">
                  <c:v>3.6392586657829844E-2</c:v>
                </c:pt>
                <c:pt idx="18">
                  <c:v>3.6225751138411789E-2</c:v>
                </c:pt>
                <c:pt idx="19">
                  <c:v>3.0671651728765157E-2</c:v>
                </c:pt>
                <c:pt idx="20">
                  <c:v>6.6726615526135027E-2</c:v>
                </c:pt>
                <c:pt idx="21">
                  <c:v>4.3512831827643976E-2</c:v>
                </c:pt>
                <c:pt idx="22">
                  <c:v>8.6452313319110033E-2</c:v>
                </c:pt>
                <c:pt idx="23">
                  <c:v>4.8070964653315229E-2</c:v>
                </c:pt>
                <c:pt idx="24">
                  <c:v>3.2943844251176885E-2</c:v>
                </c:pt>
                <c:pt idx="25">
                  <c:v>2.5819324143774237E-2</c:v>
                </c:pt>
                <c:pt idx="26">
                  <c:v>2.476876201648907E-2</c:v>
                </c:pt>
                <c:pt idx="27">
                  <c:v>0</c:v>
                </c:pt>
                <c:pt idx="28">
                  <c:v>4.1497797145867259E-2</c:v>
                </c:pt>
                <c:pt idx="29">
                  <c:v>0</c:v>
                </c:pt>
                <c:pt idx="30">
                  <c:v>3.5024656306037058E-2</c:v>
                </c:pt>
                <c:pt idx="31">
                  <c:v>4.2282496513249654E-2</c:v>
                </c:pt>
                <c:pt idx="32">
                  <c:v>4.7297888338868339E-2</c:v>
                </c:pt>
                <c:pt idx="33">
                  <c:v>5.3863997701369619E-2</c:v>
                </c:pt>
                <c:pt idx="34">
                  <c:v>8.1330466017077982E-2</c:v>
                </c:pt>
                <c:pt idx="35">
                  <c:v>7.532877258874035E-2</c:v>
                </c:pt>
                <c:pt idx="36">
                  <c:v>0.11428452605913589</c:v>
                </c:pt>
                <c:pt idx="37">
                  <c:v>8.4675592214591228E-2</c:v>
                </c:pt>
                <c:pt idx="38">
                  <c:v>9.5578963168459152E-2</c:v>
                </c:pt>
                <c:pt idx="39">
                  <c:v>0.12818137489879408</c:v>
                </c:pt>
                <c:pt idx="40">
                  <c:v>0.106602720422423</c:v>
                </c:pt>
                <c:pt idx="41">
                  <c:v>8.4035330727023377E-2</c:v>
                </c:pt>
                <c:pt idx="42">
                  <c:v>8.5937901397150296E-2</c:v>
                </c:pt>
                <c:pt idx="43">
                  <c:v>0.11754237283329305</c:v>
                </c:pt>
                <c:pt idx="44">
                  <c:v>0.11550000000000001</c:v>
                </c:pt>
                <c:pt idx="45">
                  <c:v>9.9000000000000005E-2</c:v>
                </c:pt>
                <c:pt idx="46">
                  <c:v>0.13</c:v>
                </c:pt>
                <c:pt idx="47">
                  <c:v>6.8500000000000005E-2</c:v>
                </c:pt>
                <c:pt idx="48">
                  <c:v>0.05</c:v>
                </c:pt>
                <c:pt idx="49">
                  <c:v>4.1900000000000007E-2</c:v>
                </c:pt>
                <c:pt idx="50">
                  <c:v>3.78E-2</c:v>
                </c:pt>
                <c:pt idx="51">
                  <c:v>1.6299999999999999E-2</c:v>
                </c:pt>
              </c:numCache>
            </c:numRef>
          </c:val>
          <c:smooth val="0"/>
          <c:extLst>
            <c:ext xmlns:c16="http://schemas.microsoft.com/office/drawing/2014/chart" uri="{C3380CC4-5D6E-409C-BE32-E72D297353CC}">
              <c16:uniqueId val="{00000001-8341-4CDC-A023-CB3DA5749F68}"/>
            </c:ext>
          </c:extLst>
        </c:ser>
        <c:dLbls>
          <c:showLegendKey val="0"/>
          <c:showVal val="0"/>
          <c:showCatName val="0"/>
          <c:showSerName val="0"/>
          <c:showPercent val="0"/>
          <c:showBubbleSize val="0"/>
        </c:dLbls>
        <c:marker val="1"/>
        <c:smooth val="0"/>
        <c:axId val="244304968"/>
        <c:axId val="244305360"/>
      </c:lineChart>
      <c:catAx>
        <c:axId val="244304968"/>
        <c:scaling>
          <c:orientation val="minMax"/>
        </c:scaling>
        <c:delete val="0"/>
        <c:axPos val="b"/>
        <c:numFmt formatCode="[$-409]mmm\-yy;@" sourceLinked="1"/>
        <c:majorTickMark val="out"/>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4305360"/>
        <c:crosses val="autoZero"/>
        <c:auto val="0"/>
        <c:lblAlgn val="ctr"/>
        <c:lblOffset val="50"/>
        <c:tickLblSkip val="3"/>
        <c:noMultiLvlLbl val="1"/>
      </c:catAx>
      <c:valAx>
        <c:axId val="244305360"/>
        <c:scaling>
          <c:orientation val="minMax"/>
        </c:scaling>
        <c:delete val="0"/>
        <c:axPos val="l"/>
        <c:majorGridlines>
          <c:spPr>
            <a:ln w="9525" cap="flat" cmpd="sng" algn="ctr">
              <a:solidFill>
                <a:schemeClr val="tx1">
                  <a:lumMod val="15000"/>
                  <a:lumOff val="85000"/>
                </a:schemeClr>
              </a:solidFill>
              <a:round/>
            </a:ln>
            <a:effectLst/>
          </c:spPr>
        </c:majorGridlines>
        <c:title>
          <c:tx>
            <c:strRef>
              <c:f>'Agency Work'!$B$8</c:f>
              <c:strCache>
                <c:ptCount val="1"/>
                <c:pt idx="0">
                  <c:v>Y/Y Change in Spain (%)</c:v>
                </c:pt>
              </c:strCache>
            </c:strRef>
          </c:tx>
          <c:layout>
            <c:manualLayout>
              <c:xMode val="edge"/>
              <c:yMode val="edge"/>
              <c:x val="1.317323503990033E-2"/>
              <c:y val="0.1164005924419782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4304968"/>
        <c:crosses val="autoZero"/>
        <c:crossBetween val="midCat"/>
      </c:valAx>
      <c:spPr>
        <a:noFill/>
        <a:ln>
          <a:noFill/>
        </a:ln>
        <a:effectLst/>
      </c:spPr>
    </c:plotArea>
    <c:legend>
      <c:legendPos val="b"/>
      <c:layout>
        <c:manualLayout>
          <c:xMode val="edge"/>
          <c:yMode val="edge"/>
          <c:x val="0.16788450943375083"/>
          <c:y val="0.92715826245074273"/>
          <c:w val="0.25257717294232201"/>
          <c:h val="7.284173754925722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'Total Employment'!$P$7</c:f>
          <c:strCache>
            <c:ptCount val="1"/>
            <c:pt idx="0">
              <c:v>Part-time workers as % of total employment - European Union (28 countries)</c:v>
            </c:pt>
          </c:strCache>
        </c:strRef>
      </c:tx>
      <c:layout>
        <c:manualLayout>
          <c:xMode val="edge"/>
          <c:yMode val="edge"/>
          <c:x val="0.20679196181558385"/>
          <c:y val="2.163758123956435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6375259341116674"/>
          <c:y val="0.21196589274042577"/>
          <c:w val="0.80492782330877977"/>
          <c:h val="0.59861069277463941"/>
        </c:manualLayout>
      </c:layout>
      <c:lineChart>
        <c:grouping val="standard"/>
        <c:varyColors val="0"/>
        <c:ser>
          <c:idx val="0"/>
          <c:order val="0"/>
          <c:tx>
            <c:strRef>
              <c:f>'Total Employment'!$A$1003</c:f>
              <c:strCache>
                <c:ptCount val="1"/>
                <c:pt idx="0">
                  <c:v>Part-time workers as % of total employment</c:v>
                </c:pt>
              </c:strCache>
            </c:strRef>
          </c:tx>
          <c:spPr>
            <a:ln w="28575" cap="rnd">
              <a:solidFill>
                <a:srgbClr val="0057B8"/>
              </a:solidFill>
              <a:round/>
            </a:ln>
            <a:effectLst/>
          </c:spPr>
          <c:marker>
            <c:symbol val="circle"/>
            <c:size val="5"/>
            <c:spPr>
              <a:solidFill>
                <a:srgbClr val="0057B8"/>
              </a:solidFill>
              <a:ln w="9525">
                <a:solidFill>
                  <a:srgbClr val="0057B8"/>
                </a:solidFill>
              </a:ln>
              <a:effectLst/>
            </c:spPr>
          </c:marker>
          <c:cat>
            <c:strRef>
              <c:f>'Total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'Total Employment'!$B$1003:$K$1003</c:f>
              <c:numCache>
                <c:formatCode>General</c:formatCode>
                <c:ptCount val="10"/>
                <c:pt idx="0">
                  <c:v>19.8</c:v>
                </c:pt>
                <c:pt idx="1">
                  <c:v>19.600000000000001</c:v>
                </c:pt>
                <c:pt idx="2">
                  <c:v>19.2</c:v>
                </c:pt>
                <c:pt idx="3">
                  <c:v>19.5</c:v>
                </c:pt>
                <c:pt idx="4">
                  <c:v>19.600000000000001</c:v>
                </c:pt>
                <c:pt idx="5">
                  <c:v>19.5</c:v>
                </c:pt>
                <c:pt idx="6">
                  <c:v>19.100000000000001</c:v>
                </c:pt>
                <c:pt idx="7">
                  <c:v>19.3</c:v>
                </c:pt>
                <c:pt idx="8">
                  <c:v>19.399999999999999</c:v>
                </c:pt>
                <c:pt idx="9">
                  <c:v>19.3</c:v>
                </c:pt>
              </c:numCache>
            </c:numRef>
          </c:val>
          <c:smooth val="0"/>
          <c:extLst>
            <c:ext xmlns:c16="http://schemas.microsoft.com/office/drawing/2014/chart" uri="{C3380CC4-5D6E-409C-BE32-E72D297353CC}">
              <c16:uniqueId val="{00000000-2C9C-4FBB-B2F3-81E282996260}"/>
            </c:ext>
          </c:extLst>
        </c:ser>
        <c:dLbls>
          <c:showLegendKey val="0"/>
          <c:showVal val="0"/>
          <c:showCatName val="0"/>
          <c:showSerName val="0"/>
          <c:showPercent val="0"/>
          <c:showBubbleSize val="0"/>
        </c:dLbls>
        <c:marker val="1"/>
        <c:smooth val="0"/>
        <c:axId val="240430832"/>
        <c:axId val="211685072"/>
      </c:lineChart>
      <c:catAx>
        <c:axId val="2404308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685072"/>
        <c:crosses val="autoZero"/>
        <c:auto val="1"/>
        <c:lblAlgn val="ctr"/>
        <c:lblOffset val="50"/>
        <c:tickLblSkip val="1"/>
        <c:noMultiLvlLbl val="0"/>
      </c:catAx>
      <c:valAx>
        <c:axId val="211685072"/>
        <c:scaling>
          <c:orientation val="minMax"/>
        </c:scaling>
        <c:delete val="0"/>
        <c:axPos val="l"/>
        <c:majorGridlines>
          <c:spPr>
            <a:ln w="9525" cap="flat" cmpd="sng" algn="ctr">
              <a:solidFill>
                <a:schemeClr val="tx1">
                  <a:lumMod val="15000"/>
                  <a:lumOff val="85000"/>
                </a:schemeClr>
              </a:solidFill>
              <a:round/>
            </a:ln>
            <a:effectLst/>
          </c:spPr>
        </c:majorGridlines>
        <c:title>
          <c:tx>
            <c:strRef>
              <c:f>'Total Employment'!$L$1003</c:f>
              <c:strCache>
                <c:ptCount val="1"/>
                <c:pt idx="0">
                  <c:v>Part-time workers (%)</c:v>
                </c:pt>
              </c:strCache>
            </c:strRef>
          </c:tx>
          <c:layout>
            <c:manualLayout>
              <c:xMode val="edge"/>
              <c:yMode val="edge"/>
              <c:x val="6.0589372247749828E-3"/>
              <c:y val="0.2704391308884554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0430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'Agency Work'!$M$7</c:f>
          <c:strCache>
            <c:ptCount val="1"/>
            <c:pt idx="0">
              <c:v>Y/Y Change in Temporary Agency Work Sales Turnover - Spain</c:v>
            </c:pt>
          </c:strCache>
        </c:strRef>
      </c:tx>
      <c:layout>
        <c:manualLayout>
          <c:xMode val="edge"/>
          <c:yMode val="edge"/>
          <c:x val="0.16775799891270007"/>
          <c:y val="1.618379696088682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6254463122689533"/>
          <c:y val="0.11901025644431591"/>
          <c:w val="0.81570434876593245"/>
          <c:h val="0.61338024085822551"/>
        </c:manualLayout>
      </c:layout>
      <c:barChart>
        <c:barDir val="col"/>
        <c:grouping val="clustered"/>
        <c:varyColors val="0"/>
        <c:ser>
          <c:idx val="1"/>
          <c:order val="0"/>
          <c:tx>
            <c:strRef>
              <c:f>'Agency Work'!$A$1004</c:f>
              <c:strCache>
                <c:ptCount val="1"/>
                <c:pt idx="0">
                  <c:v>Turnover</c:v>
                </c:pt>
              </c:strCache>
            </c:strRef>
          </c:tx>
          <c:spPr>
            <a:solidFill>
              <a:srgbClr val="0057B8"/>
            </a:solidFill>
            <a:ln>
              <a:solidFill>
                <a:srgbClr val="0057B8"/>
              </a:solidFill>
            </a:ln>
            <a:effectLst/>
          </c:spPr>
          <c:invertIfNegative val="0"/>
          <c:cat>
            <c:numRef>
              <c:f>'Agency Work'!$C$1002:$BA$1002</c:f>
              <c:numCache>
                <c:formatCode>[$-409]mmm\-yy;@</c:formatCode>
                <c:ptCount val="51"/>
                <c:pt idx="0">
                  <c:v>41730</c:v>
                </c:pt>
                <c:pt idx="1">
                  <c:v>41760</c:v>
                </c:pt>
                <c:pt idx="2">
                  <c:v>41791</c:v>
                </c:pt>
                <c:pt idx="3">
                  <c:v>41821</c:v>
                </c:pt>
                <c:pt idx="4">
                  <c:v>41852</c:v>
                </c:pt>
                <c:pt idx="5">
                  <c:v>41883</c:v>
                </c:pt>
                <c:pt idx="6">
                  <c:v>41913</c:v>
                </c:pt>
                <c:pt idx="7">
                  <c:v>41944</c:v>
                </c:pt>
                <c:pt idx="8">
                  <c:v>41974</c:v>
                </c:pt>
                <c:pt idx="9">
                  <c:v>42005</c:v>
                </c:pt>
                <c:pt idx="10">
                  <c:v>42036</c:v>
                </c:pt>
                <c:pt idx="11">
                  <c:v>42064</c:v>
                </c:pt>
                <c:pt idx="12">
                  <c:v>42095</c:v>
                </c:pt>
                <c:pt idx="13">
                  <c:v>42125</c:v>
                </c:pt>
                <c:pt idx="14">
                  <c:v>42156</c:v>
                </c:pt>
                <c:pt idx="15">
                  <c:v>42186</c:v>
                </c:pt>
                <c:pt idx="16">
                  <c:v>42217</c:v>
                </c:pt>
                <c:pt idx="17">
                  <c:v>42248</c:v>
                </c:pt>
                <c:pt idx="18">
                  <c:v>42278</c:v>
                </c:pt>
                <c:pt idx="19">
                  <c:v>42309</c:v>
                </c:pt>
                <c:pt idx="20">
                  <c:v>42339</c:v>
                </c:pt>
                <c:pt idx="21">
                  <c:v>42370</c:v>
                </c:pt>
                <c:pt idx="22">
                  <c:v>42401</c:v>
                </c:pt>
                <c:pt idx="23">
                  <c:v>42430</c:v>
                </c:pt>
                <c:pt idx="24">
                  <c:v>42461</c:v>
                </c:pt>
                <c:pt idx="25">
                  <c:v>42491</c:v>
                </c:pt>
                <c:pt idx="26">
                  <c:v>42522</c:v>
                </c:pt>
                <c:pt idx="27">
                  <c:v>42552</c:v>
                </c:pt>
                <c:pt idx="28">
                  <c:v>42583</c:v>
                </c:pt>
                <c:pt idx="29">
                  <c:v>42614</c:v>
                </c:pt>
                <c:pt idx="30">
                  <c:v>42644</c:v>
                </c:pt>
                <c:pt idx="31">
                  <c:v>42675</c:v>
                </c:pt>
                <c:pt idx="32">
                  <c:v>42705</c:v>
                </c:pt>
                <c:pt idx="33">
                  <c:v>42736</c:v>
                </c:pt>
                <c:pt idx="34">
                  <c:v>42767</c:v>
                </c:pt>
                <c:pt idx="35">
                  <c:v>42795</c:v>
                </c:pt>
                <c:pt idx="36">
                  <c:v>42826</c:v>
                </c:pt>
                <c:pt idx="37">
                  <c:v>42856</c:v>
                </c:pt>
                <c:pt idx="38">
                  <c:v>42887</c:v>
                </c:pt>
                <c:pt idx="39">
                  <c:v>42917</c:v>
                </c:pt>
                <c:pt idx="40">
                  <c:v>42948</c:v>
                </c:pt>
                <c:pt idx="41">
                  <c:v>42979</c:v>
                </c:pt>
                <c:pt idx="42">
                  <c:v>43009</c:v>
                </c:pt>
                <c:pt idx="43">
                  <c:v>43040</c:v>
                </c:pt>
                <c:pt idx="44">
                  <c:v>43070</c:v>
                </c:pt>
                <c:pt idx="45">
                  <c:v>43101</c:v>
                </c:pt>
                <c:pt idx="46">
                  <c:v>43132</c:v>
                </c:pt>
                <c:pt idx="47">
                  <c:v>43160</c:v>
                </c:pt>
                <c:pt idx="48">
                  <c:v>43191</c:v>
                </c:pt>
                <c:pt idx="49">
                  <c:v>43221</c:v>
                </c:pt>
                <c:pt idx="50">
                  <c:v>43252</c:v>
                </c:pt>
              </c:numCache>
            </c:numRef>
          </c:cat>
          <c:val>
            <c:numRef>
              <c:f>'Agency Work'!$C$1004:$BA$1004</c:f>
              <c:numCache>
                <c:formatCode>0.0%</c:formatCode>
                <c:ptCount val="5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0.13500000000000001</c:v>
                </c:pt>
                <c:pt idx="22">
                  <c:v>0.17499999999999999</c:v>
                </c:pt>
                <c:pt idx="23">
                  <c:v>9.5000000000000001E-2</c:v>
                </c:pt>
                <c:pt idx="24">
                  <c:v>0.184</c:v>
                </c:pt>
                <c:pt idx="25">
                  <c:v>0.112</c:v>
                </c:pt>
                <c:pt idx="26">
                  <c:v>7.2999999999999995E-2</c:v>
                </c:pt>
                <c:pt idx="27">
                  <c:v>1.4E-2</c:v>
                </c:pt>
                <c:pt idx="28">
                  <c:v>0.16400000000000001</c:v>
                </c:pt>
                <c:pt idx="29">
                  <c:v>0.111</c:v>
                </c:pt>
                <c:pt idx="30">
                  <c:v>7.0999999999999994E-2</c:v>
                </c:pt>
                <c:pt idx="31">
                  <c:v>0.159</c:v>
                </c:pt>
                <c:pt idx="32">
                  <c:v>0.10100000000000001</c:v>
                </c:pt>
                <c:pt idx="33">
                  <c:v>0.17399999999999999</c:v>
                </c:pt>
                <c:pt idx="34">
                  <c:v>0.1</c:v>
                </c:pt>
                <c:pt idx="35">
                  <c:v>0.216</c:v>
                </c:pt>
                <c:pt idx="36">
                  <c:v>0.04</c:v>
                </c:pt>
                <c:pt idx="37">
                  <c:v>0.247</c:v>
                </c:pt>
                <c:pt idx="38">
                  <c:v>0.18</c:v>
                </c:pt>
                <c:pt idx="39">
                  <c:v>0.19600000000000001</c:v>
                </c:pt>
                <c:pt idx="40">
                  <c:v>0.153</c:v>
                </c:pt>
                <c:pt idx="41">
                  <c:v>0.14399999999999999</c:v>
                </c:pt>
                <c:pt idx="42">
                  <c:v>0.24199999999999999</c:v>
                </c:pt>
                <c:pt idx="43">
                  <c:v>0.19800000000000001</c:v>
                </c:pt>
                <c:pt idx="44">
                  <c:v>0.14499999999999999</c:v>
                </c:pt>
                <c:pt idx="45">
                  <c:v>0.20200000000000001</c:v>
                </c:pt>
                <c:pt idx="46">
                  <c:v>0.14899999999999999</c:v>
                </c:pt>
                <c:pt idx="47">
                  <c:v>6.5000000000000002E-2</c:v>
                </c:pt>
                <c:pt idx="48">
                  <c:v>0.20100000000000001</c:v>
                </c:pt>
                <c:pt idx="49">
                  <c:v>7.3999999999999996E-2</c:v>
                </c:pt>
                <c:pt idx="50">
                  <c:v>4.2999999999999997E-2</c:v>
                </c:pt>
              </c:numCache>
            </c:numRef>
          </c:val>
          <c:extLst>
            <c:ext xmlns:c16="http://schemas.microsoft.com/office/drawing/2014/chart" uri="{C3380CC4-5D6E-409C-BE32-E72D297353CC}">
              <c16:uniqueId val="{00000000-519E-4548-B81F-7B964AAF9846}"/>
            </c:ext>
          </c:extLst>
        </c:ser>
        <c:dLbls>
          <c:showLegendKey val="0"/>
          <c:showVal val="0"/>
          <c:showCatName val="0"/>
          <c:showSerName val="0"/>
          <c:showPercent val="0"/>
          <c:showBubbleSize val="0"/>
        </c:dLbls>
        <c:gapWidth val="50"/>
        <c:axId val="136174104"/>
        <c:axId val="136174496"/>
      </c:barChart>
      <c:catAx>
        <c:axId val="136174104"/>
        <c:scaling>
          <c:orientation val="minMax"/>
        </c:scaling>
        <c:delete val="0"/>
        <c:axPos val="b"/>
        <c:numFmt formatCode="[$-409]mmm\-yy;@" sourceLinked="1"/>
        <c:majorTickMark val="none"/>
        <c:minorTickMark val="in"/>
        <c:tickLblPos val="low"/>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174496"/>
        <c:crosses val="autoZero"/>
        <c:auto val="0"/>
        <c:lblAlgn val="ctr"/>
        <c:lblOffset val="0"/>
        <c:tickLblSkip val="3"/>
        <c:noMultiLvlLbl val="1"/>
      </c:catAx>
      <c:valAx>
        <c:axId val="136174496"/>
        <c:scaling>
          <c:orientation val="minMax"/>
        </c:scaling>
        <c:delete val="0"/>
        <c:axPos val="l"/>
        <c:majorGridlines>
          <c:spPr>
            <a:ln w="9525" cap="flat" cmpd="sng" algn="ctr">
              <a:solidFill>
                <a:schemeClr val="tx1">
                  <a:lumMod val="15000"/>
                  <a:lumOff val="85000"/>
                </a:schemeClr>
              </a:solidFill>
              <a:round/>
            </a:ln>
            <a:effectLst/>
          </c:spPr>
        </c:majorGridlines>
        <c:title>
          <c:tx>
            <c:strRef>
              <c:f>'Agency Work'!$M$8</c:f>
              <c:strCache>
                <c:ptCount val="1"/>
                <c:pt idx="0">
                  <c:v>Y/Y Change in Turnover (%)**</c:v>
                </c:pt>
              </c:strCache>
            </c:strRef>
          </c:tx>
          <c:layout>
            <c:manualLayout>
              <c:xMode val="edge"/>
              <c:yMode val="edge"/>
              <c:x val="1.317323503990033E-2"/>
              <c:y val="0.1164005924419782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low"/>
        <c:spPr>
          <a:noFill/>
          <a:ln>
            <a:solidFill>
              <a:schemeClr val="tx1"/>
            </a:solidFill>
          </a:ln>
          <a:effectLst/>
        </c:spPr>
        <c:txPr>
          <a:bodyPr rot="-60000000" spcFirstLastPara="1" vertOverflow="ellipsis" vert="horz" wrap="square" anchor="ctr" anchorCtr="0"/>
          <a:lstStyle/>
          <a:p>
            <a:pPr>
              <a:defRPr sz="1200" b="0" i="0" u="none" strike="noStrike" kern="1200" baseline="0">
                <a:solidFill>
                  <a:sysClr val="windowText" lastClr="000000"/>
                </a:solidFill>
                <a:latin typeface="+mn-lt"/>
                <a:ea typeface="+mn-ea"/>
                <a:cs typeface="+mn-cs"/>
              </a:defRPr>
            </a:pPr>
            <a:endParaRPr lang="en-US"/>
          </a:p>
        </c:txPr>
        <c:crossAx val="13617410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'Agency Work with correlation_2'!$B$7</c:f>
          <c:strCache>
            <c:ptCount val="1"/>
            <c:pt idx="0">
              <c:v>Y / Y Change in Hours^ Worked by Agency Workers - Finland</c:v>
            </c:pt>
          </c:strCache>
        </c:strRef>
      </c:tx>
      <c:layout>
        <c:manualLayout>
          <c:xMode val="edge"/>
          <c:yMode val="edge"/>
          <c:x val="0.167757967112179"/>
          <c:y val="7.8060088390697569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6254463122689533"/>
          <c:y val="0.11901025644431591"/>
          <c:w val="0.79647963747341277"/>
          <c:h val="0.63139067631593659"/>
        </c:manualLayout>
      </c:layout>
      <c:lineChart>
        <c:grouping val="standard"/>
        <c:varyColors val="0"/>
        <c:ser>
          <c:idx val="0"/>
          <c:order val="0"/>
          <c:tx>
            <c:strRef>
              <c:f>'Agency Work with correlation_2'!$A$1005</c:f>
              <c:strCache>
                <c:ptCount val="1"/>
                <c:pt idx="0">
                  <c:v>Hours Worked</c:v>
                </c:pt>
              </c:strCache>
            </c:strRef>
          </c:tx>
          <c:spPr>
            <a:ln w="28575" cap="rnd">
              <a:solidFill>
                <a:srgbClr val="0057B8"/>
              </a:solidFill>
              <a:round/>
            </a:ln>
            <a:effectLst/>
          </c:spPr>
          <c:marker>
            <c:symbol val="none"/>
          </c:marker>
          <c:cat>
            <c:numRef>
              <c:f>'Agency Work with correlation_2'!$B$1004:$AY$1004</c:f>
              <c:numCache>
                <c:formatCode>0.0%</c:formatCode>
                <c:ptCount val="50"/>
                <c:pt idx="2" formatCode="[$-409]mmm\-yy;@">
                  <c:v>0</c:v>
                </c:pt>
                <c:pt idx="3" formatCode="[$-409]mmm\-yy;@">
                  <c:v>0</c:v>
                </c:pt>
                <c:pt idx="4" formatCode="[$-409]mmm\-yy;@">
                  <c:v>0</c:v>
                </c:pt>
                <c:pt idx="5" formatCode="[$-409]mmm\-yy;@">
                  <c:v>0</c:v>
                </c:pt>
                <c:pt idx="6" formatCode="[$-409]mmm\-yy;@">
                  <c:v>0</c:v>
                </c:pt>
                <c:pt idx="7" formatCode="[$-409]mmm\-yy;@">
                  <c:v>0</c:v>
                </c:pt>
                <c:pt idx="8" formatCode="[$-409]mmm\-yy;@">
                  <c:v>41730</c:v>
                </c:pt>
                <c:pt idx="9" formatCode="[$-409]mmm\-yy;@">
                  <c:v>41760</c:v>
                </c:pt>
                <c:pt idx="10" formatCode="[$-409]mmm\-yy;@">
                  <c:v>41791</c:v>
                </c:pt>
                <c:pt idx="11" formatCode="[$-409]mmm\-yy;@">
                  <c:v>41821</c:v>
                </c:pt>
                <c:pt idx="12" formatCode="[$-409]mmm\-yy;@">
                  <c:v>41852</c:v>
                </c:pt>
                <c:pt idx="13" formatCode="[$-409]mmm\-yy;@">
                  <c:v>41883</c:v>
                </c:pt>
                <c:pt idx="14" formatCode="[$-409]mmm\-yy;@">
                  <c:v>41913</c:v>
                </c:pt>
                <c:pt idx="15" formatCode="[$-409]mmm\-yy;@">
                  <c:v>41944</c:v>
                </c:pt>
                <c:pt idx="16" formatCode="[$-409]mmm\-yy;@">
                  <c:v>41974</c:v>
                </c:pt>
                <c:pt idx="17" formatCode="[$-409]mmm\-yy;@">
                  <c:v>42005</c:v>
                </c:pt>
                <c:pt idx="18" formatCode="[$-409]mmm\-yy;@">
                  <c:v>42036</c:v>
                </c:pt>
                <c:pt idx="19" formatCode="[$-409]mmm\-yy;@">
                  <c:v>42064</c:v>
                </c:pt>
                <c:pt idx="20" formatCode="[$-409]mmm\-yy;@">
                  <c:v>42095</c:v>
                </c:pt>
                <c:pt idx="21" formatCode="[$-409]mmm\-yy;@">
                  <c:v>42125</c:v>
                </c:pt>
                <c:pt idx="22" formatCode="[$-409]mmm\-yy;@">
                  <c:v>42156</c:v>
                </c:pt>
                <c:pt idx="23" formatCode="[$-409]mmm\-yy;@">
                  <c:v>42186</c:v>
                </c:pt>
                <c:pt idx="24" formatCode="[$-409]mmm\-yy;@">
                  <c:v>42217</c:v>
                </c:pt>
                <c:pt idx="25" formatCode="[$-409]mmm\-yy;@">
                  <c:v>42248</c:v>
                </c:pt>
                <c:pt idx="26" formatCode="[$-409]mmm\-yy;@">
                  <c:v>42278</c:v>
                </c:pt>
                <c:pt idx="27" formatCode="[$-409]mmm\-yy;@">
                  <c:v>42309</c:v>
                </c:pt>
                <c:pt idx="28" formatCode="[$-409]mmm\-yy;@">
                  <c:v>42339</c:v>
                </c:pt>
                <c:pt idx="29" formatCode="[$-409]mmm\-yy;@">
                  <c:v>42370</c:v>
                </c:pt>
                <c:pt idx="30" formatCode="[$-409]mmm\-yy;@">
                  <c:v>42401</c:v>
                </c:pt>
                <c:pt idx="31" formatCode="[$-409]mmm\-yy;@">
                  <c:v>42430</c:v>
                </c:pt>
                <c:pt idx="32" formatCode="[$-409]mmm\-yy;@">
                  <c:v>42461</c:v>
                </c:pt>
                <c:pt idx="33" formatCode="[$-409]mmm\-yy;@">
                  <c:v>42491</c:v>
                </c:pt>
                <c:pt idx="34" formatCode="[$-409]mmm\-yy;@">
                  <c:v>42522</c:v>
                </c:pt>
                <c:pt idx="35" formatCode="[$-409]mmm\-yy;@">
                  <c:v>42552</c:v>
                </c:pt>
                <c:pt idx="36" formatCode="[$-409]mmm\-yy;@">
                  <c:v>42583</c:v>
                </c:pt>
                <c:pt idx="37" formatCode="[$-409]mmm\-yy;@">
                  <c:v>42614</c:v>
                </c:pt>
                <c:pt idx="38" formatCode="[$-409]mmm\-yy;@">
                  <c:v>42644</c:v>
                </c:pt>
                <c:pt idx="39" formatCode="[$-409]mmm\-yy;@">
                  <c:v>42675</c:v>
                </c:pt>
                <c:pt idx="40" formatCode="[$-409]mmm\-yy;@">
                  <c:v>42705</c:v>
                </c:pt>
                <c:pt idx="41" formatCode="[$-409]mmm\-yy;@">
                  <c:v>42736</c:v>
                </c:pt>
                <c:pt idx="42" formatCode="[$-409]mmm\-yy;@">
                  <c:v>42767</c:v>
                </c:pt>
                <c:pt idx="43" formatCode="[$-409]mmm\-yy;@">
                  <c:v>42795</c:v>
                </c:pt>
                <c:pt idx="44" formatCode="[$-409]mmm\-yy;@">
                  <c:v>42826</c:v>
                </c:pt>
                <c:pt idx="45" formatCode="[$-409]mmm\-yy;@">
                  <c:v>42856</c:v>
                </c:pt>
                <c:pt idx="46" formatCode="[$-409]mmm\-yy;@">
                  <c:v>42887</c:v>
                </c:pt>
                <c:pt idx="47" formatCode="[$-409]mmm\-yy;@">
                  <c:v>42917</c:v>
                </c:pt>
                <c:pt idx="48" formatCode="[$-409]mmm\-yy;@">
                  <c:v>42948</c:v>
                </c:pt>
                <c:pt idx="49" formatCode="[$-409]mmm\-yy;@">
                  <c:v>42979</c:v>
                </c:pt>
              </c:numCache>
            </c:numRef>
          </c:cat>
          <c:val>
            <c:numRef>
              <c:f>'Agency Work with correlation_2'!$B$1005:$AY$1005</c:f>
              <c:numCache>
                <c:formatCode>0.0%</c:formatCode>
                <c:ptCount val="50"/>
                <c:pt idx="2" formatCode="0%">
                  <c:v>#N/A</c:v>
                </c:pt>
                <c:pt idx="3" formatCode="0%">
                  <c:v>#N/A</c:v>
                </c:pt>
                <c:pt idx="4" formatCode="0%">
                  <c:v>#N/A</c:v>
                </c:pt>
                <c:pt idx="5" formatCode="0%">
                  <c:v>#N/A</c:v>
                </c:pt>
                <c:pt idx="6" formatCode="0%">
                  <c:v>#N/A</c:v>
                </c:pt>
                <c:pt idx="7" formatCode="0%">
                  <c:v>#N/A</c:v>
                </c:pt>
                <c:pt idx="8" formatCode="0%">
                  <c:v>#N/A</c:v>
                </c:pt>
                <c:pt idx="9" formatCode="0%">
                  <c:v>#N/A</c:v>
                </c:pt>
                <c:pt idx="10" formatCode="0%">
                  <c:v>#N/A</c:v>
                </c:pt>
                <c:pt idx="11" formatCode="0%">
                  <c:v>0.13367647390067527</c:v>
                </c:pt>
                <c:pt idx="12" formatCode="0%">
                  <c:v>0.113</c:v>
                </c:pt>
                <c:pt idx="13" formatCode="0%">
                  <c:v>0.11600000000000001</c:v>
                </c:pt>
                <c:pt idx="14" formatCode="0%">
                  <c:v>0.111</c:v>
                </c:pt>
                <c:pt idx="15" formatCode="0%">
                  <c:v>2.7E-2</c:v>
                </c:pt>
                <c:pt idx="16" formatCode="0%">
                  <c:v>6.5000000000000002E-2</c:v>
                </c:pt>
                <c:pt idx="17" formatCode="0%">
                  <c:v>5.6000000000000001E-2</c:v>
                </c:pt>
                <c:pt idx="18" formatCode="0%">
                  <c:v>0.06</c:v>
                </c:pt>
                <c:pt idx="19" formatCode="0%">
                  <c:v>2.5999999999999999E-2</c:v>
                </c:pt>
                <c:pt idx="20" formatCode="0%">
                  <c:v>8.762160526644136E-3</c:v>
                </c:pt>
                <c:pt idx="21" formatCode="0%">
                  <c:v>0.11076811517686136</c:v>
                </c:pt>
                <c:pt idx="22" formatCode="0%">
                  <c:v>0.123</c:v>
                </c:pt>
                <c:pt idx="23" formatCode="0%">
                  <c:v>#N/A</c:v>
                </c:pt>
                <c:pt idx="24" formatCode="0%">
                  <c:v>0.12300000000000001</c:v>
                </c:pt>
                <c:pt idx="25" formatCode="0%">
                  <c:v>0.12</c:v>
                </c:pt>
                <c:pt idx="26" formatCode="0%">
                  <c:v>#N/A</c:v>
                </c:pt>
                <c:pt idx="27" formatCode="0%">
                  <c:v>#N/A</c:v>
                </c:pt>
                <c:pt idx="28" formatCode="0%">
                  <c:v>#N/A</c:v>
                </c:pt>
                <c:pt idx="29" formatCode="0%">
                  <c:v>#N/A</c:v>
                </c:pt>
                <c:pt idx="30" formatCode="0%">
                  <c:v>#N/A</c:v>
                </c:pt>
                <c:pt idx="31" formatCode="0%">
                  <c:v>#N/A</c:v>
                </c:pt>
                <c:pt idx="32" formatCode="0%">
                  <c:v>#N/A</c:v>
                </c:pt>
                <c:pt idx="33" formatCode="0%">
                  <c:v>#N/A</c:v>
                </c:pt>
                <c:pt idx="34" formatCode="0%">
                  <c:v>#N/A</c:v>
                </c:pt>
                <c:pt idx="35" formatCode="0%">
                  <c:v>0.27600000000000002</c:v>
                </c:pt>
                <c:pt idx="36" formatCode="0%">
                  <c:v>0.17499999999999999</c:v>
                </c:pt>
                <c:pt idx="37" formatCode="0%">
                  <c:v>0.24299999999999999</c:v>
                </c:pt>
                <c:pt idx="38" formatCode="0%">
                  <c:v>0.109</c:v>
                </c:pt>
                <c:pt idx="39" formatCode="0%">
                  <c:v>0.18</c:v>
                </c:pt>
                <c:pt idx="40" formatCode="0%">
                  <c:v>0.21199999999999999</c:v>
                </c:pt>
                <c:pt idx="41" formatCode="0%">
                  <c:v>0.19600000000000001</c:v>
                </c:pt>
                <c:pt idx="42" formatCode="0%">
                  <c:v>0.10800000000000001</c:v>
                </c:pt>
                <c:pt idx="43" formatCode="0%">
                  <c:v>0.19899999999999998</c:v>
                </c:pt>
                <c:pt idx="44" formatCode="0%">
                  <c:v>#N/A</c:v>
                </c:pt>
                <c:pt idx="45" formatCode="0%">
                  <c:v>#N/A</c:v>
                </c:pt>
                <c:pt idx="46" formatCode="0%">
                  <c:v>#N/A</c:v>
                </c:pt>
                <c:pt idx="47" formatCode="0%">
                  <c:v>#N/A</c:v>
                </c:pt>
                <c:pt idx="48" formatCode="0%">
                  <c:v>#N/A</c:v>
                </c:pt>
                <c:pt idx="49" formatCode="0%">
                  <c:v>#N/A</c:v>
                </c:pt>
              </c:numCache>
            </c:numRef>
          </c:val>
          <c:smooth val="0"/>
          <c:extLst>
            <c:ext xmlns:c16="http://schemas.microsoft.com/office/drawing/2014/chart" uri="{C3380CC4-5D6E-409C-BE32-E72D297353CC}">
              <c16:uniqueId val="{00000000-3135-4EC7-8EE9-6ED079AD3B12}"/>
            </c:ext>
          </c:extLst>
        </c:ser>
        <c:ser>
          <c:idx val="1"/>
          <c:order val="1"/>
          <c:tx>
            <c:strRef>
              <c:f>'Agency Work with correlation_2'!$A$1007</c:f>
              <c:strCache>
                <c:ptCount val="1"/>
                <c:pt idx="0">
                  <c:v>Hours worked - Europe</c:v>
                </c:pt>
              </c:strCache>
            </c:strRef>
          </c:tx>
          <c:spPr>
            <a:ln w="28575" cap="rnd">
              <a:solidFill>
                <a:srgbClr val="BA0C2F"/>
              </a:solidFill>
              <a:round/>
            </a:ln>
            <a:effectLst/>
          </c:spPr>
          <c:marker>
            <c:symbol val="none"/>
          </c:marker>
          <c:cat>
            <c:numRef>
              <c:f>'Agency Work with correlation_2'!$B$1004:$AY$1004</c:f>
              <c:numCache>
                <c:formatCode>0.0%</c:formatCode>
                <c:ptCount val="50"/>
                <c:pt idx="2" formatCode="[$-409]mmm\-yy;@">
                  <c:v>0</c:v>
                </c:pt>
                <c:pt idx="3" formatCode="[$-409]mmm\-yy;@">
                  <c:v>0</c:v>
                </c:pt>
                <c:pt idx="4" formatCode="[$-409]mmm\-yy;@">
                  <c:v>0</c:v>
                </c:pt>
                <c:pt idx="5" formatCode="[$-409]mmm\-yy;@">
                  <c:v>0</c:v>
                </c:pt>
                <c:pt idx="6" formatCode="[$-409]mmm\-yy;@">
                  <c:v>0</c:v>
                </c:pt>
                <c:pt idx="7" formatCode="[$-409]mmm\-yy;@">
                  <c:v>0</c:v>
                </c:pt>
                <c:pt idx="8" formatCode="[$-409]mmm\-yy;@">
                  <c:v>41730</c:v>
                </c:pt>
                <c:pt idx="9" formatCode="[$-409]mmm\-yy;@">
                  <c:v>41760</c:v>
                </c:pt>
                <c:pt idx="10" formatCode="[$-409]mmm\-yy;@">
                  <c:v>41791</c:v>
                </c:pt>
                <c:pt idx="11" formatCode="[$-409]mmm\-yy;@">
                  <c:v>41821</c:v>
                </c:pt>
                <c:pt idx="12" formatCode="[$-409]mmm\-yy;@">
                  <c:v>41852</c:v>
                </c:pt>
                <c:pt idx="13" formatCode="[$-409]mmm\-yy;@">
                  <c:v>41883</c:v>
                </c:pt>
                <c:pt idx="14" formatCode="[$-409]mmm\-yy;@">
                  <c:v>41913</c:v>
                </c:pt>
                <c:pt idx="15" formatCode="[$-409]mmm\-yy;@">
                  <c:v>41944</c:v>
                </c:pt>
                <c:pt idx="16" formatCode="[$-409]mmm\-yy;@">
                  <c:v>41974</c:v>
                </c:pt>
                <c:pt idx="17" formatCode="[$-409]mmm\-yy;@">
                  <c:v>42005</c:v>
                </c:pt>
                <c:pt idx="18" formatCode="[$-409]mmm\-yy;@">
                  <c:v>42036</c:v>
                </c:pt>
                <c:pt idx="19" formatCode="[$-409]mmm\-yy;@">
                  <c:v>42064</c:v>
                </c:pt>
                <c:pt idx="20" formatCode="[$-409]mmm\-yy;@">
                  <c:v>42095</c:v>
                </c:pt>
                <c:pt idx="21" formatCode="[$-409]mmm\-yy;@">
                  <c:v>42125</c:v>
                </c:pt>
                <c:pt idx="22" formatCode="[$-409]mmm\-yy;@">
                  <c:v>42156</c:v>
                </c:pt>
                <c:pt idx="23" formatCode="[$-409]mmm\-yy;@">
                  <c:v>42186</c:v>
                </c:pt>
                <c:pt idx="24" formatCode="[$-409]mmm\-yy;@">
                  <c:v>42217</c:v>
                </c:pt>
                <c:pt idx="25" formatCode="[$-409]mmm\-yy;@">
                  <c:v>42248</c:v>
                </c:pt>
                <c:pt idx="26" formatCode="[$-409]mmm\-yy;@">
                  <c:v>42278</c:v>
                </c:pt>
                <c:pt idx="27" formatCode="[$-409]mmm\-yy;@">
                  <c:v>42309</c:v>
                </c:pt>
                <c:pt idx="28" formatCode="[$-409]mmm\-yy;@">
                  <c:v>42339</c:v>
                </c:pt>
                <c:pt idx="29" formatCode="[$-409]mmm\-yy;@">
                  <c:v>42370</c:v>
                </c:pt>
                <c:pt idx="30" formatCode="[$-409]mmm\-yy;@">
                  <c:v>42401</c:v>
                </c:pt>
                <c:pt idx="31" formatCode="[$-409]mmm\-yy;@">
                  <c:v>42430</c:v>
                </c:pt>
                <c:pt idx="32" formatCode="[$-409]mmm\-yy;@">
                  <c:v>42461</c:v>
                </c:pt>
                <c:pt idx="33" formatCode="[$-409]mmm\-yy;@">
                  <c:v>42491</c:v>
                </c:pt>
                <c:pt idx="34" formatCode="[$-409]mmm\-yy;@">
                  <c:v>42522</c:v>
                </c:pt>
                <c:pt idx="35" formatCode="[$-409]mmm\-yy;@">
                  <c:v>42552</c:v>
                </c:pt>
                <c:pt idx="36" formatCode="[$-409]mmm\-yy;@">
                  <c:v>42583</c:v>
                </c:pt>
                <c:pt idx="37" formatCode="[$-409]mmm\-yy;@">
                  <c:v>42614</c:v>
                </c:pt>
                <c:pt idx="38" formatCode="[$-409]mmm\-yy;@">
                  <c:v>42644</c:v>
                </c:pt>
                <c:pt idx="39" formatCode="[$-409]mmm\-yy;@">
                  <c:v>42675</c:v>
                </c:pt>
                <c:pt idx="40" formatCode="[$-409]mmm\-yy;@">
                  <c:v>42705</c:v>
                </c:pt>
                <c:pt idx="41" formatCode="[$-409]mmm\-yy;@">
                  <c:v>42736</c:v>
                </c:pt>
                <c:pt idx="42" formatCode="[$-409]mmm\-yy;@">
                  <c:v>42767</c:v>
                </c:pt>
                <c:pt idx="43" formatCode="[$-409]mmm\-yy;@">
                  <c:v>42795</c:v>
                </c:pt>
                <c:pt idx="44" formatCode="[$-409]mmm\-yy;@">
                  <c:v>42826</c:v>
                </c:pt>
                <c:pt idx="45" formatCode="[$-409]mmm\-yy;@">
                  <c:v>42856</c:v>
                </c:pt>
                <c:pt idx="46" formatCode="[$-409]mmm\-yy;@">
                  <c:v>42887</c:v>
                </c:pt>
                <c:pt idx="47" formatCode="[$-409]mmm\-yy;@">
                  <c:v>42917</c:v>
                </c:pt>
                <c:pt idx="48" formatCode="[$-409]mmm\-yy;@">
                  <c:v>42948</c:v>
                </c:pt>
                <c:pt idx="49" formatCode="[$-409]mmm\-yy;@">
                  <c:v>42979</c:v>
                </c:pt>
              </c:numCache>
            </c:numRef>
          </c:cat>
          <c:val>
            <c:numRef>
              <c:f>'Agency Work with correlation_2'!$B$1007:$AY$1007</c:f>
              <c:numCache>
                <c:formatCode>0.0%</c:formatCode>
                <c:ptCount val="50"/>
                <c:pt idx="2">
                  <c:v>0</c:v>
                </c:pt>
                <c:pt idx="3">
                  <c:v>0</c:v>
                </c:pt>
                <c:pt idx="4">
                  <c:v>0</c:v>
                </c:pt>
                <c:pt idx="5">
                  <c:v>0</c:v>
                </c:pt>
                <c:pt idx="6">
                  <c:v>0</c:v>
                </c:pt>
                <c:pt idx="7">
                  <c:v>0</c:v>
                </c:pt>
                <c:pt idx="8">
                  <c:v>4.8502990311759357E-2</c:v>
                </c:pt>
                <c:pt idx="9">
                  <c:v>3.4574418272867911E-2</c:v>
                </c:pt>
                <c:pt idx="10">
                  <c:v>4.600893328909713E-2</c:v>
                </c:pt>
                <c:pt idx="11">
                  <c:v>5.9724831981893586E-2</c:v>
                </c:pt>
                <c:pt idx="12">
                  <c:v>2.8960074334305582E-2</c:v>
                </c:pt>
                <c:pt idx="13">
                  <c:v>3.3985123481058852E-2</c:v>
                </c:pt>
                <c:pt idx="14">
                  <c:v>3.8030310313092661E-2</c:v>
                </c:pt>
                <c:pt idx="15">
                  <c:v>2.5916713548436353E-2</c:v>
                </c:pt>
                <c:pt idx="16">
                  <c:v>3.5271514998754042E-2</c:v>
                </c:pt>
                <c:pt idx="17">
                  <c:v>4.5330789579331981E-2</c:v>
                </c:pt>
                <c:pt idx="18">
                  <c:v>3.1710327160945621E-2</c:v>
                </c:pt>
                <c:pt idx="19">
                  <c:v>2.8976757666691055E-2</c:v>
                </c:pt>
                <c:pt idx="20">
                  <c:v>2.6278972407231201E-2</c:v>
                </c:pt>
                <c:pt idx="21">
                  <c:v>5.3789832394056936E-2</c:v>
                </c:pt>
                <c:pt idx="22">
                  <c:v>3.8297302636526448E-2</c:v>
                </c:pt>
                <c:pt idx="23">
                  <c:v>4.2445660550527363E-2</c:v>
                </c:pt>
                <c:pt idx="24">
                  <c:v>3.6392586657829844E-2</c:v>
                </c:pt>
                <c:pt idx="25">
                  <c:v>3.6225751138411789E-2</c:v>
                </c:pt>
                <c:pt idx="26">
                  <c:v>3.0671651728765157E-2</c:v>
                </c:pt>
                <c:pt idx="27">
                  <c:v>6.6726615526135027E-2</c:v>
                </c:pt>
                <c:pt idx="28">
                  <c:v>4.3512831827643976E-2</c:v>
                </c:pt>
                <c:pt idx="29">
                  <c:v>8.6452313319110033E-2</c:v>
                </c:pt>
                <c:pt idx="30">
                  <c:v>4.8070964653315229E-2</c:v>
                </c:pt>
                <c:pt idx="31">
                  <c:v>3.2943844251176885E-2</c:v>
                </c:pt>
                <c:pt idx="32">
                  <c:v>2.5819324143774237E-2</c:v>
                </c:pt>
                <c:pt idx="33">
                  <c:v>2.476876201648907E-2</c:v>
                </c:pt>
                <c:pt idx="34">
                  <c:v>0</c:v>
                </c:pt>
                <c:pt idx="35">
                  <c:v>4.1497797145867259E-2</c:v>
                </c:pt>
                <c:pt idx="36">
                  <c:v>0</c:v>
                </c:pt>
                <c:pt idx="37">
                  <c:v>3.5024656306037058E-2</c:v>
                </c:pt>
                <c:pt idx="38">
                  <c:v>4.2282496513249654E-2</c:v>
                </c:pt>
                <c:pt idx="39">
                  <c:v>4.7297888338868339E-2</c:v>
                </c:pt>
                <c:pt idx="40">
                  <c:v>5.3863997701369619E-2</c:v>
                </c:pt>
                <c:pt idx="41">
                  <c:v>8.1330466017077982E-2</c:v>
                </c:pt>
                <c:pt idx="42">
                  <c:v>7.532877258874035E-2</c:v>
                </c:pt>
                <c:pt idx="43">
                  <c:v>0.11428452605913589</c:v>
                </c:pt>
                <c:pt idx="44">
                  <c:v>8.4675592214591228E-2</c:v>
                </c:pt>
                <c:pt idx="45">
                  <c:v>9.5578963168459152E-2</c:v>
                </c:pt>
                <c:pt idx="46">
                  <c:v>0.12818137489879408</c:v>
                </c:pt>
                <c:pt idx="47">
                  <c:v>0.106602720422423</c:v>
                </c:pt>
                <c:pt idx="48">
                  <c:v>8.4035330727023377E-2</c:v>
                </c:pt>
                <c:pt idx="49">
                  <c:v>8.5937901397150296E-2</c:v>
                </c:pt>
              </c:numCache>
            </c:numRef>
          </c:val>
          <c:smooth val="0"/>
          <c:extLst>
            <c:ext xmlns:c16="http://schemas.microsoft.com/office/drawing/2014/chart" uri="{C3380CC4-5D6E-409C-BE32-E72D297353CC}">
              <c16:uniqueId val="{00000001-3135-4EC7-8EE9-6ED079AD3B12}"/>
            </c:ext>
          </c:extLst>
        </c:ser>
        <c:dLbls>
          <c:showLegendKey val="0"/>
          <c:showVal val="0"/>
          <c:showCatName val="0"/>
          <c:showSerName val="0"/>
          <c:showPercent val="0"/>
          <c:showBubbleSize val="0"/>
        </c:dLbls>
        <c:smooth val="0"/>
        <c:axId val="136176848"/>
        <c:axId val="136177240"/>
      </c:lineChart>
      <c:catAx>
        <c:axId val="136176848"/>
        <c:scaling>
          <c:orientation val="minMax"/>
        </c:scaling>
        <c:delete val="0"/>
        <c:axPos val="b"/>
        <c:numFmt formatCode="0.0%" sourceLinked="1"/>
        <c:majorTickMark val="out"/>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177240"/>
        <c:crosses val="autoZero"/>
        <c:auto val="0"/>
        <c:lblAlgn val="ctr"/>
        <c:lblOffset val="50"/>
        <c:tickLblSkip val="3"/>
        <c:noMultiLvlLbl val="1"/>
      </c:catAx>
      <c:valAx>
        <c:axId val="136177240"/>
        <c:scaling>
          <c:orientation val="minMax"/>
        </c:scaling>
        <c:delete val="0"/>
        <c:axPos val="l"/>
        <c:majorGridlines>
          <c:spPr>
            <a:ln w="9525" cap="flat" cmpd="sng" algn="ctr">
              <a:solidFill>
                <a:schemeClr val="tx1">
                  <a:lumMod val="15000"/>
                  <a:lumOff val="85000"/>
                </a:schemeClr>
              </a:solidFill>
              <a:round/>
            </a:ln>
            <a:effectLst/>
          </c:spPr>
        </c:majorGridlines>
        <c:title>
          <c:tx>
            <c:strRef>
              <c:f>'Agency Work with correlation_2'!$B$8</c:f>
              <c:strCache>
                <c:ptCount val="1"/>
                <c:pt idx="0">
                  <c:v>Y / Y Change in Hours Worked (%)</c:v>
                </c:pt>
              </c:strCache>
            </c:strRef>
          </c:tx>
          <c:layout>
            <c:manualLayout>
              <c:xMode val="edge"/>
              <c:yMode val="edge"/>
              <c:x val="1.317323503990033E-2"/>
              <c:y val="0.1164005924419782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176848"/>
        <c:crossesAt val="41275"/>
        <c:crossBetween val="between"/>
      </c:valAx>
      <c:spPr>
        <a:noFill/>
        <a:ln>
          <a:noFill/>
        </a:ln>
        <a:effectLst/>
      </c:spPr>
    </c:plotArea>
    <c:legend>
      <c:legendPos val="b"/>
      <c:layout>
        <c:manualLayout>
          <c:xMode val="edge"/>
          <c:yMode val="edge"/>
          <c:x val="0.28164694132895635"/>
          <c:y val="0.91558084018660013"/>
          <c:w val="0.42899341490072856"/>
          <c:h val="6.512345603982876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'Agency Work with correlation_2'!$M$7</c:f>
          <c:strCache>
            <c:ptCount val="1"/>
            <c:pt idx="0">
              <c:v>Y / Y Change in Agency Work Sales Revenues - Finland</c:v>
            </c:pt>
          </c:strCache>
        </c:strRef>
      </c:tx>
      <c:layout>
        <c:manualLayout>
          <c:xMode val="edge"/>
          <c:yMode val="edge"/>
          <c:x val="0.16775799891270007"/>
          <c:y val="1.618379696088682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6254463122689533"/>
          <c:y val="0.11901025644431591"/>
          <c:w val="0.81570434876593245"/>
          <c:h val="0.61338024085822551"/>
        </c:manualLayout>
      </c:layout>
      <c:barChart>
        <c:barDir val="col"/>
        <c:grouping val="clustered"/>
        <c:varyColors val="0"/>
        <c:ser>
          <c:idx val="1"/>
          <c:order val="0"/>
          <c:tx>
            <c:strRef>
              <c:f>'Agency Work with correlation_2'!$A$1006</c:f>
              <c:strCache>
                <c:ptCount val="1"/>
                <c:pt idx="0">
                  <c:v>Turnover</c:v>
                </c:pt>
              </c:strCache>
            </c:strRef>
          </c:tx>
          <c:spPr>
            <a:solidFill>
              <a:srgbClr val="0057B8"/>
            </a:solidFill>
            <a:ln>
              <a:solidFill>
                <a:srgbClr val="0057B8"/>
              </a:solidFill>
            </a:ln>
            <a:effectLst/>
          </c:spPr>
          <c:invertIfNegative val="0"/>
          <c:cat>
            <c:numRef>
              <c:f>'Agency Work with correlation_2'!$B$1004:$AY$1004</c:f>
              <c:numCache>
                <c:formatCode>0.0%</c:formatCode>
                <c:ptCount val="50"/>
                <c:pt idx="2" formatCode="[$-409]mmm\-yy;@">
                  <c:v>0</c:v>
                </c:pt>
                <c:pt idx="3" formatCode="[$-409]mmm\-yy;@">
                  <c:v>0</c:v>
                </c:pt>
                <c:pt idx="4" formatCode="[$-409]mmm\-yy;@">
                  <c:v>0</c:v>
                </c:pt>
                <c:pt idx="5" formatCode="[$-409]mmm\-yy;@">
                  <c:v>0</c:v>
                </c:pt>
                <c:pt idx="6" formatCode="[$-409]mmm\-yy;@">
                  <c:v>0</c:v>
                </c:pt>
                <c:pt idx="7" formatCode="[$-409]mmm\-yy;@">
                  <c:v>0</c:v>
                </c:pt>
                <c:pt idx="8" formatCode="[$-409]mmm\-yy;@">
                  <c:v>41730</c:v>
                </c:pt>
                <c:pt idx="9" formatCode="[$-409]mmm\-yy;@">
                  <c:v>41760</c:v>
                </c:pt>
                <c:pt idx="10" formatCode="[$-409]mmm\-yy;@">
                  <c:v>41791</c:v>
                </c:pt>
                <c:pt idx="11" formatCode="[$-409]mmm\-yy;@">
                  <c:v>41821</c:v>
                </c:pt>
                <c:pt idx="12" formatCode="[$-409]mmm\-yy;@">
                  <c:v>41852</c:v>
                </c:pt>
                <c:pt idx="13" formatCode="[$-409]mmm\-yy;@">
                  <c:v>41883</c:v>
                </c:pt>
                <c:pt idx="14" formatCode="[$-409]mmm\-yy;@">
                  <c:v>41913</c:v>
                </c:pt>
                <c:pt idx="15" formatCode="[$-409]mmm\-yy;@">
                  <c:v>41944</c:v>
                </c:pt>
                <c:pt idx="16" formatCode="[$-409]mmm\-yy;@">
                  <c:v>41974</c:v>
                </c:pt>
                <c:pt idx="17" formatCode="[$-409]mmm\-yy;@">
                  <c:v>42005</c:v>
                </c:pt>
                <c:pt idx="18" formatCode="[$-409]mmm\-yy;@">
                  <c:v>42036</c:v>
                </c:pt>
                <c:pt idx="19" formatCode="[$-409]mmm\-yy;@">
                  <c:v>42064</c:v>
                </c:pt>
                <c:pt idx="20" formatCode="[$-409]mmm\-yy;@">
                  <c:v>42095</c:v>
                </c:pt>
                <c:pt idx="21" formatCode="[$-409]mmm\-yy;@">
                  <c:v>42125</c:v>
                </c:pt>
                <c:pt idx="22" formatCode="[$-409]mmm\-yy;@">
                  <c:v>42156</c:v>
                </c:pt>
                <c:pt idx="23" formatCode="[$-409]mmm\-yy;@">
                  <c:v>42186</c:v>
                </c:pt>
                <c:pt idx="24" formatCode="[$-409]mmm\-yy;@">
                  <c:v>42217</c:v>
                </c:pt>
                <c:pt idx="25" formatCode="[$-409]mmm\-yy;@">
                  <c:v>42248</c:v>
                </c:pt>
                <c:pt idx="26" formatCode="[$-409]mmm\-yy;@">
                  <c:v>42278</c:v>
                </c:pt>
                <c:pt idx="27" formatCode="[$-409]mmm\-yy;@">
                  <c:v>42309</c:v>
                </c:pt>
                <c:pt idx="28" formatCode="[$-409]mmm\-yy;@">
                  <c:v>42339</c:v>
                </c:pt>
                <c:pt idx="29" formatCode="[$-409]mmm\-yy;@">
                  <c:v>42370</c:v>
                </c:pt>
                <c:pt idx="30" formatCode="[$-409]mmm\-yy;@">
                  <c:v>42401</c:v>
                </c:pt>
                <c:pt idx="31" formatCode="[$-409]mmm\-yy;@">
                  <c:v>42430</c:v>
                </c:pt>
                <c:pt idx="32" formatCode="[$-409]mmm\-yy;@">
                  <c:v>42461</c:v>
                </c:pt>
                <c:pt idx="33" formatCode="[$-409]mmm\-yy;@">
                  <c:v>42491</c:v>
                </c:pt>
                <c:pt idx="34" formatCode="[$-409]mmm\-yy;@">
                  <c:v>42522</c:v>
                </c:pt>
                <c:pt idx="35" formatCode="[$-409]mmm\-yy;@">
                  <c:v>42552</c:v>
                </c:pt>
                <c:pt idx="36" formatCode="[$-409]mmm\-yy;@">
                  <c:v>42583</c:v>
                </c:pt>
                <c:pt idx="37" formatCode="[$-409]mmm\-yy;@">
                  <c:v>42614</c:v>
                </c:pt>
                <c:pt idx="38" formatCode="[$-409]mmm\-yy;@">
                  <c:v>42644</c:v>
                </c:pt>
                <c:pt idx="39" formatCode="[$-409]mmm\-yy;@">
                  <c:v>42675</c:v>
                </c:pt>
                <c:pt idx="40" formatCode="[$-409]mmm\-yy;@">
                  <c:v>42705</c:v>
                </c:pt>
                <c:pt idx="41" formatCode="[$-409]mmm\-yy;@">
                  <c:v>42736</c:v>
                </c:pt>
                <c:pt idx="42" formatCode="[$-409]mmm\-yy;@">
                  <c:v>42767</c:v>
                </c:pt>
                <c:pt idx="43" formatCode="[$-409]mmm\-yy;@">
                  <c:v>42795</c:v>
                </c:pt>
                <c:pt idx="44" formatCode="[$-409]mmm\-yy;@">
                  <c:v>42826</c:v>
                </c:pt>
                <c:pt idx="45" formatCode="[$-409]mmm\-yy;@">
                  <c:v>42856</c:v>
                </c:pt>
                <c:pt idx="46" formatCode="[$-409]mmm\-yy;@">
                  <c:v>42887</c:v>
                </c:pt>
                <c:pt idx="47" formatCode="[$-409]mmm\-yy;@">
                  <c:v>42917</c:v>
                </c:pt>
                <c:pt idx="48" formatCode="[$-409]mmm\-yy;@">
                  <c:v>42948</c:v>
                </c:pt>
                <c:pt idx="49" formatCode="[$-409]mmm\-yy;@">
                  <c:v>42979</c:v>
                </c:pt>
              </c:numCache>
            </c:numRef>
          </c:cat>
          <c:val>
            <c:numRef>
              <c:f>'Agency Work with correlation_2'!$B$1006:$AY$1006</c:f>
              <c:numCache>
                <c:formatCode>0.0%</c:formatCode>
                <c:ptCount val="50"/>
                <c:pt idx="2" formatCode="0%">
                  <c:v>5.5E-2</c:v>
                </c:pt>
                <c:pt idx="3" formatCode="0%">
                  <c:v>1.6E-2</c:v>
                </c:pt>
                <c:pt idx="4" formatCode="0%">
                  <c:v>6.4000000000000001E-2</c:v>
                </c:pt>
                <c:pt idx="5" formatCode="0%">
                  <c:v>9.4200000000000006E-2</c:v>
                </c:pt>
                <c:pt idx="6" formatCode="0%">
                  <c:v>3.39E-2</c:v>
                </c:pt>
                <c:pt idx="7" formatCode="0%">
                  <c:v>5.3999999999999999E-2</c:v>
                </c:pt>
                <c:pt idx="8" formatCode="0%">
                  <c:v>3.2500000000000001E-2</c:v>
                </c:pt>
                <c:pt idx="9" formatCode="0%">
                  <c:v>2.01E-2</c:v>
                </c:pt>
                <c:pt idx="10" formatCode="0%">
                  <c:v>3.3700000000000001E-2</c:v>
                </c:pt>
                <c:pt idx="11" formatCode="0%">
                  <c:v>2.5263431931853431E-2</c:v>
                </c:pt>
                <c:pt idx="12" formatCode="0%">
                  <c:v>5.9316240898459105E-2</c:v>
                </c:pt>
                <c:pt idx="13" formatCode="0%">
                  <c:v>4.9484513257702423E-2</c:v>
                </c:pt>
                <c:pt idx="14" formatCode="0%">
                  <c:v>2.4E-2</c:v>
                </c:pt>
                <c:pt idx="15" formatCode="0%">
                  <c:v>5.1999999999999998E-2</c:v>
                </c:pt>
                <c:pt idx="16" formatCode="0%">
                  <c:v>1.6E-2</c:v>
                </c:pt>
                <c:pt idx="17" formatCode="0%">
                  <c:v>2.1999999999999999E-2</c:v>
                </c:pt>
                <c:pt idx="18" formatCode="0%">
                  <c:v>5.8000000000000003E-2</c:v>
                </c:pt>
                <c:pt idx="19" formatCode="0%">
                  <c:v>1.7000000000000001E-2</c:v>
                </c:pt>
                <c:pt idx="20" formatCode="0%">
                  <c:v>1.1037794325835737E-2</c:v>
                </c:pt>
                <c:pt idx="21" formatCode="0%">
                  <c:v>7.7095288881120494E-2</c:v>
                </c:pt>
                <c:pt idx="22" formatCode="0%">
                  <c:v>0.14000000000000001</c:v>
                </c:pt>
                <c:pt idx="23" formatCode="0%">
                  <c:v>#N/A</c:v>
                </c:pt>
                <c:pt idx="24" formatCode="0%">
                  <c:v>0.14000000000000001</c:v>
                </c:pt>
                <c:pt idx="25" formatCode="0%">
                  <c:v>0.13</c:v>
                </c:pt>
                <c:pt idx="26" formatCode="0%">
                  <c:v>0.12</c:v>
                </c:pt>
                <c:pt idx="27" formatCode="0%">
                  <c:v>0.17299999999999999</c:v>
                </c:pt>
                <c:pt idx="28" formatCode="0%">
                  <c:v>#N/A</c:v>
                </c:pt>
                <c:pt idx="29" formatCode="0%">
                  <c:v>0.14099999999999999</c:v>
                </c:pt>
                <c:pt idx="30" formatCode="0%">
                  <c:v>#N/A</c:v>
                </c:pt>
                <c:pt idx="31" formatCode="0%">
                  <c:v>0.15</c:v>
                </c:pt>
                <c:pt idx="32" formatCode="0%">
                  <c:v>0.14000000000000001</c:v>
                </c:pt>
                <c:pt idx="33" formatCode="0%">
                  <c:v>#N/A</c:v>
                </c:pt>
                <c:pt idx="34" formatCode="0%">
                  <c:v>0.17299999999999999</c:v>
                </c:pt>
                <c:pt idx="35" formatCode="0%">
                  <c:v>0.2</c:v>
                </c:pt>
                <c:pt idx="36" formatCode="0%">
                  <c:v>0.22</c:v>
                </c:pt>
                <c:pt idx="37" formatCode="0%">
                  <c:v>0.224</c:v>
                </c:pt>
                <c:pt idx="38" formatCode="0%">
                  <c:v>0.14000000000000001</c:v>
                </c:pt>
                <c:pt idx="39" formatCode="0%">
                  <c:v>0.215</c:v>
                </c:pt>
                <c:pt idx="40" formatCode="0%">
                  <c:v>0.21299999999999999</c:v>
                </c:pt>
                <c:pt idx="41" formatCode="0%">
                  <c:v>0.21791695099301209</c:v>
                </c:pt>
                <c:pt idx="42" formatCode="0%">
                  <c:v>0.21919463066533534</c:v>
                </c:pt>
                <c:pt idx="43" formatCode="0%">
                  <c:v>0.23548080427325629</c:v>
                </c:pt>
                <c:pt idx="44" formatCode="0%">
                  <c:v>#N/A</c:v>
                </c:pt>
                <c:pt idx="45" formatCode="0%">
                  <c:v>#N/A</c:v>
                </c:pt>
                <c:pt idx="46" formatCode="0%">
                  <c:v>#N/A</c:v>
                </c:pt>
                <c:pt idx="47" formatCode="0%">
                  <c:v>#N/A</c:v>
                </c:pt>
                <c:pt idx="48" formatCode="0%">
                  <c:v>#N/A</c:v>
                </c:pt>
                <c:pt idx="49" formatCode="0%">
                  <c:v>#N/A</c:v>
                </c:pt>
              </c:numCache>
            </c:numRef>
          </c:val>
          <c:extLst>
            <c:ext xmlns:c16="http://schemas.microsoft.com/office/drawing/2014/chart" uri="{C3380CC4-5D6E-409C-BE32-E72D297353CC}">
              <c16:uniqueId val="{00000000-AB03-4AA4-8450-67D8FBF56783}"/>
            </c:ext>
          </c:extLst>
        </c:ser>
        <c:dLbls>
          <c:showLegendKey val="0"/>
          <c:showVal val="0"/>
          <c:showCatName val="0"/>
          <c:showSerName val="0"/>
          <c:showPercent val="0"/>
          <c:showBubbleSize val="0"/>
        </c:dLbls>
        <c:gapWidth val="50"/>
        <c:axId val="245195272"/>
        <c:axId val="245195664"/>
      </c:barChart>
      <c:catAx>
        <c:axId val="245195272"/>
        <c:scaling>
          <c:orientation val="minMax"/>
        </c:scaling>
        <c:delete val="0"/>
        <c:axPos val="b"/>
        <c:numFmt formatCode="0.0%" sourceLinked="1"/>
        <c:majorTickMark val="out"/>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5195664"/>
        <c:crosses val="autoZero"/>
        <c:auto val="0"/>
        <c:lblAlgn val="ctr"/>
        <c:lblOffset val="50"/>
        <c:tickLblSkip val="3"/>
        <c:noMultiLvlLbl val="1"/>
      </c:catAx>
      <c:valAx>
        <c:axId val="245195664"/>
        <c:scaling>
          <c:orientation val="minMax"/>
        </c:scaling>
        <c:delete val="1"/>
        <c:axPos val="l"/>
        <c:majorGridlines>
          <c:spPr>
            <a:ln w="9525" cap="flat" cmpd="sng" algn="ctr">
              <a:solidFill>
                <a:schemeClr val="tx1">
                  <a:lumMod val="15000"/>
                  <a:lumOff val="85000"/>
                </a:schemeClr>
              </a:solidFill>
              <a:round/>
            </a:ln>
            <a:effectLst/>
          </c:spPr>
        </c:majorGridlines>
        <c:title>
          <c:tx>
            <c:strRef>
              <c:f>'Agency Work with correlation_2'!$M$8</c:f>
              <c:strCache>
                <c:ptCount val="1"/>
                <c:pt idx="0">
                  <c:v>Y / Y Change in Turnover (%)</c:v>
                </c:pt>
              </c:strCache>
            </c:strRef>
          </c:tx>
          <c:layout>
            <c:manualLayout>
              <c:xMode val="edge"/>
              <c:yMode val="edge"/>
              <c:x val="1.317323503990033E-2"/>
              <c:y val="0.1164005924419782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crossAx val="245195272"/>
        <c:crossesAt val="41275"/>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Temp Hours Worked  vs. Temp Employment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strRef>
              <c:f>'Agency Work with correlation_2'!$A$1012</c:f>
              <c:strCache>
                <c:ptCount val="1"/>
                <c:pt idx="0">
                  <c:v>% Change in Temp Employment</c:v>
                </c:pt>
              </c:strCache>
            </c:strRef>
          </c:tx>
          <c:spPr>
            <a:ln w="25400" cap="rnd">
              <a:noFill/>
              <a:round/>
            </a:ln>
            <a:effectLst/>
          </c:spPr>
          <c:marker>
            <c:symbol val="circle"/>
            <c:size val="5"/>
            <c:spPr>
              <a:solidFill>
                <a:srgbClr val="0057B8"/>
              </a:solidFill>
              <a:ln w="9525">
                <a:solidFill>
                  <a:srgbClr val="0057B8"/>
                </a:solidFill>
              </a:ln>
              <a:effectLst/>
            </c:spPr>
          </c:marker>
          <c:trendline>
            <c:spPr>
              <a:ln w="19050" cap="rnd">
                <a:solidFill>
                  <a:schemeClr val="accent1"/>
                </a:solidFill>
                <a:prstDash val="sysDot"/>
              </a:ln>
              <a:effectLst/>
            </c:spPr>
            <c:trendlineType val="linear"/>
            <c:dispRSqr val="1"/>
            <c:dispEq val="0"/>
            <c:trendlineLbl>
              <c:layout>
                <c:manualLayout>
                  <c:x val="1.3408883757502496E-2"/>
                  <c:y val="-0.18057402394888505"/>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rendlineLbl>
          </c:trendline>
          <c:xVal>
            <c:numRef>
              <c:f>'Agency Work with correlation_2'!$X$1012:$AY$1012</c:f>
              <c:numCache>
                <c:formatCode>0.0%</c:formatCode>
                <c:ptCount val="28"/>
                <c:pt idx="0">
                  <c:v>4.9626865671641873E-2</c:v>
                </c:pt>
                <c:pt idx="1">
                  <c:v>4.9626865671641873E-2</c:v>
                </c:pt>
                <c:pt idx="2">
                  <c:v>4.9626865671641873E-2</c:v>
                </c:pt>
                <c:pt idx="3">
                  <c:v>5.5775764439411013E-2</c:v>
                </c:pt>
                <c:pt idx="4">
                  <c:v>5.5775764439411013E-2</c:v>
                </c:pt>
                <c:pt idx="5">
                  <c:v>5.5775764439411013E-2</c:v>
                </c:pt>
                <c:pt idx="6">
                  <c:v>-1.2830793905372895E-2</c:v>
                </c:pt>
                <c:pt idx="7">
                  <c:v>-1.2830793905372895E-2</c:v>
                </c:pt>
                <c:pt idx="8">
                  <c:v>-1.2830793905372895E-2</c:v>
                </c:pt>
                <c:pt idx="9">
                  <c:v>5.5349308133648245E-2</c:v>
                </c:pt>
                <c:pt idx="10">
                  <c:v>5.5349308133648245E-2</c:v>
                </c:pt>
                <c:pt idx="11">
                  <c:v>5.5349308133648245E-2</c:v>
                </c:pt>
                <c:pt idx="12">
                  <c:v>5.7945254177035332E-2</c:v>
                </c:pt>
                <c:pt idx="13">
                  <c:v>5.7945254177035332E-2</c:v>
                </c:pt>
                <c:pt idx="14">
                  <c:v>5.7945254177035332E-2</c:v>
                </c:pt>
                <c:pt idx="15">
                  <c:v>6.3824081523196519E-2</c:v>
                </c:pt>
                <c:pt idx="16">
                  <c:v>6.3824081523196519E-2</c:v>
                </c:pt>
                <c:pt idx="17">
                  <c:v>6.3824081523196519E-2</c:v>
                </c:pt>
                <c:pt idx="18">
                  <c:v>7.4194421879230976E-2</c:v>
                </c:pt>
                <c:pt idx="19">
                  <c:v>7.4194421879230976E-2</c:v>
                </c:pt>
                <c:pt idx="20">
                  <c:v>7.4194421879230976E-2</c:v>
                </c:pt>
                <c:pt idx="21">
                  <c:v>0.26862807803006072</c:v>
                </c:pt>
                <c:pt idx="22">
                  <c:v>0.26862807803006072</c:v>
                </c:pt>
                <c:pt idx="23">
                  <c:v>0.26862807803006072</c:v>
                </c:pt>
                <c:pt idx="24">
                  <c:v>0.33299731182795678</c:v>
                </c:pt>
                <c:pt idx="25">
                  <c:v>0.33299731182795678</c:v>
                </c:pt>
                <c:pt idx="26">
                  <c:v>0.33299731182795678</c:v>
                </c:pt>
                <c:pt idx="27">
                  <c:v>0</c:v>
                </c:pt>
              </c:numCache>
            </c:numRef>
          </c:xVal>
          <c:yVal>
            <c:numRef>
              <c:f>'Agency Work with correlation_2'!$X$1005:$AY$1005</c:f>
              <c:numCache>
                <c:formatCode>0%</c:formatCode>
                <c:ptCount val="28"/>
                <c:pt idx="0">
                  <c:v>0.123</c:v>
                </c:pt>
                <c:pt idx="1">
                  <c:v>#N/A</c:v>
                </c:pt>
                <c:pt idx="2">
                  <c:v>0.12300000000000001</c:v>
                </c:pt>
                <c:pt idx="3">
                  <c:v>0.12</c:v>
                </c:pt>
                <c:pt idx="4">
                  <c:v>#N/A</c:v>
                </c:pt>
                <c:pt idx="5">
                  <c:v>#N/A</c:v>
                </c:pt>
                <c:pt idx="6">
                  <c:v>#N/A</c:v>
                </c:pt>
                <c:pt idx="7">
                  <c:v>#N/A</c:v>
                </c:pt>
                <c:pt idx="8">
                  <c:v>#N/A</c:v>
                </c:pt>
                <c:pt idx="9">
                  <c:v>#N/A</c:v>
                </c:pt>
                <c:pt idx="10">
                  <c:v>#N/A</c:v>
                </c:pt>
                <c:pt idx="11">
                  <c:v>#N/A</c:v>
                </c:pt>
                <c:pt idx="12">
                  <c:v>#N/A</c:v>
                </c:pt>
                <c:pt idx="13">
                  <c:v>0.27600000000000002</c:v>
                </c:pt>
                <c:pt idx="14">
                  <c:v>0.17499999999999999</c:v>
                </c:pt>
                <c:pt idx="15">
                  <c:v>0.24299999999999999</c:v>
                </c:pt>
                <c:pt idx="16">
                  <c:v>0.109</c:v>
                </c:pt>
                <c:pt idx="17">
                  <c:v>0.18</c:v>
                </c:pt>
                <c:pt idx="18">
                  <c:v>0.21199999999999999</c:v>
                </c:pt>
                <c:pt idx="19">
                  <c:v>0.19600000000000001</c:v>
                </c:pt>
                <c:pt idx="20">
                  <c:v>0.10800000000000001</c:v>
                </c:pt>
                <c:pt idx="21">
                  <c:v>0.19899999999999998</c:v>
                </c:pt>
                <c:pt idx="22">
                  <c:v>#N/A</c:v>
                </c:pt>
                <c:pt idx="23">
                  <c:v>#N/A</c:v>
                </c:pt>
                <c:pt idx="24">
                  <c:v>#N/A</c:v>
                </c:pt>
                <c:pt idx="25">
                  <c:v>#N/A</c:v>
                </c:pt>
                <c:pt idx="26">
                  <c:v>#N/A</c:v>
                </c:pt>
                <c:pt idx="27">
                  <c:v>#N/A</c:v>
                </c:pt>
              </c:numCache>
            </c:numRef>
          </c:yVal>
          <c:smooth val="0"/>
          <c:extLst>
            <c:ext xmlns:c16="http://schemas.microsoft.com/office/drawing/2014/chart" uri="{C3380CC4-5D6E-409C-BE32-E72D297353CC}">
              <c16:uniqueId val="{00000000-2EC4-4BBF-A5AC-F53975130A01}"/>
            </c:ext>
          </c:extLst>
        </c:ser>
        <c:dLbls>
          <c:showLegendKey val="0"/>
          <c:showVal val="0"/>
          <c:showCatName val="0"/>
          <c:showSerName val="0"/>
          <c:showPercent val="0"/>
          <c:showBubbleSize val="0"/>
        </c:dLbls>
        <c:axId val="245196448"/>
        <c:axId val="245196840"/>
      </c:scatterChart>
      <c:valAx>
        <c:axId val="2451964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Y/Y % Change in Temp Employment</a:t>
                </a:r>
              </a:p>
            </c:rich>
          </c:tx>
          <c:layout>
            <c:manualLayout>
              <c:xMode val="edge"/>
              <c:yMode val="edge"/>
              <c:x val="0.29255137655715524"/>
              <c:y val="0.8786803732866724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5196840"/>
        <c:crosses val="autoZero"/>
        <c:crossBetween val="midCat"/>
      </c:valAx>
      <c:valAx>
        <c:axId val="245196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Y/Y change in hours worked</a:t>
                </a:r>
              </a:p>
            </c:rich>
          </c:tx>
          <c:layout>
            <c:manualLayout>
              <c:xMode val="edge"/>
              <c:yMode val="edge"/>
              <c:x val="1.8648021386196999E-2"/>
              <c:y val="0.2553150338924672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51964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spc="0" baseline="0">
                <a:solidFill>
                  <a:sysClr val="windowText" lastClr="000000"/>
                </a:solidFill>
                <a:latin typeface="+mn-lt"/>
                <a:ea typeface="+mn-ea"/>
                <a:cs typeface="+mn-cs"/>
              </a:defRPr>
            </a:pPr>
            <a:r>
              <a:rPr lang="en-US" sz="1400" b="1"/>
              <a:t>Temp Hours Worked vs. Total Employment</a:t>
            </a:r>
          </a:p>
        </c:rich>
      </c:tx>
      <c:layout>
        <c:manualLayout>
          <c:xMode val="edge"/>
          <c:yMode val="edge"/>
          <c:x val="0.15126992668051509"/>
          <c:y val="6.8429863073345254E-2"/>
        </c:manualLayout>
      </c:layout>
      <c:overlay val="1"/>
      <c:spPr>
        <a:noFill/>
        <a:ln>
          <a:noFill/>
        </a:ln>
        <a:effectLst/>
      </c:spPr>
      <c:txPr>
        <a:bodyPr rot="0" spcFirstLastPara="1" vertOverflow="ellipsis" vert="horz" wrap="square" anchor="ctr" anchorCtr="1"/>
        <a:lstStyle/>
        <a:p>
          <a:pPr algn="ctr" rtl="0">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530112614487476"/>
          <c:y val="0.23611174150487771"/>
          <c:w val="0.76759257386583246"/>
          <c:h val="0.55007666938926469"/>
        </c:manualLayout>
      </c:layout>
      <c:scatterChart>
        <c:scatterStyle val="lineMarker"/>
        <c:varyColors val="0"/>
        <c:ser>
          <c:idx val="0"/>
          <c:order val="0"/>
          <c:tx>
            <c:strRef>
              <c:f>'Agency Work with correlation_2'!$A$1010</c:f>
              <c:strCache>
                <c:ptCount val="1"/>
                <c:pt idx="0">
                  <c:v>Total employment</c:v>
                </c:pt>
              </c:strCache>
            </c:strRef>
          </c:tx>
          <c:spPr>
            <a:ln w="25400" cap="rnd">
              <a:noFill/>
              <a:round/>
            </a:ln>
            <a:effectLst/>
          </c:spPr>
          <c:marker>
            <c:symbol val="circle"/>
            <c:size val="5"/>
            <c:spPr>
              <a:solidFill>
                <a:srgbClr val="0057B8"/>
              </a:solidFill>
              <a:ln w="9525">
                <a:solidFill>
                  <a:srgbClr val="0057B8"/>
                </a:solidFill>
              </a:ln>
              <a:effectLst/>
            </c:spPr>
          </c:marker>
          <c:trendline>
            <c:spPr>
              <a:ln w="19050" cap="rnd">
                <a:solidFill>
                  <a:schemeClr val="accent1"/>
                </a:solidFill>
                <a:prstDash val="sysDot"/>
              </a:ln>
              <a:effectLst/>
            </c:spPr>
            <c:trendlineType val="linear"/>
            <c:dispRSqr val="0"/>
            <c:dispEq val="0"/>
          </c:trendline>
          <c:trendline>
            <c:spPr>
              <a:ln w="19050" cap="rnd">
                <a:solidFill>
                  <a:srgbClr val="0057B8"/>
                </a:solidFill>
                <a:prstDash val="sysDot"/>
              </a:ln>
              <a:effectLst/>
            </c:spPr>
            <c:trendlineType val="linear"/>
            <c:dispRSqr val="1"/>
            <c:dispEq val="0"/>
            <c:trendlineLbl>
              <c:layout>
                <c:manualLayout>
                  <c:x val="0.10913263358801517"/>
                  <c:y val="2.4312001064703017E-2"/>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rendlineLbl>
          </c:trendline>
          <c:xVal>
            <c:numRef>
              <c:f>'Agency Work with correlation_2'!$X$1010:$AY$1010</c:f>
              <c:numCache>
                <c:formatCode>0.0</c:formatCode>
                <c:ptCount val="28"/>
                <c:pt idx="0">
                  <c:v>#N/A</c:v>
                </c:pt>
                <c:pt idx="1">
                  <c:v>#N/A</c:v>
                </c:pt>
                <c:pt idx="2">
                  <c:v>#N/A</c:v>
                </c:pt>
                <c:pt idx="3">
                  <c:v>#N/A</c:v>
                </c:pt>
                <c:pt idx="4">
                  <c:v>#N/A</c:v>
                </c:pt>
                <c:pt idx="5">
                  <c:v>#N/A</c:v>
                </c:pt>
                <c:pt idx="6">
                  <c:v>#N/A</c:v>
                </c:pt>
                <c:pt idx="7">
                  <c:v>#N/A</c:v>
                </c:pt>
                <c:pt idx="8">
                  <c:v>#N/A</c:v>
                </c:pt>
                <c:pt idx="9">
                  <c:v>#N/A</c:v>
                </c:pt>
                <c:pt idx="10">
                  <c:v>#N/A</c:v>
                </c:pt>
                <c:pt idx="11">
                  <c:v>#N/A</c:v>
                </c:pt>
                <c:pt idx="12">
                  <c:v>2327.9</c:v>
                </c:pt>
                <c:pt idx="13">
                  <c:v>2327.9</c:v>
                </c:pt>
                <c:pt idx="14">
                  <c:v>2327.9</c:v>
                </c:pt>
                <c:pt idx="15">
                  <c:v>2407.8000000000002</c:v>
                </c:pt>
                <c:pt idx="16">
                  <c:v>2407.8000000000002</c:v>
                </c:pt>
                <c:pt idx="17">
                  <c:v>2407.8000000000002</c:v>
                </c:pt>
                <c:pt idx="18">
                  <c:v>2425.5</c:v>
                </c:pt>
                <c:pt idx="19">
                  <c:v>2425.5</c:v>
                </c:pt>
                <c:pt idx="20">
                  <c:v>2425.5</c:v>
                </c:pt>
                <c:pt idx="21">
                  <c:v>2356.9</c:v>
                </c:pt>
                <c:pt idx="22">
                  <c:v>2356.9</c:v>
                </c:pt>
                <c:pt idx="23">
                  <c:v>2356.9</c:v>
                </c:pt>
                <c:pt idx="24">
                  <c:v>2340.3000000000002</c:v>
                </c:pt>
                <c:pt idx="25">
                  <c:v>2340.3000000000002</c:v>
                </c:pt>
                <c:pt idx="26">
                  <c:v>2340.3000000000002</c:v>
                </c:pt>
                <c:pt idx="27">
                  <c:v>2423.5</c:v>
                </c:pt>
              </c:numCache>
            </c:numRef>
          </c:xVal>
          <c:yVal>
            <c:numRef>
              <c:f>'Agency Work with correlation_2'!$X$1005:$AY$1005</c:f>
              <c:numCache>
                <c:formatCode>0%</c:formatCode>
                <c:ptCount val="28"/>
                <c:pt idx="0">
                  <c:v>0.123</c:v>
                </c:pt>
                <c:pt idx="1">
                  <c:v>#N/A</c:v>
                </c:pt>
                <c:pt idx="2">
                  <c:v>0.12300000000000001</c:v>
                </c:pt>
                <c:pt idx="3">
                  <c:v>0.12</c:v>
                </c:pt>
                <c:pt idx="4">
                  <c:v>#N/A</c:v>
                </c:pt>
                <c:pt idx="5">
                  <c:v>#N/A</c:v>
                </c:pt>
                <c:pt idx="6">
                  <c:v>#N/A</c:v>
                </c:pt>
                <c:pt idx="7">
                  <c:v>#N/A</c:v>
                </c:pt>
                <c:pt idx="8">
                  <c:v>#N/A</c:v>
                </c:pt>
                <c:pt idx="9">
                  <c:v>#N/A</c:v>
                </c:pt>
                <c:pt idx="10">
                  <c:v>#N/A</c:v>
                </c:pt>
                <c:pt idx="11">
                  <c:v>#N/A</c:v>
                </c:pt>
                <c:pt idx="12">
                  <c:v>#N/A</c:v>
                </c:pt>
                <c:pt idx="13">
                  <c:v>0.27600000000000002</c:v>
                </c:pt>
                <c:pt idx="14">
                  <c:v>0.17499999999999999</c:v>
                </c:pt>
                <c:pt idx="15">
                  <c:v>0.24299999999999999</c:v>
                </c:pt>
                <c:pt idx="16">
                  <c:v>0.109</c:v>
                </c:pt>
                <c:pt idx="17">
                  <c:v>0.18</c:v>
                </c:pt>
                <c:pt idx="18">
                  <c:v>0.21199999999999999</c:v>
                </c:pt>
                <c:pt idx="19">
                  <c:v>0.19600000000000001</c:v>
                </c:pt>
                <c:pt idx="20">
                  <c:v>0.10800000000000001</c:v>
                </c:pt>
                <c:pt idx="21">
                  <c:v>0.19899999999999998</c:v>
                </c:pt>
                <c:pt idx="22">
                  <c:v>#N/A</c:v>
                </c:pt>
                <c:pt idx="23">
                  <c:v>#N/A</c:v>
                </c:pt>
                <c:pt idx="24">
                  <c:v>#N/A</c:v>
                </c:pt>
                <c:pt idx="25">
                  <c:v>#N/A</c:v>
                </c:pt>
                <c:pt idx="26">
                  <c:v>#N/A</c:v>
                </c:pt>
                <c:pt idx="27">
                  <c:v>#N/A</c:v>
                </c:pt>
              </c:numCache>
            </c:numRef>
          </c:yVal>
          <c:smooth val="0"/>
          <c:extLst>
            <c:ext xmlns:c16="http://schemas.microsoft.com/office/drawing/2014/chart" uri="{C3380CC4-5D6E-409C-BE32-E72D297353CC}">
              <c16:uniqueId val="{00000000-4917-408A-B9C7-8B480E3B4FC3}"/>
            </c:ext>
          </c:extLst>
        </c:ser>
        <c:dLbls>
          <c:showLegendKey val="0"/>
          <c:showVal val="0"/>
          <c:showCatName val="0"/>
          <c:showSerName val="0"/>
          <c:showPercent val="0"/>
          <c:showBubbleSize val="0"/>
        </c:dLbls>
        <c:axId val="245197624"/>
        <c:axId val="245198016"/>
      </c:scatterChart>
      <c:valAx>
        <c:axId val="2451976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a:t>Y/Y %  Change in total employment</a:t>
                </a:r>
              </a:p>
            </c:rich>
          </c:tx>
          <c:layout>
            <c:manualLayout>
              <c:xMode val="edge"/>
              <c:yMode val="edge"/>
              <c:x val="0.21425501577542269"/>
              <c:y val="0.89358778069407996"/>
            </c:manualLayout>
          </c:layout>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5198016"/>
        <c:crosses val="autoZero"/>
        <c:crossBetween val="midCat"/>
      </c:valAx>
      <c:valAx>
        <c:axId val="24519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Y/Y change  in hours worked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51976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Temp Hours Worked vs. Quarterly GDP Growth</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strRef>
              <c:f>'Agency Work with correlation_2'!$A$1013</c:f>
              <c:strCache>
                <c:ptCount val="1"/>
                <c:pt idx="0">
                  <c:v>Y/Y Change in quarterly GDP</c:v>
                </c:pt>
              </c:strCache>
            </c:strRef>
          </c:tx>
          <c:spPr>
            <a:ln w="25400" cap="rnd">
              <a:noFill/>
              <a:round/>
            </a:ln>
            <a:effectLst/>
          </c:spPr>
          <c:marker>
            <c:symbol val="circle"/>
            <c:size val="5"/>
            <c:spPr>
              <a:solidFill>
                <a:srgbClr val="0057B8"/>
              </a:solidFill>
              <a:ln w="9525">
                <a:solidFill>
                  <a:srgbClr val="0057B8"/>
                </a:solidFill>
              </a:ln>
              <a:effectLst/>
            </c:spPr>
          </c:marker>
          <c:trendline>
            <c:spPr>
              <a:ln w="19050" cap="rnd">
                <a:solidFill>
                  <a:schemeClr val="accent1"/>
                </a:solidFill>
                <a:prstDash val="sysDot"/>
              </a:ln>
              <a:effectLst/>
            </c:spPr>
            <c:trendlineType val="linear"/>
            <c:dispRSqr val="0"/>
            <c:dispEq val="0"/>
          </c:trendline>
          <c:trendline>
            <c:spPr>
              <a:ln w="19050" cap="rnd">
                <a:solidFill>
                  <a:srgbClr val="0057B8"/>
                </a:solidFill>
                <a:prstDash val="sysDot"/>
              </a:ln>
              <a:effectLst/>
            </c:spPr>
            <c:trendlineType val="linear"/>
            <c:dispRSqr val="1"/>
            <c:dispEq val="0"/>
            <c:trendlineLbl>
              <c:layout>
                <c:manualLayout>
                  <c:x val="0.15484869141464508"/>
                  <c:y val="-7.2542241287279569E-2"/>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rendlineLbl>
          </c:trendline>
          <c:xVal>
            <c:numRef>
              <c:f>'Agency Work with correlation_2'!$X$1013:$AY$1013</c:f>
              <c:numCache>
                <c:formatCode>0.0%</c:formatCode>
                <c:ptCount val="28"/>
                <c:pt idx="0">
                  <c:v>#N/A</c:v>
                </c:pt>
                <c:pt idx="1">
                  <c:v>#N/A</c:v>
                </c:pt>
                <c:pt idx="2">
                  <c:v>#N/A</c:v>
                </c:pt>
                <c:pt idx="3">
                  <c:v>#N/A</c:v>
                </c:pt>
                <c:pt idx="4">
                  <c:v>#N/A</c:v>
                </c:pt>
                <c:pt idx="5">
                  <c:v>#N/A</c:v>
                </c:pt>
                <c:pt idx="6">
                  <c:v>#N/A</c:v>
                </c:pt>
                <c:pt idx="7">
                  <c:v>#N/A</c:v>
                </c:pt>
                <c:pt idx="8">
                  <c:v>#N/A</c:v>
                </c:pt>
                <c:pt idx="9">
                  <c:v>#N/A</c:v>
                </c:pt>
                <c:pt idx="10">
                  <c:v>#N/A</c:v>
                </c:pt>
                <c:pt idx="11">
                  <c:v>#N/A</c:v>
                </c:pt>
                <c:pt idx="12">
                  <c:v>9.0000000000000011E-3</c:v>
                </c:pt>
                <c:pt idx="13">
                  <c:v>9.0000000000000011E-3</c:v>
                </c:pt>
                <c:pt idx="14">
                  <c:v>9.0000000000000011E-3</c:v>
                </c:pt>
                <c:pt idx="15">
                  <c:v>3.0000000000000001E-3</c:v>
                </c:pt>
                <c:pt idx="16">
                  <c:v>3.0000000000000001E-3</c:v>
                </c:pt>
                <c:pt idx="17">
                  <c:v>3.0000000000000001E-3</c:v>
                </c:pt>
                <c:pt idx="18">
                  <c:v>1.1000000000000001E-2</c:v>
                </c:pt>
                <c:pt idx="19">
                  <c:v>1.1000000000000001E-2</c:v>
                </c:pt>
                <c:pt idx="20">
                  <c:v>1.1000000000000001E-2</c:v>
                </c:pt>
                <c:pt idx="21">
                  <c:v>4.0000000000000001E-3</c:v>
                </c:pt>
                <c:pt idx="22">
                  <c:v>4.0000000000000001E-3</c:v>
                </c:pt>
                <c:pt idx="23">
                  <c:v>4.0000000000000001E-3</c:v>
                </c:pt>
                <c:pt idx="24">
                  <c:v>1.1000000000000001E-2</c:v>
                </c:pt>
                <c:pt idx="25">
                  <c:v>1.1000000000000001E-2</c:v>
                </c:pt>
                <c:pt idx="26">
                  <c:v>1.1000000000000001E-2</c:v>
                </c:pt>
                <c:pt idx="27">
                  <c:v>5.0000000000000001E-3</c:v>
                </c:pt>
              </c:numCache>
            </c:numRef>
          </c:xVal>
          <c:yVal>
            <c:numRef>
              <c:f>'Agency Work with correlation_2'!$X$1005:$AY$1005</c:f>
              <c:numCache>
                <c:formatCode>0%</c:formatCode>
                <c:ptCount val="28"/>
                <c:pt idx="0">
                  <c:v>0.123</c:v>
                </c:pt>
                <c:pt idx="1">
                  <c:v>#N/A</c:v>
                </c:pt>
                <c:pt idx="2">
                  <c:v>0.12300000000000001</c:v>
                </c:pt>
                <c:pt idx="3">
                  <c:v>0.12</c:v>
                </c:pt>
                <c:pt idx="4">
                  <c:v>#N/A</c:v>
                </c:pt>
                <c:pt idx="5">
                  <c:v>#N/A</c:v>
                </c:pt>
                <c:pt idx="6">
                  <c:v>#N/A</c:v>
                </c:pt>
                <c:pt idx="7">
                  <c:v>#N/A</c:v>
                </c:pt>
                <c:pt idx="8">
                  <c:v>#N/A</c:v>
                </c:pt>
                <c:pt idx="9">
                  <c:v>#N/A</c:v>
                </c:pt>
                <c:pt idx="10">
                  <c:v>#N/A</c:v>
                </c:pt>
                <c:pt idx="11">
                  <c:v>#N/A</c:v>
                </c:pt>
                <c:pt idx="12">
                  <c:v>#N/A</c:v>
                </c:pt>
                <c:pt idx="13">
                  <c:v>0.27600000000000002</c:v>
                </c:pt>
                <c:pt idx="14">
                  <c:v>0.17499999999999999</c:v>
                </c:pt>
                <c:pt idx="15">
                  <c:v>0.24299999999999999</c:v>
                </c:pt>
                <c:pt idx="16">
                  <c:v>0.109</c:v>
                </c:pt>
                <c:pt idx="17">
                  <c:v>0.18</c:v>
                </c:pt>
                <c:pt idx="18">
                  <c:v>0.21199999999999999</c:v>
                </c:pt>
                <c:pt idx="19">
                  <c:v>0.19600000000000001</c:v>
                </c:pt>
                <c:pt idx="20">
                  <c:v>0.10800000000000001</c:v>
                </c:pt>
                <c:pt idx="21">
                  <c:v>0.19899999999999998</c:v>
                </c:pt>
                <c:pt idx="22">
                  <c:v>#N/A</c:v>
                </c:pt>
                <c:pt idx="23">
                  <c:v>#N/A</c:v>
                </c:pt>
                <c:pt idx="24">
                  <c:v>#N/A</c:v>
                </c:pt>
                <c:pt idx="25">
                  <c:v>#N/A</c:v>
                </c:pt>
                <c:pt idx="26">
                  <c:v>#N/A</c:v>
                </c:pt>
                <c:pt idx="27">
                  <c:v>#N/A</c:v>
                </c:pt>
              </c:numCache>
            </c:numRef>
          </c:yVal>
          <c:smooth val="0"/>
          <c:extLst>
            <c:ext xmlns:c16="http://schemas.microsoft.com/office/drawing/2014/chart" uri="{C3380CC4-5D6E-409C-BE32-E72D297353CC}">
              <c16:uniqueId val="{00000000-892E-46AE-8413-C981DA51EB12}"/>
            </c:ext>
          </c:extLst>
        </c:ser>
        <c:dLbls>
          <c:showLegendKey val="0"/>
          <c:showVal val="0"/>
          <c:showCatName val="0"/>
          <c:showSerName val="0"/>
          <c:showPercent val="0"/>
          <c:showBubbleSize val="0"/>
        </c:dLbls>
        <c:axId val="245354104"/>
        <c:axId val="245354496"/>
      </c:scatterChart>
      <c:valAx>
        <c:axId val="245354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Y/Y % Change  in Quarterly GDP</a:t>
                </a:r>
              </a:p>
            </c:rich>
          </c:tx>
          <c:layout>
            <c:manualLayout>
              <c:xMode val="edge"/>
              <c:yMode val="edge"/>
              <c:x val="0.24246759545325361"/>
              <c:y val="0.8854071684289562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5354496"/>
        <c:crosses val="autoZero"/>
        <c:crossBetween val="midCat"/>
      </c:valAx>
      <c:valAx>
        <c:axId val="245354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Y/Y change in hours worked</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53541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Sales Turnover vs. Total Employment</a:t>
            </a:r>
          </a:p>
        </c:rich>
      </c:tx>
      <c:layout>
        <c:manualLayout>
          <c:xMode val="edge"/>
          <c:yMode val="edge"/>
          <c:x val="0.10830322070310744"/>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792077906318259"/>
          <c:y val="0.18228891557547672"/>
          <c:w val="0.76759257386583246"/>
          <c:h val="0.60389950380669155"/>
        </c:manualLayout>
      </c:layout>
      <c:scatterChart>
        <c:scatterStyle val="lineMarker"/>
        <c:varyColors val="0"/>
        <c:ser>
          <c:idx val="0"/>
          <c:order val="0"/>
          <c:tx>
            <c:strRef>
              <c:f>'Agency Work with correlation_2'!$A$1011</c:f>
              <c:strCache>
                <c:ptCount val="1"/>
                <c:pt idx="0">
                  <c:v>% Change in Total Employment</c:v>
                </c:pt>
              </c:strCache>
            </c:strRef>
          </c:tx>
          <c:spPr>
            <a:ln w="25400" cap="rnd">
              <a:noFill/>
              <a:round/>
            </a:ln>
            <a:effectLst/>
          </c:spPr>
          <c:marker>
            <c:symbol val="circle"/>
            <c:size val="5"/>
            <c:spPr>
              <a:solidFill>
                <a:srgbClr val="0057B8"/>
              </a:solidFill>
              <a:ln w="9525">
                <a:solidFill>
                  <a:srgbClr val="0057B8"/>
                </a:solidFill>
              </a:ln>
              <a:effectLst/>
            </c:spPr>
          </c:marker>
          <c:trendline>
            <c:spPr>
              <a:ln w="19050" cap="rnd">
                <a:solidFill>
                  <a:schemeClr val="accent1"/>
                </a:solidFill>
                <a:prstDash val="sysDot"/>
              </a:ln>
              <a:effectLst/>
            </c:spPr>
            <c:trendlineType val="linear"/>
            <c:dispRSqr val="0"/>
            <c:dispEq val="0"/>
          </c:trendline>
          <c:trendline>
            <c:spPr>
              <a:ln w="19050" cap="rnd">
                <a:solidFill>
                  <a:srgbClr val="0057B8"/>
                </a:solidFill>
                <a:prstDash val="sysDot"/>
              </a:ln>
              <a:effectLst/>
            </c:spPr>
            <c:trendlineType val="linear"/>
            <c:dispRSqr val="1"/>
            <c:dispEq val="0"/>
            <c:trendlineLbl>
              <c:layout>
                <c:manualLayout>
                  <c:x val="0.12159500286556048"/>
                  <c:y val="-0.17133102301808581"/>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rendlineLbl>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xVal>
            <c:numRef>
              <c:f>'Agency Work with correlation_2'!$X$1011:$AY$1011</c:f>
              <c:numCache>
                <c:formatCode>0.0%</c:formatCode>
                <c:ptCount val="2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5.3266892907770647E-3</c:v>
                </c:pt>
                <c:pt idx="25">
                  <c:v>5.3266892907770647E-3</c:v>
                </c:pt>
                <c:pt idx="26">
                  <c:v>5.3266892907770647E-3</c:v>
                </c:pt>
                <c:pt idx="27">
                  <c:v>6.5204751225182989E-3</c:v>
                </c:pt>
              </c:numCache>
            </c:numRef>
          </c:xVal>
          <c:yVal>
            <c:numRef>
              <c:f>'Agency Work with correlation_2'!$X$1006:$AY$1006</c:f>
              <c:numCache>
                <c:formatCode>0%</c:formatCode>
                <c:ptCount val="28"/>
                <c:pt idx="0">
                  <c:v>0.14000000000000001</c:v>
                </c:pt>
                <c:pt idx="1">
                  <c:v>#N/A</c:v>
                </c:pt>
                <c:pt idx="2">
                  <c:v>0.14000000000000001</c:v>
                </c:pt>
                <c:pt idx="3">
                  <c:v>0.13</c:v>
                </c:pt>
                <c:pt idx="4">
                  <c:v>0.12</c:v>
                </c:pt>
                <c:pt idx="5">
                  <c:v>0.17299999999999999</c:v>
                </c:pt>
                <c:pt idx="6">
                  <c:v>#N/A</c:v>
                </c:pt>
                <c:pt idx="7">
                  <c:v>0.14099999999999999</c:v>
                </c:pt>
                <c:pt idx="8">
                  <c:v>#N/A</c:v>
                </c:pt>
                <c:pt idx="9">
                  <c:v>0.15</c:v>
                </c:pt>
                <c:pt idx="10">
                  <c:v>0.14000000000000001</c:v>
                </c:pt>
                <c:pt idx="11">
                  <c:v>#N/A</c:v>
                </c:pt>
                <c:pt idx="12">
                  <c:v>0.17299999999999999</c:v>
                </c:pt>
                <c:pt idx="13">
                  <c:v>0.2</c:v>
                </c:pt>
                <c:pt idx="14">
                  <c:v>0.22</c:v>
                </c:pt>
                <c:pt idx="15">
                  <c:v>0.224</c:v>
                </c:pt>
                <c:pt idx="16">
                  <c:v>0.14000000000000001</c:v>
                </c:pt>
                <c:pt idx="17">
                  <c:v>0.215</c:v>
                </c:pt>
                <c:pt idx="18">
                  <c:v>0.21299999999999999</c:v>
                </c:pt>
                <c:pt idx="19">
                  <c:v>0.21791695099301209</c:v>
                </c:pt>
                <c:pt idx="20">
                  <c:v>0.21919463066533534</c:v>
                </c:pt>
                <c:pt idx="21">
                  <c:v>0.23548080427325629</c:v>
                </c:pt>
                <c:pt idx="22">
                  <c:v>#N/A</c:v>
                </c:pt>
                <c:pt idx="23">
                  <c:v>#N/A</c:v>
                </c:pt>
                <c:pt idx="24">
                  <c:v>#N/A</c:v>
                </c:pt>
                <c:pt idx="25">
                  <c:v>#N/A</c:v>
                </c:pt>
                <c:pt idx="26">
                  <c:v>#N/A</c:v>
                </c:pt>
                <c:pt idx="27">
                  <c:v>#N/A</c:v>
                </c:pt>
              </c:numCache>
            </c:numRef>
          </c:yVal>
          <c:smooth val="0"/>
          <c:extLst>
            <c:ext xmlns:c16="http://schemas.microsoft.com/office/drawing/2014/chart" uri="{C3380CC4-5D6E-409C-BE32-E72D297353CC}">
              <c16:uniqueId val="{00000000-38EC-4ED0-B8CC-BD597B984F41}"/>
            </c:ext>
          </c:extLst>
        </c:ser>
        <c:dLbls>
          <c:showLegendKey val="0"/>
          <c:showVal val="0"/>
          <c:showCatName val="0"/>
          <c:showSerName val="0"/>
          <c:showPercent val="0"/>
          <c:showBubbleSize val="0"/>
        </c:dLbls>
        <c:axId val="245355280"/>
        <c:axId val="245355672"/>
      </c:scatterChart>
      <c:valAx>
        <c:axId val="245355280"/>
        <c:scaling>
          <c:orientation val="minMax"/>
        </c:scaling>
        <c:delete val="0"/>
        <c:axPos val="b"/>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a:t>Y/Y %  Change in total employment</a:t>
                </a:r>
              </a:p>
            </c:rich>
          </c:tx>
          <c:layout>
            <c:manualLayout>
              <c:xMode val="edge"/>
              <c:yMode val="edge"/>
              <c:x val="0.21425501577542269"/>
              <c:y val="0.89358778069407996"/>
            </c:manualLayout>
          </c:layout>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5355672"/>
        <c:crossesAt val="0"/>
        <c:crossBetween val="midCat"/>
      </c:valAx>
      <c:valAx>
        <c:axId val="245355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Y/Y % change  in turnover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53552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Sales Turnover vs. Temp Employment</a:t>
            </a:r>
          </a:p>
        </c:rich>
      </c:tx>
      <c:layout>
        <c:manualLayout>
          <c:xMode val="edge"/>
          <c:yMode val="edge"/>
          <c:x val="9.0721978091971661E-2"/>
          <c:y val="2.777783298717044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strRef>
              <c:f>'Agency Work with correlation_2'!$A$1012</c:f>
              <c:strCache>
                <c:ptCount val="1"/>
                <c:pt idx="0">
                  <c:v>% Change in Temp Employment</c:v>
                </c:pt>
              </c:strCache>
            </c:strRef>
          </c:tx>
          <c:spPr>
            <a:ln w="25400" cap="rnd">
              <a:noFill/>
              <a:round/>
            </a:ln>
            <a:effectLst/>
          </c:spPr>
          <c:marker>
            <c:symbol val="circle"/>
            <c:size val="5"/>
            <c:spPr>
              <a:solidFill>
                <a:srgbClr val="0057B8"/>
              </a:solidFill>
              <a:ln w="9525">
                <a:solidFill>
                  <a:srgbClr val="0057B8"/>
                </a:solidFill>
              </a:ln>
              <a:effectLst/>
            </c:spPr>
          </c:marker>
          <c:trendline>
            <c:spPr>
              <a:ln w="19050" cap="rnd">
                <a:solidFill>
                  <a:schemeClr val="accent1"/>
                </a:solidFill>
                <a:prstDash val="sysDot"/>
              </a:ln>
              <a:effectLst/>
            </c:spPr>
            <c:trendlineType val="linear"/>
            <c:dispRSqr val="0"/>
            <c:dispEq val="0"/>
          </c:trendline>
          <c:trendline>
            <c:spPr>
              <a:ln w="19050" cap="rnd">
                <a:solidFill>
                  <a:srgbClr val="0057B8"/>
                </a:solidFill>
                <a:prstDash val="sysDot"/>
              </a:ln>
              <a:effectLst/>
            </c:spPr>
            <c:trendlineType val="linear"/>
            <c:dispRSqr val="1"/>
            <c:dispEq val="0"/>
            <c:trendlineLbl>
              <c:layout>
                <c:manualLayout>
                  <c:x val="0.10907425605018548"/>
                  <c:y val="-0.12573205998390094"/>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rendlineLbl>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xVal>
            <c:numRef>
              <c:f>'Agency Work with correlation_2'!$X$1012:$AY$1012</c:f>
              <c:numCache>
                <c:formatCode>0.0%</c:formatCode>
                <c:ptCount val="28"/>
                <c:pt idx="0">
                  <c:v>4.9626865671641873E-2</c:v>
                </c:pt>
                <c:pt idx="1">
                  <c:v>4.9626865671641873E-2</c:v>
                </c:pt>
                <c:pt idx="2">
                  <c:v>4.9626865671641873E-2</c:v>
                </c:pt>
                <c:pt idx="3">
                  <c:v>5.5775764439411013E-2</c:v>
                </c:pt>
                <c:pt idx="4">
                  <c:v>5.5775764439411013E-2</c:v>
                </c:pt>
                <c:pt idx="5">
                  <c:v>5.5775764439411013E-2</c:v>
                </c:pt>
                <c:pt idx="6">
                  <c:v>-1.2830793905372895E-2</c:v>
                </c:pt>
                <c:pt idx="7">
                  <c:v>-1.2830793905372895E-2</c:v>
                </c:pt>
                <c:pt idx="8">
                  <c:v>-1.2830793905372895E-2</c:v>
                </c:pt>
                <c:pt idx="9">
                  <c:v>5.5349308133648245E-2</c:v>
                </c:pt>
                <c:pt idx="10">
                  <c:v>5.5349308133648245E-2</c:v>
                </c:pt>
                <c:pt idx="11">
                  <c:v>5.5349308133648245E-2</c:v>
                </c:pt>
                <c:pt idx="12">
                  <c:v>5.7945254177035332E-2</c:v>
                </c:pt>
                <c:pt idx="13">
                  <c:v>5.7945254177035332E-2</c:v>
                </c:pt>
                <c:pt idx="14">
                  <c:v>5.7945254177035332E-2</c:v>
                </c:pt>
                <c:pt idx="15">
                  <c:v>6.3824081523196519E-2</c:v>
                </c:pt>
                <c:pt idx="16">
                  <c:v>6.3824081523196519E-2</c:v>
                </c:pt>
                <c:pt idx="17">
                  <c:v>6.3824081523196519E-2</c:v>
                </c:pt>
                <c:pt idx="18">
                  <c:v>7.4194421879230976E-2</c:v>
                </c:pt>
                <c:pt idx="19">
                  <c:v>7.4194421879230976E-2</c:v>
                </c:pt>
                <c:pt idx="20">
                  <c:v>7.4194421879230976E-2</c:v>
                </c:pt>
                <c:pt idx="21">
                  <c:v>0.26862807803006072</c:v>
                </c:pt>
                <c:pt idx="22">
                  <c:v>0.26862807803006072</c:v>
                </c:pt>
                <c:pt idx="23">
                  <c:v>0.26862807803006072</c:v>
                </c:pt>
                <c:pt idx="24">
                  <c:v>0.33299731182795678</c:v>
                </c:pt>
                <c:pt idx="25">
                  <c:v>0.33299731182795678</c:v>
                </c:pt>
                <c:pt idx="26">
                  <c:v>0.33299731182795678</c:v>
                </c:pt>
                <c:pt idx="27">
                  <c:v>0</c:v>
                </c:pt>
              </c:numCache>
            </c:numRef>
          </c:xVal>
          <c:yVal>
            <c:numRef>
              <c:f>'Agency Work with correlation_2'!$X$1006:$AY$1006</c:f>
              <c:numCache>
                <c:formatCode>0%</c:formatCode>
                <c:ptCount val="28"/>
                <c:pt idx="0">
                  <c:v>0.14000000000000001</c:v>
                </c:pt>
                <c:pt idx="1">
                  <c:v>#N/A</c:v>
                </c:pt>
                <c:pt idx="2">
                  <c:v>0.14000000000000001</c:v>
                </c:pt>
                <c:pt idx="3">
                  <c:v>0.13</c:v>
                </c:pt>
                <c:pt idx="4">
                  <c:v>0.12</c:v>
                </c:pt>
                <c:pt idx="5">
                  <c:v>0.17299999999999999</c:v>
                </c:pt>
                <c:pt idx="6">
                  <c:v>#N/A</c:v>
                </c:pt>
                <c:pt idx="7">
                  <c:v>0.14099999999999999</c:v>
                </c:pt>
                <c:pt idx="8">
                  <c:v>#N/A</c:v>
                </c:pt>
                <c:pt idx="9">
                  <c:v>0.15</c:v>
                </c:pt>
                <c:pt idx="10">
                  <c:v>0.14000000000000001</c:v>
                </c:pt>
                <c:pt idx="11">
                  <c:v>#N/A</c:v>
                </c:pt>
                <c:pt idx="12">
                  <c:v>0.17299999999999999</c:v>
                </c:pt>
                <c:pt idx="13">
                  <c:v>0.2</c:v>
                </c:pt>
                <c:pt idx="14">
                  <c:v>0.22</c:v>
                </c:pt>
                <c:pt idx="15">
                  <c:v>0.224</c:v>
                </c:pt>
                <c:pt idx="16">
                  <c:v>0.14000000000000001</c:v>
                </c:pt>
                <c:pt idx="17">
                  <c:v>0.215</c:v>
                </c:pt>
                <c:pt idx="18">
                  <c:v>0.21299999999999999</c:v>
                </c:pt>
                <c:pt idx="19">
                  <c:v>0.21791695099301209</c:v>
                </c:pt>
                <c:pt idx="20">
                  <c:v>0.21919463066533534</c:v>
                </c:pt>
                <c:pt idx="21">
                  <c:v>0.23548080427325629</c:v>
                </c:pt>
                <c:pt idx="22">
                  <c:v>#N/A</c:v>
                </c:pt>
                <c:pt idx="23">
                  <c:v>#N/A</c:v>
                </c:pt>
                <c:pt idx="24">
                  <c:v>#N/A</c:v>
                </c:pt>
                <c:pt idx="25">
                  <c:v>#N/A</c:v>
                </c:pt>
                <c:pt idx="26">
                  <c:v>#N/A</c:v>
                </c:pt>
                <c:pt idx="27">
                  <c:v>#N/A</c:v>
                </c:pt>
              </c:numCache>
            </c:numRef>
          </c:yVal>
          <c:smooth val="0"/>
          <c:extLst>
            <c:ext xmlns:c16="http://schemas.microsoft.com/office/drawing/2014/chart" uri="{C3380CC4-5D6E-409C-BE32-E72D297353CC}">
              <c16:uniqueId val="{00000000-964E-406D-BA10-8F4F0F6A09F9}"/>
            </c:ext>
          </c:extLst>
        </c:ser>
        <c:dLbls>
          <c:showLegendKey val="0"/>
          <c:showVal val="0"/>
          <c:showCatName val="0"/>
          <c:showSerName val="0"/>
          <c:showPercent val="0"/>
          <c:showBubbleSize val="0"/>
        </c:dLbls>
        <c:axId val="245356456"/>
        <c:axId val="245356848"/>
      </c:scatterChart>
      <c:valAx>
        <c:axId val="245356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Y/Y % Change in Temp Employment</a:t>
                </a:r>
              </a:p>
            </c:rich>
          </c:tx>
          <c:layout>
            <c:manualLayout>
              <c:xMode val="edge"/>
              <c:yMode val="edge"/>
              <c:x val="0.19185201869970725"/>
              <c:y val="0.8786802241672516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5356848"/>
        <c:crosses val="autoZero"/>
        <c:crossBetween val="midCat"/>
      </c:valAx>
      <c:valAx>
        <c:axId val="245356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Y/Y change in turnover</a:t>
                </a:r>
              </a:p>
            </c:rich>
          </c:tx>
          <c:layout>
            <c:manualLayout>
              <c:xMode val="edge"/>
              <c:yMode val="edge"/>
              <c:x val="1.8648021386196999E-2"/>
              <c:y val="0.216171295465105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53564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Sales Turnover vs. Quarterly GDP Growth</a:t>
            </a:r>
          </a:p>
        </c:rich>
      </c:tx>
      <c:layout>
        <c:manualLayout>
          <c:xMode val="edge"/>
          <c:yMode val="edge"/>
          <c:x val="0.15173336620359618"/>
          <c:y val="1.959457642735575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strRef>
              <c:f>'Agency Work with correlation_2'!$A$1013</c:f>
              <c:strCache>
                <c:ptCount val="1"/>
                <c:pt idx="0">
                  <c:v>Y/Y Change in quarterly GDP</c:v>
                </c:pt>
              </c:strCache>
            </c:strRef>
          </c:tx>
          <c:spPr>
            <a:ln w="25400" cap="rnd">
              <a:noFill/>
              <a:round/>
            </a:ln>
            <a:effectLst/>
          </c:spPr>
          <c:marker>
            <c:symbol val="circle"/>
            <c:size val="5"/>
            <c:spPr>
              <a:solidFill>
                <a:srgbClr val="0057B8"/>
              </a:solidFill>
              <a:ln w="9525">
                <a:solidFill>
                  <a:srgbClr val="0057B8"/>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0"/>
            <c:trendlineLbl>
              <c:layout>
                <c:manualLayout>
                  <c:x val="0.19533437080100544"/>
                  <c:y val="-0.23916322847604382"/>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rendlineLbl>
          </c:trendline>
          <c:xVal>
            <c:numRef>
              <c:f>'Agency Work with correlation_2'!$X$1013:$AY$1013</c:f>
              <c:numCache>
                <c:formatCode>0.0%</c:formatCode>
                <c:ptCount val="28"/>
                <c:pt idx="0">
                  <c:v>#N/A</c:v>
                </c:pt>
                <c:pt idx="1">
                  <c:v>#N/A</c:v>
                </c:pt>
                <c:pt idx="2">
                  <c:v>#N/A</c:v>
                </c:pt>
                <c:pt idx="3">
                  <c:v>#N/A</c:v>
                </c:pt>
                <c:pt idx="4">
                  <c:v>#N/A</c:v>
                </c:pt>
                <c:pt idx="5">
                  <c:v>#N/A</c:v>
                </c:pt>
                <c:pt idx="6">
                  <c:v>#N/A</c:v>
                </c:pt>
                <c:pt idx="7">
                  <c:v>#N/A</c:v>
                </c:pt>
                <c:pt idx="8">
                  <c:v>#N/A</c:v>
                </c:pt>
                <c:pt idx="9">
                  <c:v>#N/A</c:v>
                </c:pt>
                <c:pt idx="10">
                  <c:v>#N/A</c:v>
                </c:pt>
                <c:pt idx="11">
                  <c:v>#N/A</c:v>
                </c:pt>
                <c:pt idx="12">
                  <c:v>9.0000000000000011E-3</c:v>
                </c:pt>
                <c:pt idx="13">
                  <c:v>9.0000000000000011E-3</c:v>
                </c:pt>
                <c:pt idx="14">
                  <c:v>9.0000000000000011E-3</c:v>
                </c:pt>
                <c:pt idx="15">
                  <c:v>3.0000000000000001E-3</c:v>
                </c:pt>
                <c:pt idx="16">
                  <c:v>3.0000000000000001E-3</c:v>
                </c:pt>
                <c:pt idx="17">
                  <c:v>3.0000000000000001E-3</c:v>
                </c:pt>
                <c:pt idx="18">
                  <c:v>1.1000000000000001E-2</c:v>
                </c:pt>
                <c:pt idx="19">
                  <c:v>1.1000000000000001E-2</c:v>
                </c:pt>
                <c:pt idx="20">
                  <c:v>1.1000000000000001E-2</c:v>
                </c:pt>
                <c:pt idx="21">
                  <c:v>4.0000000000000001E-3</c:v>
                </c:pt>
                <c:pt idx="22">
                  <c:v>4.0000000000000001E-3</c:v>
                </c:pt>
                <c:pt idx="23">
                  <c:v>4.0000000000000001E-3</c:v>
                </c:pt>
                <c:pt idx="24">
                  <c:v>1.1000000000000001E-2</c:v>
                </c:pt>
                <c:pt idx="25">
                  <c:v>1.1000000000000001E-2</c:v>
                </c:pt>
                <c:pt idx="26">
                  <c:v>1.1000000000000001E-2</c:v>
                </c:pt>
                <c:pt idx="27">
                  <c:v>5.0000000000000001E-3</c:v>
                </c:pt>
              </c:numCache>
            </c:numRef>
          </c:xVal>
          <c:yVal>
            <c:numRef>
              <c:f>'Agency Work with correlation_2'!$X$1006:$AY$1006</c:f>
              <c:numCache>
                <c:formatCode>0%</c:formatCode>
                <c:ptCount val="28"/>
                <c:pt idx="0">
                  <c:v>0.14000000000000001</c:v>
                </c:pt>
                <c:pt idx="1">
                  <c:v>#N/A</c:v>
                </c:pt>
                <c:pt idx="2">
                  <c:v>0.14000000000000001</c:v>
                </c:pt>
                <c:pt idx="3">
                  <c:v>0.13</c:v>
                </c:pt>
                <c:pt idx="4">
                  <c:v>0.12</c:v>
                </c:pt>
                <c:pt idx="5">
                  <c:v>0.17299999999999999</c:v>
                </c:pt>
                <c:pt idx="6">
                  <c:v>#N/A</c:v>
                </c:pt>
                <c:pt idx="7">
                  <c:v>0.14099999999999999</c:v>
                </c:pt>
                <c:pt idx="8">
                  <c:v>#N/A</c:v>
                </c:pt>
                <c:pt idx="9">
                  <c:v>0.15</c:v>
                </c:pt>
                <c:pt idx="10">
                  <c:v>0.14000000000000001</c:v>
                </c:pt>
                <c:pt idx="11">
                  <c:v>#N/A</c:v>
                </c:pt>
                <c:pt idx="12">
                  <c:v>0.17299999999999999</c:v>
                </c:pt>
                <c:pt idx="13">
                  <c:v>0.2</c:v>
                </c:pt>
                <c:pt idx="14">
                  <c:v>0.22</c:v>
                </c:pt>
                <c:pt idx="15">
                  <c:v>0.224</c:v>
                </c:pt>
                <c:pt idx="16">
                  <c:v>0.14000000000000001</c:v>
                </c:pt>
                <c:pt idx="17">
                  <c:v>0.215</c:v>
                </c:pt>
                <c:pt idx="18">
                  <c:v>0.21299999999999999</c:v>
                </c:pt>
                <c:pt idx="19">
                  <c:v>0.21791695099301209</c:v>
                </c:pt>
                <c:pt idx="20">
                  <c:v>0.21919463066533534</c:v>
                </c:pt>
                <c:pt idx="21">
                  <c:v>0.23548080427325629</c:v>
                </c:pt>
                <c:pt idx="22">
                  <c:v>#N/A</c:v>
                </c:pt>
                <c:pt idx="23">
                  <c:v>#N/A</c:v>
                </c:pt>
                <c:pt idx="24">
                  <c:v>#N/A</c:v>
                </c:pt>
                <c:pt idx="25">
                  <c:v>#N/A</c:v>
                </c:pt>
                <c:pt idx="26">
                  <c:v>#N/A</c:v>
                </c:pt>
                <c:pt idx="27">
                  <c:v>#N/A</c:v>
                </c:pt>
              </c:numCache>
            </c:numRef>
          </c:yVal>
          <c:smooth val="0"/>
          <c:extLst>
            <c:ext xmlns:c16="http://schemas.microsoft.com/office/drawing/2014/chart" uri="{C3380CC4-5D6E-409C-BE32-E72D297353CC}">
              <c16:uniqueId val="{00000000-0940-4BD8-ACB5-3113F7095D6A}"/>
            </c:ext>
          </c:extLst>
        </c:ser>
        <c:dLbls>
          <c:showLegendKey val="0"/>
          <c:showVal val="0"/>
          <c:showCatName val="0"/>
          <c:showSerName val="0"/>
          <c:showPercent val="0"/>
          <c:showBubbleSize val="0"/>
        </c:dLbls>
        <c:axId val="245357632"/>
        <c:axId val="245771920"/>
      </c:scatterChart>
      <c:valAx>
        <c:axId val="245357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Y/Y % Change  in Quarterly GDP</a:t>
                </a:r>
              </a:p>
            </c:rich>
          </c:tx>
          <c:layout>
            <c:manualLayout>
              <c:xMode val="edge"/>
              <c:yMode val="edge"/>
              <c:x val="0.28915672531322867"/>
              <c:y val="0.8755306697773889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5771920"/>
        <c:crosses val="autoZero"/>
        <c:crossBetween val="midCat"/>
      </c:valAx>
      <c:valAx>
        <c:axId val="245771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Y/Y change in hours worked</a:t>
                </a:r>
              </a:p>
            </c:rich>
          </c:tx>
          <c:layout>
            <c:manualLayout>
              <c:xMode val="edge"/>
              <c:yMode val="edge"/>
              <c:x val="1.077441458307116E-2"/>
              <c:y val="0.1874361815884125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53576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'Total Employment'!$P$24</c:f>
          <c:strCache>
            <c:ptCount val="1"/>
            <c:pt idx="0">
              <c:v>Employees with temporary contracts - European Union (28 countries)</c:v>
            </c:pt>
          </c:strCache>
        </c:strRef>
      </c:tx>
      <c:layout>
        <c:manualLayout>
          <c:xMode val="edge"/>
          <c:yMode val="edge"/>
          <c:x val="0.1503223155148522"/>
          <c:y val="4.2757775518311773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6684371790592"/>
          <c:y val="0.21579622945254442"/>
          <c:w val="0.75911086370770697"/>
          <c:h val="0.58808710878880821"/>
        </c:manualLayout>
      </c:layout>
      <c:lineChart>
        <c:grouping val="standard"/>
        <c:varyColors val="0"/>
        <c:ser>
          <c:idx val="0"/>
          <c:order val="0"/>
          <c:tx>
            <c:strRef>
              <c:f>'Total Employment'!$A$1005</c:f>
              <c:strCache>
                <c:ptCount val="1"/>
                <c:pt idx="0">
                  <c:v>Employees with temporary contracts</c:v>
                </c:pt>
              </c:strCache>
            </c:strRef>
          </c:tx>
          <c:spPr>
            <a:ln w="28575" cap="rnd">
              <a:solidFill>
                <a:srgbClr val="0057B8"/>
              </a:solidFill>
              <a:round/>
            </a:ln>
            <a:effectLst/>
          </c:spPr>
          <c:marker>
            <c:symbol val="circle"/>
            <c:size val="5"/>
            <c:spPr>
              <a:solidFill>
                <a:srgbClr val="0057B8"/>
              </a:solidFill>
              <a:ln w="9525">
                <a:solidFill>
                  <a:srgbClr val="0057B8"/>
                </a:solidFill>
              </a:ln>
              <a:effectLst/>
            </c:spPr>
          </c:marker>
          <c:cat>
            <c:strRef>
              <c:f>'Total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'Total Employment'!$B$1005:$K$1005</c:f>
              <c:numCache>
                <c:formatCode>0.00</c:formatCode>
                <c:ptCount val="10"/>
                <c:pt idx="0">
                  <c:v>12</c:v>
                </c:pt>
                <c:pt idx="1">
                  <c:v>12.1</c:v>
                </c:pt>
                <c:pt idx="2">
                  <c:v>12</c:v>
                </c:pt>
                <c:pt idx="3">
                  <c:v>12.1</c:v>
                </c:pt>
                <c:pt idx="4">
                  <c:v>12.1</c:v>
                </c:pt>
                <c:pt idx="5">
                  <c:v>12.2</c:v>
                </c:pt>
                <c:pt idx="6">
                  <c:v>12.2</c:v>
                </c:pt>
                <c:pt idx="7">
                  <c:v>12.2</c:v>
                </c:pt>
                <c:pt idx="8">
                  <c:v>12.2</c:v>
                </c:pt>
                <c:pt idx="9">
                  <c:v>12.1</c:v>
                </c:pt>
              </c:numCache>
            </c:numRef>
          </c:val>
          <c:smooth val="0"/>
          <c:extLst>
            <c:ext xmlns:c16="http://schemas.microsoft.com/office/drawing/2014/chart" uri="{C3380CC4-5D6E-409C-BE32-E72D297353CC}">
              <c16:uniqueId val="{00000000-9136-4ABE-AC34-07FC4D56E993}"/>
            </c:ext>
          </c:extLst>
        </c:ser>
        <c:dLbls>
          <c:showLegendKey val="0"/>
          <c:showVal val="0"/>
          <c:showCatName val="0"/>
          <c:showSerName val="0"/>
          <c:showPercent val="0"/>
          <c:showBubbleSize val="0"/>
        </c:dLbls>
        <c:marker val="1"/>
        <c:smooth val="0"/>
        <c:axId val="238899720"/>
        <c:axId val="239078416"/>
      </c:lineChart>
      <c:catAx>
        <c:axId val="23889972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39078416"/>
        <c:crosses val="autoZero"/>
        <c:auto val="1"/>
        <c:lblAlgn val="ctr"/>
        <c:lblOffset val="50"/>
        <c:noMultiLvlLbl val="0"/>
      </c:catAx>
      <c:valAx>
        <c:axId val="239078416"/>
        <c:scaling>
          <c:orientation val="minMax"/>
        </c:scaling>
        <c:delete val="0"/>
        <c:axPos val="l"/>
        <c:majorGridlines>
          <c:spPr>
            <a:ln w="9525" cap="flat" cmpd="sng" algn="ctr">
              <a:solidFill>
                <a:schemeClr val="tx1">
                  <a:lumMod val="15000"/>
                  <a:lumOff val="85000"/>
                </a:schemeClr>
              </a:solidFill>
              <a:round/>
            </a:ln>
            <a:effectLst/>
          </c:spPr>
        </c:majorGridlines>
        <c:title>
          <c:tx>
            <c:strRef>
              <c:f>'Total Employment'!$L$1005</c:f>
              <c:strCache>
                <c:ptCount val="1"/>
                <c:pt idx="0">
                  <c:v>% Of Employees with temp. contracts</c:v>
                </c:pt>
              </c:strCache>
            </c:strRef>
          </c:tx>
          <c:layout>
            <c:manualLayout>
              <c:xMode val="edge"/>
              <c:yMode val="edge"/>
              <c:x val="1.1880513167874529E-2"/>
              <c:y val="0.16465268258471741"/>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38899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'Total Employment'!$I$7</c:f>
          <c:strCache>
            <c:ptCount val="1"/>
            <c:pt idx="0">
              <c:v>Y / Y Change in total employment - European Union (28 countries)</c:v>
            </c:pt>
          </c:strCache>
        </c:strRef>
      </c:tx>
      <c:layout>
        <c:manualLayout>
          <c:xMode val="edge"/>
          <c:yMode val="edge"/>
          <c:x val="0.20582803280406328"/>
          <c:y val="3.0087763875019692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598618532544329"/>
          <c:y val="0.22053153330094377"/>
          <c:w val="0.7368830228557699"/>
          <c:h val="0.58208324993179084"/>
        </c:manualLayout>
      </c:layout>
      <c:barChart>
        <c:barDir val="col"/>
        <c:grouping val="clustered"/>
        <c:varyColors val="0"/>
        <c:ser>
          <c:idx val="0"/>
          <c:order val="0"/>
          <c:spPr>
            <a:solidFill>
              <a:srgbClr val="D78825"/>
            </a:solidFill>
            <a:ln>
              <a:solidFill>
                <a:srgbClr val="D78825"/>
              </a:solidFill>
            </a:ln>
            <a:effectLst/>
          </c:spPr>
          <c:invertIfNegative val="0"/>
          <c:cat>
            <c:strRef>
              <c:f>'Total Employment'!$F$1001:$K$1001</c:f>
              <c:strCache>
                <c:ptCount val="6"/>
                <c:pt idx="0">
                  <c:v>2017Q1</c:v>
                </c:pt>
                <c:pt idx="1">
                  <c:v>2017Q2</c:v>
                </c:pt>
                <c:pt idx="2">
                  <c:v>2017Q3</c:v>
                </c:pt>
                <c:pt idx="3">
                  <c:v>2017Q4</c:v>
                </c:pt>
                <c:pt idx="4">
                  <c:v>2018Q1</c:v>
                </c:pt>
                <c:pt idx="5">
                  <c:v>2018Q2</c:v>
                </c:pt>
              </c:strCache>
            </c:strRef>
          </c:cat>
          <c:val>
            <c:numRef>
              <c:f>'Total Employment'!$F$1004:$K$1004</c:f>
              <c:numCache>
                <c:formatCode>0.0%</c:formatCode>
                <c:ptCount val="6"/>
                <c:pt idx="0">
                  <c:v>1.211453286477715E-2</c:v>
                </c:pt>
                <c:pt idx="1">
                  <c:v>1.4697304588243032E-2</c:v>
                </c:pt>
                <c:pt idx="2">
                  <c:v>1.4604342711614482E-2</c:v>
                </c:pt>
                <c:pt idx="3">
                  <c:v>1.3717936074163273E-2</c:v>
                </c:pt>
                <c:pt idx="4">
                  <c:v>1.3537797354897352E-2</c:v>
                </c:pt>
                <c:pt idx="5">
                  <c:v>1.046639867836463E-2</c:v>
                </c:pt>
              </c:numCache>
            </c:numRef>
          </c:val>
          <c:extLst>
            <c:ext xmlns:c16="http://schemas.microsoft.com/office/drawing/2014/chart" uri="{C3380CC4-5D6E-409C-BE32-E72D297353CC}">
              <c16:uniqueId val="{00000000-B9A5-4BA0-802D-063EC1FF8C70}"/>
            </c:ext>
          </c:extLst>
        </c:ser>
        <c:dLbls>
          <c:showLegendKey val="0"/>
          <c:showVal val="0"/>
          <c:showCatName val="0"/>
          <c:showSerName val="0"/>
          <c:showPercent val="0"/>
          <c:showBubbleSize val="0"/>
        </c:dLbls>
        <c:gapWidth val="50"/>
        <c:axId val="136036984"/>
        <c:axId val="209941008"/>
      </c:barChart>
      <c:catAx>
        <c:axId val="13603698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09941008"/>
        <c:crosses val="autoZero"/>
        <c:auto val="1"/>
        <c:lblAlgn val="ctr"/>
        <c:lblOffset val="50"/>
        <c:noMultiLvlLbl val="0"/>
      </c:catAx>
      <c:valAx>
        <c:axId val="209941008"/>
        <c:scaling>
          <c:orientation val="minMax"/>
        </c:scaling>
        <c:delete val="0"/>
        <c:axPos val="l"/>
        <c:majorGridlines>
          <c:spPr>
            <a:ln w="9525" cap="flat" cmpd="sng" algn="ctr">
              <a:solidFill>
                <a:schemeClr val="tx1">
                  <a:lumMod val="15000"/>
                  <a:lumOff val="85000"/>
                </a:schemeClr>
              </a:solidFill>
              <a:round/>
            </a:ln>
            <a:effectLst/>
          </c:spPr>
        </c:majorGridlines>
        <c:title>
          <c:tx>
            <c:strRef>
              <c:f>'Total Employment'!$A$1004</c:f>
              <c:strCache>
                <c:ptCount val="1"/>
                <c:pt idx="0">
                  <c:v>% Change in Total Employment</c:v>
                </c:pt>
              </c:strCache>
            </c:strRef>
          </c:tx>
          <c:layout>
            <c:manualLayout>
              <c:xMode val="edge"/>
              <c:yMode val="edge"/>
              <c:x val="2.5547641660697454E-2"/>
              <c:y val="0.2626110352098963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0369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'Total Employment'!$B$24</c:f>
          <c:strCache>
            <c:ptCount val="1"/>
            <c:pt idx="0">
              <c:v> Employment rate - European Union (28 countries)</c:v>
            </c:pt>
          </c:strCache>
        </c:strRef>
      </c:tx>
      <c:layout>
        <c:manualLayout>
          <c:xMode val="edge"/>
          <c:yMode val="edge"/>
          <c:x val="0.16635968190484954"/>
          <c:y val="6.4316598162282732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9281879504869484"/>
          <c:y val="0.19245178223689779"/>
          <c:w val="0.77005059478184024"/>
          <c:h val="0.61016306832613665"/>
        </c:manualLayout>
      </c:layout>
      <c:lineChart>
        <c:grouping val="standard"/>
        <c:varyColors val="0"/>
        <c:ser>
          <c:idx val="0"/>
          <c:order val="0"/>
          <c:tx>
            <c:strRef>
              <c:f>'Total Employment'!$A$1006</c:f>
              <c:strCache>
                <c:ptCount val="1"/>
                <c:pt idx="0">
                  <c:v>Employment Rate (%)</c:v>
                </c:pt>
              </c:strCache>
            </c:strRef>
          </c:tx>
          <c:spPr>
            <a:ln w="28575" cap="rnd">
              <a:solidFill>
                <a:srgbClr val="0057B8"/>
              </a:solidFill>
              <a:round/>
            </a:ln>
            <a:effectLst/>
          </c:spPr>
          <c:marker>
            <c:symbol val="circle"/>
            <c:size val="5"/>
            <c:spPr>
              <a:solidFill>
                <a:srgbClr val="0057B8"/>
              </a:solidFill>
              <a:ln w="9525">
                <a:solidFill>
                  <a:srgbClr val="0057B8"/>
                </a:solidFill>
              </a:ln>
              <a:effectLst/>
            </c:spPr>
          </c:marker>
          <c:cat>
            <c:strRef>
              <c:f>'Total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'Total Employment'!$B$1006:$K$1006</c:f>
              <c:numCache>
                <c:formatCode>General</c:formatCode>
                <c:ptCount val="10"/>
                <c:pt idx="0">
                  <c:v>65.7</c:v>
                </c:pt>
                <c:pt idx="1">
                  <c:v>66.599999999999994</c:v>
                </c:pt>
                <c:pt idx="2">
                  <c:v>67.099999999999994</c:v>
                </c:pt>
                <c:pt idx="3">
                  <c:v>66.900000000000006</c:v>
                </c:pt>
                <c:pt idx="4">
                  <c:v>66.7</c:v>
                </c:pt>
                <c:pt idx="5">
                  <c:v>67.7</c:v>
                </c:pt>
                <c:pt idx="6">
                  <c:v>68.2</c:v>
                </c:pt>
                <c:pt idx="7">
                  <c:v>68.099999999999994</c:v>
                </c:pt>
                <c:pt idx="8">
                  <c:v>67.8</c:v>
                </c:pt>
                <c:pt idx="9">
                  <c:v>68.599999999999994</c:v>
                </c:pt>
              </c:numCache>
            </c:numRef>
          </c:val>
          <c:smooth val="0"/>
          <c:extLst>
            <c:ext xmlns:c16="http://schemas.microsoft.com/office/drawing/2014/chart" uri="{C3380CC4-5D6E-409C-BE32-E72D297353CC}">
              <c16:uniqueId val="{00000000-6B96-4BC8-B77C-68E6A54D228D}"/>
            </c:ext>
          </c:extLst>
        </c:ser>
        <c:dLbls>
          <c:showLegendKey val="0"/>
          <c:showVal val="0"/>
          <c:showCatName val="0"/>
          <c:showSerName val="0"/>
          <c:showPercent val="0"/>
          <c:showBubbleSize val="0"/>
        </c:dLbls>
        <c:marker val="1"/>
        <c:smooth val="0"/>
        <c:axId val="240390680"/>
        <c:axId val="240391072"/>
      </c:lineChart>
      <c:catAx>
        <c:axId val="24039068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40391072"/>
        <c:crosses val="autoZero"/>
        <c:auto val="1"/>
        <c:lblAlgn val="ctr"/>
        <c:lblOffset val="50"/>
        <c:noMultiLvlLbl val="0"/>
      </c:catAx>
      <c:valAx>
        <c:axId val="240391072"/>
        <c:scaling>
          <c:orientation val="minMax"/>
        </c:scaling>
        <c:delete val="0"/>
        <c:axPos val="l"/>
        <c:majorGridlines>
          <c:spPr>
            <a:ln w="9525" cap="flat" cmpd="sng" algn="ctr">
              <a:solidFill>
                <a:schemeClr val="tx1">
                  <a:lumMod val="15000"/>
                  <a:lumOff val="85000"/>
                </a:schemeClr>
              </a:solidFill>
              <a:round/>
            </a:ln>
            <a:effectLst/>
          </c:spPr>
        </c:majorGridlines>
        <c:title>
          <c:tx>
            <c:strRef>
              <c:f>'Total Employment'!$A$1006</c:f>
              <c:strCache>
                <c:ptCount val="1"/>
                <c:pt idx="0">
                  <c:v>Employment Rate (%)</c:v>
                </c:pt>
              </c:strCache>
            </c:strRef>
          </c:tx>
          <c:layout>
            <c:manualLayout>
              <c:xMode val="edge"/>
              <c:yMode val="edge"/>
              <c:x val="3.8040607756379734E-2"/>
              <c:y val="0.21272631054149524"/>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0390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'Total Employment'!$I$24</c:f>
          <c:strCache>
            <c:ptCount val="1"/>
            <c:pt idx="0">
              <c:v> Unemployment-to-employment transition - European Union (28 countries)</c:v>
            </c:pt>
          </c:strCache>
        </c:strRef>
      </c:tx>
      <c:layout>
        <c:manualLayout>
          <c:xMode val="edge"/>
          <c:yMode val="edge"/>
          <c:x val="0.20049812396577832"/>
          <c:y val="3.2711664523298323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9281879504869484"/>
          <c:y val="0.21825823384980103"/>
          <c:w val="0.78547485545005047"/>
          <c:h val="0.58435661671323347"/>
        </c:manualLayout>
      </c:layout>
      <c:lineChart>
        <c:grouping val="standard"/>
        <c:varyColors val="0"/>
        <c:ser>
          <c:idx val="0"/>
          <c:order val="0"/>
          <c:tx>
            <c:strRef>
              <c:f>'Total Employment'!$A$1007</c:f>
              <c:strCache>
                <c:ptCount val="1"/>
                <c:pt idx="0">
                  <c:v>Unemployment in transition (%)</c:v>
                </c:pt>
              </c:strCache>
            </c:strRef>
          </c:tx>
          <c:spPr>
            <a:ln w="28575" cap="rnd">
              <a:solidFill>
                <a:srgbClr val="0057B8"/>
              </a:solidFill>
              <a:round/>
            </a:ln>
            <a:effectLst/>
          </c:spPr>
          <c:marker>
            <c:symbol val="circle"/>
            <c:size val="5"/>
            <c:spPr>
              <a:solidFill>
                <a:srgbClr val="0057B8"/>
              </a:solidFill>
              <a:ln w="9525">
                <a:solidFill>
                  <a:srgbClr val="0057B8"/>
                </a:solidFill>
              </a:ln>
              <a:effectLst/>
            </c:spPr>
          </c:marker>
          <c:cat>
            <c:strRef>
              <c:f>'Total Employment'!$B$1001:$K$1001</c:f>
              <c:strCache>
                <c:ptCount val="10"/>
                <c:pt idx="0">
                  <c:v>2016Q1</c:v>
                </c:pt>
                <c:pt idx="1">
                  <c:v>2016Q2</c:v>
                </c:pt>
                <c:pt idx="2">
                  <c:v>2016Q3</c:v>
                </c:pt>
                <c:pt idx="3">
                  <c:v>2016Q4</c:v>
                </c:pt>
                <c:pt idx="4">
                  <c:v>2017Q1</c:v>
                </c:pt>
                <c:pt idx="5">
                  <c:v>2017Q2</c:v>
                </c:pt>
                <c:pt idx="6">
                  <c:v>2017Q3</c:v>
                </c:pt>
                <c:pt idx="7">
                  <c:v>2017Q4</c:v>
                </c:pt>
                <c:pt idx="8">
                  <c:v>2018Q1</c:v>
                </c:pt>
                <c:pt idx="9">
                  <c:v>2018Q2</c:v>
                </c:pt>
              </c:strCache>
            </c:strRef>
          </c:cat>
          <c:val>
            <c:numRef>
              <c:f>'Total Employment'!$B$1007:$K$1007</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0-6AB8-4AE6-81B1-3C288CAAF38D}"/>
            </c:ext>
          </c:extLst>
        </c:ser>
        <c:dLbls>
          <c:showLegendKey val="0"/>
          <c:showVal val="0"/>
          <c:showCatName val="0"/>
          <c:showSerName val="0"/>
          <c:showPercent val="0"/>
          <c:showBubbleSize val="0"/>
        </c:dLbls>
        <c:marker val="1"/>
        <c:smooth val="0"/>
        <c:axId val="240392248"/>
        <c:axId val="240392640"/>
      </c:lineChart>
      <c:catAx>
        <c:axId val="24039224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40392640"/>
        <c:crosses val="autoZero"/>
        <c:auto val="1"/>
        <c:lblAlgn val="ctr"/>
        <c:lblOffset val="50"/>
        <c:noMultiLvlLbl val="0"/>
      </c:catAx>
      <c:valAx>
        <c:axId val="240392640"/>
        <c:scaling>
          <c:orientation val="minMax"/>
        </c:scaling>
        <c:delete val="0"/>
        <c:axPos val="l"/>
        <c:majorGridlines>
          <c:spPr>
            <a:ln w="9525" cap="flat" cmpd="sng" algn="ctr">
              <a:solidFill>
                <a:schemeClr val="tx1">
                  <a:lumMod val="15000"/>
                  <a:lumOff val="85000"/>
                </a:schemeClr>
              </a:solidFill>
              <a:round/>
            </a:ln>
            <a:effectLst/>
          </c:spPr>
        </c:majorGridlines>
        <c:title>
          <c:tx>
            <c:strRef>
              <c:f>'Total Employment'!$A$1007</c:f>
              <c:strCache>
                <c:ptCount val="1"/>
                <c:pt idx="0">
                  <c:v>Unemployment in transition (%)</c:v>
                </c:pt>
              </c:strCache>
            </c:strRef>
          </c:tx>
          <c:layout>
            <c:manualLayout>
              <c:xMode val="edge"/>
              <c:yMode val="edge"/>
              <c:x val="2.9452386203653418E-2"/>
              <c:y val="8.9353314706629411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0392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 Employment'!$B$7</c:f>
          <c:strCache>
            <c:ptCount val="1"/>
            <c:pt idx="0">
              <c:v>#N/A</c:v>
            </c:pt>
          </c:strCache>
        </c:strRef>
      </c:tx>
      <c:layout>
        <c:manualLayout>
          <c:xMode val="edge"/>
          <c:yMode val="edge"/>
          <c:x val="0.1202596266219749"/>
          <c:y val="2.203855474512932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7873624183764913"/>
          <c:y val="0.19241909343478142"/>
          <c:w val="0.7841328224515165"/>
          <c:h val="0.61019582505033332"/>
        </c:manualLayout>
      </c:layout>
      <c:lineChart>
        <c:grouping val="standard"/>
        <c:varyColors val="0"/>
        <c:ser>
          <c:idx val="0"/>
          <c:order val="0"/>
          <c:tx>
            <c:strRef>
              <c:f>'Temp Employment'!$A$1002</c:f>
              <c:strCache>
                <c:ptCount val="1"/>
                <c:pt idx="0">
                  <c:v>Temporary Employees (1000s)</c:v>
                </c:pt>
              </c:strCache>
            </c:strRef>
          </c:tx>
          <c:spPr>
            <a:ln w="28575" cap="rnd">
              <a:solidFill>
                <a:srgbClr val="0057B8"/>
              </a:solidFill>
              <a:round/>
            </a:ln>
            <a:effectLst/>
          </c:spPr>
          <c:marker>
            <c:symbol val="circle"/>
            <c:size val="5"/>
            <c:spPr>
              <a:solidFill>
                <a:srgbClr val="0057B8"/>
              </a:solidFill>
              <a:ln w="9525">
                <a:solidFill>
                  <a:srgbClr val="0057B8"/>
                </a:solidFill>
              </a:ln>
              <a:effectLst/>
            </c:spPr>
          </c:marker>
          <c:cat>
            <c:strRef>
              <c:f>'Temp Employment'!$B$1001:$K$1001</c:f>
              <c:strCache>
                <c:ptCount val="10"/>
                <c:pt idx="0">
                  <c:v>2013Q3</c:v>
                </c:pt>
                <c:pt idx="1">
                  <c:v>2013Q4</c:v>
                </c:pt>
                <c:pt idx="2">
                  <c:v>2014Q1</c:v>
                </c:pt>
                <c:pt idx="3">
                  <c:v>2014Q2</c:v>
                </c:pt>
                <c:pt idx="4">
                  <c:v>2014Q3</c:v>
                </c:pt>
                <c:pt idx="5">
                  <c:v>2014Q4</c:v>
                </c:pt>
                <c:pt idx="6">
                  <c:v>2015Q1</c:v>
                </c:pt>
                <c:pt idx="7">
                  <c:v>2015Q2</c:v>
                </c:pt>
                <c:pt idx="8">
                  <c:v>2015Q3</c:v>
                </c:pt>
                <c:pt idx="9">
                  <c:v>2015Q4</c:v>
                </c:pt>
              </c:strCache>
            </c:strRef>
          </c:cat>
          <c:val>
            <c:numRef>
              <c:f>'Temp Employment'!$B$1002:$K$1002</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0-A4DC-4D22-9167-89E0B745400C}"/>
            </c:ext>
          </c:extLst>
        </c:ser>
        <c:dLbls>
          <c:showLegendKey val="0"/>
          <c:showVal val="0"/>
          <c:showCatName val="0"/>
          <c:showSerName val="0"/>
          <c:showPercent val="0"/>
          <c:showBubbleSize val="0"/>
        </c:dLbls>
        <c:marker val="1"/>
        <c:smooth val="0"/>
        <c:axId val="240391856"/>
        <c:axId val="240390288"/>
      </c:lineChart>
      <c:catAx>
        <c:axId val="240391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0390288"/>
        <c:crosses val="autoZero"/>
        <c:auto val="1"/>
        <c:lblAlgn val="ctr"/>
        <c:lblOffset val="50"/>
        <c:noMultiLvlLbl val="0"/>
      </c:catAx>
      <c:valAx>
        <c:axId val="240390288"/>
        <c:scaling>
          <c:orientation val="minMax"/>
        </c:scaling>
        <c:delete val="0"/>
        <c:axPos val="l"/>
        <c:majorGridlines>
          <c:spPr>
            <a:ln w="9525" cap="flat" cmpd="sng" algn="ctr">
              <a:solidFill>
                <a:schemeClr val="tx1">
                  <a:lumMod val="15000"/>
                  <a:lumOff val="85000"/>
                </a:schemeClr>
              </a:solidFill>
              <a:round/>
            </a:ln>
            <a:effectLst/>
          </c:spPr>
        </c:majorGridlines>
        <c:title>
          <c:tx>
            <c:strRef>
              <c:f>'Temp Employment'!$A$1002</c:f>
              <c:strCache>
                <c:ptCount val="1"/>
                <c:pt idx="0">
                  <c:v>Temporary Employees (1000s)</c:v>
                </c:pt>
              </c:strCache>
            </c:strRef>
          </c:tx>
          <c:layout>
            <c:manualLayout>
              <c:xMode val="edge"/>
              <c:yMode val="edge"/>
              <c:x val="5.9579143379345561E-3"/>
              <c:y val="0.179653267107452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0391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 Employment'!$I$7</c:f>
          <c:strCache>
            <c:ptCount val="1"/>
            <c:pt idx="0">
              <c:v>#N/A</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7316211883129171"/>
          <c:y val="0.1998831338743208"/>
          <c:w val="0.645743806573293"/>
          <c:h val="0.50367439427666827"/>
        </c:manualLayout>
      </c:layout>
      <c:barChart>
        <c:barDir val="col"/>
        <c:grouping val="clustered"/>
        <c:varyColors val="0"/>
        <c:ser>
          <c:idx val="1"/>
          <c:order val="1"/>
          <c:tx>
            <c:strRef>
              <c:f>'Temp Employment'!$A$1002</c:f>
              <c:strCache>
                <c:ptCount val="1"/>
                <c:pt idx="0">
                  <c:v>Temporary Employees (1000s)</c:v>
                </c:pt>
              </c:strCache>
            </c:strRef>
          </c:tx>
          <c:spPr>
            <a:solidFill>
              <a:srgbClr val="D78825"/>
            </a:solidFill>
            <a:ln>
              <a:solidFill>
                <a:srgbClr val="D78825"/>
              </a:solidFill>
            </a:ln>
            <a:effectLst/>
          </c:spPr>
          <c:invertIfNegative val="0"/>
          <c:cat>
            <c:strRef>
              <c:f>'Temp Employment'!$B$1001:$J$1001</c:f>
              <c:strCache>
                <c:ptCount val="9"/>
                <c:pt idx="0">
                  <c:v>2013Q3</c:v>
                </c:pt>
                <c:pt idx="1">
                  <c:v>2013Q4</c:v>
                </c:pt>
                <c:pt idx="2">
                  <c:v>2014Q1</c:v>
                </c:pt>
                <c:pt idx="3">
                  <c:v>2014Q2</c:v>
                </c:pt>
                <c:pt idx="4">
                  <c:v>2014Q3</c:v>
                </c:pt>
                <c:pt idx="5">
                  <c:v>2014Q4</c:v>
                </c:pt>
                <c:pt idx="6">
                  <c:v>2015Q1</c:v>
                </c:pt>
                <c:pt idx="7">
                  <c:v>2015Q2</c:v>
                </c:pt>
                <c:pt idx="8">
                  <c:v>2015Q3</c:v>
                </c:pt>
              </c:strCache>
            </c:strRef>
          </c:cat>
          <c:val>
            <c:numRef>
              <c:f>'Temp Employment'!$B$1002:$K$1002</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2F71-489D-AE40-EBD343BD045F}"/>
            </c:ext>
          </c:extLst>
        </c:ser>
        <c:dLbls>
          <c:showLegendKey val="0"/>
          <c:showVal val="0"/>
          <c:showCatName val="0"/>
          <c:showSerName val="0"/>
          <c:showPercent val="0"/>
          <c:showBubbleSize val="0"/>
        </c:dLbls>
        <c:gapWidth val="50"/>
        <c:axId val="242758624"/>
        <c:axId val="242758232"/>
      </c:barChart>
      <c:lineChart>
        <c:grouping val="standard"/>
        <c:varyColors val="0"/>
        <c:ser>
          <c:idx val="0"/>
          <c:order val="0"/>
          <c:tx>
            <c:strRef>
              <c:f>'Temp Employment'!$A$1003</c:f>
              <c:strCache>
                <c:ptCount val="1"/>
                <c:pt idx="0">
                  <c:v>Temporary employees as % of total employees</c:v>
                </c:pt>
              </c:strCache>
            </c:strRef>
          </c:tx>
          <c:spPr>
            <a:ln w="28575" cap="rnd">
              <a:solidFill>
                <a:srgbClr val="0057B8"/>
              </a:solidFill>
              <a:round/>
            </a:ln>
            <a:effectLst/>
          </c:spPr>
          <c:marker>
            <c:symbol val="circle"/>
            <c:size val="5"/>
            <c:spPr>
              <a:solidFill>
                <a:srgbClr val="0057B8"/>
              </a:solidFill>
              <a:ln w="9525">
                <a:solidFill>
                  <a:srgbClr val="0057B8"/>
                </a:solidFill>
              </a:ln>
              <a:effectLst/>
            </c:spPr>
          </c:marker>
          <c:cat>
            <c:strRef>
              <c:f>'Temp Employment'!$B$1001:$K$1001</c:f>
              <c:strCache>
                <c:ptCount val="10"/>
                <c:pt idx="0">
                  <c:v>2013Q3</c:v>
                </c:pt>
                <c:pt idx="1">
                  <c:v>2013Q4</c:v>
                </c:pt>
                <c:pt idx="2">
                  <c:v>2014Q1</c:v>
                </c:pt>
                <c:pt idx="3">
                  <c:v>2014Q2</c:v>
                </c:pt>
                <c:pt idx="4">
                  <c:v>2014Q3</c:v>
                </c:pt>
                <c:pt idx="5">
                  <c:v>2014Q4</c:v>
                </c:pt>
                <c:pt idx="6">
                  <c:v>2015Q1</c:v>
                </c:pt>
                <c:pt idx="7">
                  <c:v>2015Q2</c:v>
                </c:pt>
                <c:pt idx="8">
                  <c:v>2015Q3</c:v>
                </c:pt>
                <c:pt idx="9">
                  <c:v>2015Q4</c:v>
                </c:pt>
              </c:strCache>
            </c:strRef>
          </c:cat>
          <c:val>
            <c:numRef>
              <c:f>'Temp Employment'!$B$1003:$K$1003</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1-2F71-489D-AE40-EBD343BD045F}"/>
            </c:ext>
          </c:extLst>
        </c:ser>
        <c:dLbls>
          <c:showLegendKey val="0"/>
          <c:showVal val="0"/>
          <c:showCatName val="0"/>
          <c:showSerName val="0"/>
          <c:showPercent val="0"/>
          <c:showBubbleSize val="0"/>
        </c:dLbls>
        <c:marker val="1"/>
        <c:smooth val="0"/>
        <c:axId val="209943752"/>
        <c:axId val="209941792"/>
      </c:lineChart>
      <c:catAx>
        <c:axId val="2099437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9941792"/>
        <c:crosses val="autoZero"/>
        <c:auto val="1"/>
        <c:lblAlgn val="ctr"/>
        <c:lblOffset val="50"/>
        <c:noMultiLvlLbl val="0"/>
      </c:catAx>
      <c:valAx>
        <c:axId val="209941792"/>
        <c:scaling>
          <c:orientation val="minMax"/>
        </c:scaling>
        <c:delete val="0"/>
        <c:axPos val="l"/>
        <c:majorGridlines>
          <c:spPr>
            <a:ln w="9525" cap="flat" cmpd="sng" algn="ctr">
              <a:solidFill>
                <a:schemeClr val="tx1">
                  <a:lumMod val="15000"/>
                  <a:lumOff val="85000"/>
                </a:schemeClr>
              </a:solidFill>
              <a:round/>
            </a:ln>
            <a:effectLst/>
          </c:spPr>
        </c:majorGridlines>
        <c:title>
          <c:tx>
            <c:strRef>
              <c:f>'Temp Employment'!$L$1003</c:f>
              <c:strCache>
                <c:ptCount val="1"/>
                <c:pt idx="0">
                  <c:v>Temp Employees (%)</c:v>
                </c:pt>
              </c:strCache>
            </c:strRef>
          </c:tx>
          <c:layout>
            <c:manualLayout>
              <c:xMode val="edge"/>
              <c:yMode val="edge"/>
              <c:x val="1.4418415551834875E-2"/>
              <c:y val="0.2704391308884554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9943752"/>
        <c:crosses val="autoZero"/>
        <c:crossBetween val="between"/>
      </c:valAx>
      <c:valAx>
        <c:axId val="242758232"/>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Total</a:t>
                </a:r>
                <a:r>
                  <a:rPr lang="en-US" sz="1200" b="1" baseline="0">
                    <a:solidFill>
                      <a:sysClr val="windowText" lastClr="000000"/>
                    </a:solidFill>
                  </a:rPr>
                  <a:t> Employment (1000s)</a:t>
                </a:r>
                <a:endParaRPr lang="en-US" sz="1200" b="1">
                  <a:solidFill>
                    <a:sysClr val="windowText" lastClr="000000"/>
                  </a:solidFill>
                </a:endParaRPr>
              </a:p>
            </c:rich>
          </c:tx>
          <c:layout>
            <c:manualLayout>
              <c:xMode val="edge"/>
              <c:yMode val="edge"/>
              <c:x val="0.94484295083959868"/>
              <c:y val="0.1664099785691926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2758624"/>
        <c:crosses val="max"/>
        <c:crossBetween val="between"/>
      </c:valAx>
      <c:catAx>
        <c:axId val="242758624"/>
        <c:scaling>
          <c:orientation val="minMax"/>
        </c:scaling>
        <c:delete val="1"/>
        <c:axPos val="b"/>
        <c:numFmt formatCode="General" sourceLinked="1"/>
        <c:majorTickMark val="out"/>
        <c:minorTickMark val="none"/>
        <c:tickLblPos val="nextTo"/>
        <c:crossAx val="242758232"/>
        <c:crosses val="autoZero"/>
        <c:auto val="1"/>
        <c:lblAlgn val="ctr"/>
        <c:lblOffset val="100"/>
        <c:noMultiLvlLbl val="0"/>
      </c:catAx>
      <c:spPr>
        <a:noFill/>
        <a:ln>
          <a:noFill/>
        </a:ln>
        <a:effectLst/>
      </c:spPr>
    </c:plotArea>
    <c:legend>
      <c:legendPos val="r"/>
      <c:layout>
        <c:manualLayout>
          <c:xMode val="edge"/>
          <c:yMode val="edge"/>
          <c:x val="0.11503686168918491"/>
          <c:y val="0.88817292333871112"/>
          <c:w val="0.80732600888374795"/>
          <c:h val="0.104116801913522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'Temporary Employment'!$P$7</c:f>
          <c:strCache>
            <c:ptCount val="1"/>
            <c:pt idx="0">
              <c:v>Temporary employees by length of contracts - European Union (28 countries)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4895433940230743"/>
          <c:y val="0.15880810910906076"/>
          <c:w val="0.77151392143677588"/>
          <c:h val="0.56609696794035702"/>
        </c:manualLayout>
      </c:layout>
      <c:barChart>
        <c:barDir val="col"/>
        <c:grouping val="stacked"/>
        <c:varyColors val="0"/>
        <c:ser>
          <c:idx val="5"/>
          <c:order val="0"/>
          <c:tx>
            <c:strRef>
              <c:f>'Temp Employment'!$A$1009</c:f>
              <c:strCache>
                <c:ptCount val="1"/>
                <c:pt idx="0">
                  <c:v>25+ Months</c:v>
                </c:pt>
              </c:strCache>
            </c:strRef>
          </c:tx>
          <c:spPr>
            <a:solidFill>
              <a:srgbClr val="5BC500"/>
            </a:solidFill>
            <a:ln>
              <a:solidFill>
                <a:srgbClr val="5BC500"/>
              </a:solidFill>
            </a:ln>
            <a:effectLst/>
          </c:spPr>
          <c:invertIfNegative val="0"/>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strCache>
            </c:strRef>
          </c:cat>
          <c:val>
            <c:numRef>
              <c:extLst>
                <c:ext xmlns:c15="http://schemas.microsoft.com/office/drawing/2012/chart" uri="{02D57815-91ED-43cb-92C2-25804820EDAC}">
                  <c15:fullRef>
                    <c15:sqref>'Temp Employment'!$B$1009:$K$1009</c15:sqref>
                  </c15:fullRef>
                </c:ext>
              </c:extLst>
              <c:f>'Temp Employment'!$B$1009:$J$1009</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0-E86F-48FA-B82D-9572BD77F140}"/>
            </c:ext>
          </c:extLst>
        </c:ser>
        <c:ser>
          <c:idx val="4"/>
          <c:order val="1"/>
          <c:tx>
            <c:strRef>
              <c:f>'Temp Employment'!$A$1008</c:f>
              <c:strCache>
                <c:ptCount val="1"/>
                <c:pt idx="0">
                  <c:v>13 -24 Months</c:v>
                </c:pt>
              </c:strCache>
            </c:strRef>
          </c:tx>
          <c:spPr>
            <a:solidFill>
              <a:srgbClr val="5C068C"/>
            </a:solidFill>
            <a:ln>
              <a:solidFill>
                <a:srgbClr val="455F60"/>
              </a:solidFill>
            </a:ln>
            <a:effectLst/>
          </c:spPr>
          <c:invertIfNegative val="0"/>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strCache>
            </c:strRef>
          </c:cat>
          <c:val>
            <c:numRef>
              <c:extLst>
                <c:ext xmlns:c15="http://schemas.microsoft.com/office/drawing/2012/chart" uri="{02D57815-91ED-43cb-92C2-25804820EDAC}">
                  <c15:fullRef>
                    <c15:sqref>'Temp Employment'!$B$1008:$K$1008</c15:sqref>
                  </c15:fullRef>
                </c:ext>
              </c:extLst>
              <c:f>'Temp Employment'!$B$1008:$J$1008</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1-E86F-48FA-B82D-9572BD77F140}"/>
            </c:ext>
          </c:extLst>
        </c:ser>
        <c:ser>
          <c:idx val="2"/>
          <c:order val="2"/>
          <c:tx>
            <c:strRef>
              <c:f>'Temp Employment'!$A$1007</c:f>
              <c:strCache>
                <c:ptCount val="1"/>
                <c:pt idx="0">
                  <c:v>7 - 12 Months</c:v>
                </c:pt>
              </c:strCache>
            </c:strRef>
          </c:tx>
          <c:spPr>
            <a:solidFill>
              <a:srgbClr val="00AB84"/>
            </a:solidFill>
            <a:ln>
              <a:solidFill>
                <a:srgbClr val="00AB84"/>
              </a:solidFill>
            </a:ln>
            <a:effectLst/>
          </c:spPr>
          <c:invertIfNegative val="0"/>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pt idx="9">
                  <c:v>2015Q4</c:v>
                </c:pt>
              </c:strCache>
            </c:strRef>
          </c:cat>
          <c:val>
            <c:numRef>
              <c:extLst>
                <c:ext xmlns:c15="http://schemas.microsoft.com/office/drawing/2012/chart" uri="{02D57815-91ED-43cb-92C2-25804820EDAC}">
                  <c15:fullRef>
                    <c15:sqref>'Temp Employment'!$B$1007:$J$1007</c15:sqref>
                  </c15:fullRef>
                </c:ext>
              </c:extLst>
              <c:f>'Temp Employment'!$B$1007:$J$1007</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2-E86F-48FA-B82D-9572BD77F140}"/>
            </c:ext>
          </c:extLst>
        </c:ser>
        <c:ser>
          <c:idx val="1"/>
          <c:order val="3"/>
          <c:tx>
            <c:strRef>
              <c:f>'Temp Employment'!$A$1006</c:f>
              <c:strCache>
                <c:ptCount val="1"/>
                <c:pt idx="0">
                  <c:v>4 - 6 Months</c:v>
                </c:pt>
              </c:strCache>
            </c:strRef>
          </c:tx>
          <c:spPr>
            <a:solidFill>
              <a:srgbClr val="D78825"/>
            </a:solidFill>
            <a:ln>
              <a:solidFill>
                <a:srgbClr val="D78825"/>
              </a:solidFill>
            </a:ln>
            <a:effectLst/>
          </c:spPr>
          <c:invertIfNegative val="0"/>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pt idx="9">
                  <c:v>2015Q4</c:v>
                </c:pt>
              </c:strCache>
            </c:strRef>
          </c:cat>
          <c:val>
            <c:numRef>
              <c:extLst>
                <c:ext xmlns:c15="http://schemas.microsoft.com/office/drawing/2012/chart" uri="{02D57815-91ED-43cb-92C2-25804820EDAC}">
                  <c15:fullRef>
                    <c15:sqref>'Temp Employment'!$B$1006:$J$1006</c15:sqref>
                  </c15:fullRef>
                </c:ext>
              </c:extLst>
              <c:f>'Temp Employment'!$B$1006:$J$1006</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3-E86F-48FA-B82D-9572BD77F140}"/>
            </c:ext>
          </c:extLst>
        </c:ser>
        <c:ser>
          <c:idx val="0"/>
          <c:order val="4"/>
          <c:tx>
            <c:strRef>
              <c:f>'Temp Employment'!$A$1005</c:f>
              <c:strCache>
                <c:ptCount val="1"/>
                <c:pt idx="0">
                  <c:v>1 - 3 Months</c:v>
                </c:pt>
              </c:strCache>
            </c:strRef>
          </c:tx>
          <c:spPr>
            <a:solidFill>
              <a:srgbClr val="0057B8"/>
            </a:solidFill>
            <a:ln>
              <a:solidFill>
                <a:srgbClr val="0057B8"/>
              </a:solidFill>
            </a:ln>
            <a:effectLst/>
          </c:spPr>
          <c:invertIfNegative val="0"/>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pt idx="9">
                  <c:v>2015Q4</c:v>
                </c:pt>
              </c:strCache>
            </c:strRef>
          </c:cat>
          <c:val>
            <c:numRef>
              <c:extLst>
                <c:ext xmlns:c15="http://schemas.microsoft.com/office/drawing/2012/chart" uri="{02D57815-91ED-43cb-92C2-25804820EDAC}">
                  <c15:fullRef>
                    <c15:sqref>'Temp Employment'!$B$1005:$J$1005</c15:sqref>
                  </c15:fullRef>
                </c:ext>
              </c:extLst>
              <c:f>'Temp Employment'!$B$1005:$J$1005</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4-E86F-48FA-B82D-9572BD77F140}"/>
            </c:ext>
          </c:extLst>
        </c:ser>
        <c:ser>
          <c:idx val="3"/>
          <c:order val="5"/>
          <c:tx>
            <c:strRef>
              <c:f>'Temp Employment'!$A$1004</c:f>
              <c:strCache>
                <c:ptCount val="1"/>
                <c:pt idx="0">
                  <c:v>&lt; 1 Month</c:v>
                </c:pt>
              </c:strCache>
            </c:strRef>
          </c:tx>
          <c:spPr>
            <a:solidFill>
              <a:srgbClr val="BA0C2F"/>
            </a:solidFill>
            <a:ln>
              <a:solidFill>
                <a:srgbClr val="BA0C2F"/>
              </a:solidFill>
            </a:ln>
            <a:effectLst/>
          </c:spPr>
          <c:invertIfNegative val="0"/>
          <c:cat>
            <c:strRef>
              <c:extLst>
                <c:ext xmlns:c15="http://schemas.microsoft.com/office/drawing/2012/chart" uri="{02D57815-91ED-43cb-92C2-25804820EDAC}">
                  <c15:fullRef>
                    <c15:sqref>'Temp Employment'!$B$1001:$K$1001</c15:sqref>
                  </c15:fullRef>
                </c:ext>
              </c:extLst>
              <c:f>'Temp Employment'!$B$1001:$J$1001</c:f>
              <c:strCache>
                <c:ptCount val="9"/>
                <c:pt idx="0">
                  <c:v>2013Q3</c:v>
                </c:pt>
                <c:pt idx="1">
                  <c:v>2013Q4</c:v>
                </c:pt>
                <c:pt idx="2">
                  <c:v>2014Q1</c:v>
                </c:pt>
                <c:pt idx="3">
                  <c:v>2014Q2</c:v>
                </c:pt>
                <c:pt idx="4">
                  <c:v>2014Q3</c:v>
                </c:pt>
                <c:pt idx="5">
                  <c:v>2014Q4</c:v>
                </c:pt>
                <c:pt idx="6">
                  <c:v>2015Q1</c:v>
                </c:pt>
                <c:pt idx="7">
                  <c:v>2015Q2</c:v>
                </c:pt>
                <c:pt idx="8">
                  <c:v>2015Q3</c:v>
                </c:pt>
                <c:pt idx="9">
                  <c:v>2015Q4</c:v>
                </c:pt>
              </c:strCache>
            </c:strRef>
          </c:cat>
          <c:val>
            <c:numRef>
              <c:extLst>
                <c:ext xmlns:c15="http://schemas.microsoft.com/office/drawing/2012/chart" uri="{02D57815-91ED-43cb-92C2-25804820EDAC}">
                  <c15:fullRef>
                    <c15:sqref>'Temp Employment'!$B$1004:$J$1004</c15:sqref>
                  </c15:fullRef>
                </c:ext>
              </c:extLst>
              <c:f>'Temp Employment'!$B$1004:$J$1004</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5-E86F-48FA-B82D-9572BD77F140}"/>
            </c:ext>
          </c:extLst>
        </c:ser>
        <c:dLbls>
          <c:showLegendKey val="0"/>
          <c:showVal val="0"/>
          <c:showCatName val="0"/>
          <c:showSerName val="0"/>
          <c:showPercent val="0"/>
          <c:showBubbleSize val="0"/>
        </c:dLbls>
        <c:gapWidth val="50"/>
        <c:overlap val="100"/>
        <c:axId val="242759408"/>
        <c:axId val="242759800"/>
      </c:barChart>
      <c:catAx>
        <c:axId val="24275940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2759800"/>
        <c:crosses val="autoZero"/>
        <c:auto val="1"/>
        <c:lblAlgn val="ctr"/>
        <c:lblOffset val="50"/>
        <c:noMultiLvlLbl val="0"/>
      </c:catAx>
      <c:valAx>
        <c:axId val="242759800"/>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'Temporary Employment'!$P$8</c:f>
              <c:strCache>
                <c:ptCount val="1"/>
                <c:pt idx="0">
                  <c:v>Temp Employees (1000s)</c:v>
                </c:pt>
              </c:strCache>
            </c:strRef>
          </c:tx>
          <c:layout>
            <c:manualLayout>
              <c:xMode val="edge"/>
              <c:yMode val="edge"/>
              <c:x val="1.2809990282736229E-2"/>
              <c:y val="0.21373234787369369"/>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2759408"/>
        <c:crosses val="autoZero"/>
        <c:crossBetween val="between"/>
      </c:valAx>
      <c:spPr>
        <a:noFill/>
        <a:ln>
          <a:noFill/>
        </a:ln>
        <a:effectLst/>
      </c:spPr>
    </c:plotArea>
    <c:legend>
      <c:legendPos val="r"/>
      <c:layout>
        <c:manualLayout>
          <c:xMode val="edge"/>
          <c:yMode val="edge"/>
          <c:x val="7.3528333548470381E-2"/>
          <c:y val="0.91001990160812807"/>
          <c:w val="0.88399380405318184"/>
          <c:h val="7.88767048290742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9" dropStyle="combo" dx="16" fmlaLink="'Total Employment'!$C$5" fmlaRange="'Data-total_employment'!$B$4:$B$42" noThreeD="1" sel="1" val="0"/>
</file>

<file path=xl/ctrlProps/ctrlProp2.xml><?xml version="1.0" encoding="utf-8"?>
<formControlPr xmlns="http://schemas.microsoft.com/office/spreadsheetml/2009/9/main" objectType="Drop" dropStyle="combo" dx="16" fmlaLink="$C$5" fmlaRange="'Data-total_employment'!$B$10:$B$42" noThreeD="1" sel="1" val="9"/>
</file>

<file path=xl/ctrlProps/ctrlProp3.xml><?xml version="1.0" encoding="utf-8"?>
<formControlPr xmlns="http://schemas.microsoft.com/office/spreadsheetml/2009/9/main" objectType="Drop" dropLines="39" dropStyle="combo" dx="16" fmlaLink="'Temp Employment'!$C$5" fmlaRange="'Data-total_employment'!$B$4:$B$42" noThreeD="1" sel="1" val="0"/>
</file>

<file path=xl/ctrlProps/ctrlProp4.xml><?xml version="1.0" encoding="utf-8"?>
<formControlPr xmlns="http://schemas.microsoft.com/office/spreadsheetml/2009/9/main" objectType="Drop" dropLines="12" dropStyle="combo" dx="16" fmlaLink="$C$5" fmlaRange="'WEC data_formatted'!$B$2:$B$14" noThreeD="1" sel="11" val="0"/>
</file>

<file path=xl/ctrlProps/ctrlProp5.xml><?xml version="1.0" encoding="utf-8"?>
<formControlPr xmlns="http://schemas.microsoft.com/office/spreadsheetml/2009/9/main" objectType="Drop" dropStyle="combo" dx="16" fmlaLink="$C$5" fmlaRange="'WEC data_formatted'!$B$2:$B$14" noThreeD="1" sel="4" val="2"/>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editAs="oneCell">
    <xdr:from>
      <xdr:col>3</xdr:col>
      <xdr:colOff>532794</xdr:colOff>
      <xdr:row>1</xdr:row>
      <xdr:rowOff>44450</xdr:rowOff>
    </xdr:from>
    <xdr:to>
      <xdr:col>3</xdr:col>
      <xdr:colOff>2718517</xdr:colOff>
      <xdr:row>1</xdr:row>
      <xdr:rowOff>1313048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8013094" y="107950"/>
          <a:ext cx="2185723" cy="12685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38100</xdr:colOff>
          <xdr:row>2</xdr:row>
          <xdr:rowOff>85725</xdr:rowOff>
        </xdr:from>
        <xdr:to>
          <xdr:col>4</xdr:col>
          <xdr:colOff>790575</xdr:colOff>
          <xdr:row>4</xdr:row>
          <xdr:rowOff>219075</xdr:rowOff>
        </xdr:to>
        <xdr:sp macro="" textlink="">
          <xdr:nvSpPr>
            <xdr:cNvPr id="1028" name="Drop Down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335180</xdr:colOff>
      <xdr:row>5</xdr:row>
      <xdr:rowOff>99220</xdr:rowOff>
    </xdr:from>
    <xdr:to>
      <xdr:col>6</xdr:col>
      <xdr:colOff>500303</xdr:colOff>
      <xdr:row>19</xdr:row>
      <xdr:rowOff>153940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547687</xdr:colOff>
      <xdr:row>5</xdr:row>
      <xdr:rowOff>72232</xdr:rowOff>
    </xdr:from>
    <xdr:to>
      <xdr:col>21</xdr:col>
      <xdr:colOff>158749</xdr:colOff>
      <xdr:row>20</xdr:row>
      <xdr:rowOff>55562</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545454</xdr:colOff>
      <xdr:row>20</xdr:row>
      <xdr:rowOff>136677</xdr:rowOff>
    </xdr:from>
    <xdr:to>
      <xdr:col>21</xdr:col>
      <xdr:colOff>179194</xdr:colOff>
      <xdr:row>36</xdr:row>
      <xdr:rowOff>7938</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452434</xdr:colOff>
      <xdr:row>5</xdr:row>
      <xdr:rowOff>78846</xdr:rowOff>
    </xdr:from>
    <xdr:to>
      <xdr:col>14</xdr:col>
      <xdr:colOff>103187</xdr:colOff>
      <xdr:row>19</xdr:row>
      <xdr:rowOff>158749</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307182</xdr:colOff>
      <xdr:row>20</xdr:row>
      <xdr:rowOff>100010</xdr:rowOff>
    </xdr:from>
    <xdr:to>
      <xdr:col>6</xdr:col>
      <xdr:colOff>492124</xdr:colOff>
      <xdr:row>35</xdr:row>
      <xdr:rowOff>47624</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421255</xdr:colOff>
      <xdr:row>20</xdr:row>
      <xdr:rowOff>68376</xdr:rowOff>
    </xdr:from>
    <xdr:to>
      <xdr:col>14</xdr:col>
      <xdr:colOff>103186</xdr:colOff>
      <xdr:row>35</xdr:row>
      <xdr:rowOff>166686</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3</xdr:row>
          <xdr:rowOff>161925</xdr:rowOff>
        </xdr:from>
        <xdr:to>
          <xdr:col>5</xdr:col>
          <xdr:colOff>447675</xdr:colOff>
          <xdr:row>5</xdr:row>
          <xdr:rowOff>28575</xdr:rowOff>
        </xdr:to>
        <xdr:sp macro="" textlink="">
          <xdr:nvSpPr>
            <xdr:cNvPr id="30721" name="Drop Down 1" hidden="1">
              <a:extLst>
                <a:ext uri="{63B3BB69-23CF-44E3-9099-C40C66FF867C}">
                  <a14:compatExt spid="_x0000_s30721"/>
                </a:ext>
                <a:ext uri="{FF2B5EF4-FFF2-40B4-BE49-F238E27FC236}">
                  <a16:creationId xmlns:a16="http://schemas.microsoft.com/office/drawing/2014/main" id="{00000000-0008-0000-02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307181</xdr:colOff>
      <xdr:row>5</xdr:row>
      <xdr:rowOff>185734</xdr:rowOff>
    </xdr:from>
    <xdr:to>
      <xdr:col>7</xdr:col>
      <xdr:colOff>476250</xdr:colOff>
      <xdr:row>22</xdr:row>
      <xdr:rowOff>404811</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571500</xdr:colOff>
      <xdr:row>5</xdr:row>
      <xdr:rowOff>190499</xdr:rowOff>
    </xdr:from>
    <xdr:to>
      <xdr:col>14</xdr:col>
      <xdr:colOff>69057</xdr:colOff>
      <xdr:row>22</xdr:row>
      <xdr:rowOff>404813</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261938</xdr:colOff>
      <xdr:row>5</xdr:row>
      <xdr:rowOff>188118</xdr:rowOff>
    </xdr:from>
    <xdr:to>
      <xdr:col>24</xdr:col>
      <xdr:colOff>0</xdr:colOff>
      <xdr:row>22</xdr:row>
      <xdr:rowOff>380999</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307180</xdr:colOff>
      <xdr:row>23</xdr:row>
      <xdr:rowOff>23814</xdr:rowOff>
    </xdr:from>
    <xdr:to>
      <xdr:col>7</xdr:col>
      <xdr:colOff>452436</xdr:colOff>
      <xdr:row>42</xdr:row>
      <xdr:rowOff>130970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23</xdr:row>
      <xdr:rowOff>23811</xdr:rowOff>
    </xdr:from>
    <xdr:to>
      <xdr:col>14</xdr:col>
      <xdr:colOff>85725</xdr:colOff>
      <xdr:row>42</xdr:row>
      <xdr:rowOff>119062</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297656</xdr:colOff>
      <xdr:row>23</xdr:row>
      <xdr:rowOff>11906</xdr:rowOff>
    </xdr:from>
    <xdr:to>
      <xdr:col>24</xdr:col>
      <xdr:colOff>35719</xdr:colOff>
      <xdr:row>42</xdr:row>
      <xdr:rowOff>119062</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314325</xdr:colOff>
          <xdr:row>2</xdr:row>
          <xdr:rowOff>104775</xdr:rowOff>
        </xdr:from>
        <xdr:to>
          <xdr:col>5</xdr:col>
          <xdr:colOff>409575</xdr:colOff>
          <xdr:row>5</xdr:row>
          <xdr:rowOff>28575</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307181</xdr:colOff>
      <xdr:row>6</xdr:row>
      <xdr:rowOff>4760</xdr:rowOff>
    </xdr:from>
    <xdr:to>
      <xdr:col>7</xdr:col>
      <xdr:colOff>476250</xdr:colOff>
      <xdr:row>20</xdr:row>
      <xdr:rowOff>133546</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571500</xdr:colOff>
      <xdr:row>6</xdr:row>
      <xdr:rowOff>1</xdr:rowOff>
    </xdr:from>
    <xdr:to>
      <xdr:col>14</xdr:col>
      <xdr:colOff>69057</xdr:colOff>
      <xdr:row>20</xdr:row>
      <xdr:rowOff>133351</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261938</xdr:colOff>
      <xdr:row>5</xdr:row>
      <xdr:rowOff>140495</xdr:rowOff>
    </xdr:from>
    <xdr:to>
      <xdr:col>24</xdr:col>
      <xdr:colOff>0</xdr:colOff>
      <xdr:row>20</xdr:row>
      <xdr:rowOff>113587</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307180</xdr:colOff>
      <xdr:row>21</xdr:row>
      <xdr:rowOff>128589</xdr:rowOff>
    </xdr:from>
    <xdr:to>
      <xdr:col>7</xdr:col>
      <xdr:colOff>515056</xdr:colOff>
      <xdr:row>36</xdr:row>
      <xdr:rowOff>70555</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21</xdr:row>
      <xdr:rowOff>128587</xdr:rowOff>
    </xdr:from>
    <xdr:to>
      <xdr:col>14</xdr:col>
      <xdr:colOff>183445</xdr:colOff>
      <xdr:row>36</xdr:row>
      <xdr:rowOff>49389</xdr:rowOff>
    </xdr:to>
    <xdr:graphicFrame macro="">
      <xdr:nvGraphicFramePr>
        <xdr:cNvPr id="10" name="Chart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290601</xdr:colOff>
      <xdr:row>21</xdr:row>
      <xdr:rowOff>116682</xdr:rowOff>
    </xdr:from>
    <xdr:to>
      <xdr:col>24</xdr:col>
      <xdr:colOff>28664</xdr:colOff>
      <xdr:row>36</xdr:row>
      <xdr:rowOff>98777</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xdr:row>
          <xdr:rowOff>66675</xdr:rowOff>
        </xdr:from>
        <xdr:to>
          <xdr:col>4</xdr:col>
          <xdr:colOff>790575</xdr:colOff>
          <xdr:row>5</xdr:row>
          <xdr:rowOff>28575</xdr:rowOff>
        </xdr:to>
        <xdr:sp macro="" textlink="">
          <xdr:nvSpPr>
            <xdr:cNvPr id="18433" name="Drop Down 1" hidden="1">
              <a:extLst>
                <a:ext uri="{63B3BB69-23CF-44E3-9099-C40C66FF867C}">
                  <a14:compatExt spid="_x0000_s18433"/>
                </a:ext>
                <a:ext uri="{FF2B5EF4-FFF2-40B4-BE49-F238E27FC236}">
                  <a16:creationId xmlns:a16="http://schemas.microsoft.com/office/drawing/2014/main" id="{00000000-0008-0000-0A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21430</xdr:colOff>
      <xdr:row>5</xdr:row>
      <xdr:rowOff>173831</xdr:rowOff>
    </xdr:from>
    <xdr:to>
      <xdr:col>11</xdr:col>
      <xdr:colOff>166686</xdr:colOff>
      <xdr:row>21</xdr:row>
      <xdr:rowOff>416719</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619898</xdr:colOff>
      <xdr:row>6</xdr:row>
      <xdr:rowOff>761</xdr:rowOff>
    </xdr:from>
    <xdr:to>
      <xdr:col>22</xdr:col>
      <xdr:colOff>504564</xdr:colOff>
      <xdr:row>22</xdr:row>
      <xdr:rowOff>50465</xdr:rowOff>
    </xdr:to>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188</xdr:col>
      <xdr:colOff>409575</xdr:colOff>
      <xdr:row>30</xdr:row>
      <xdr:rowOff>66675</xdr:rowOff>
    </xdr:from>
    <xdr:to>
      <xdr:col>204</xdr:col>
      <xdr:colOff>209550</xdr:colOff>
      <xdr:row>48</xdr:row>
      <xdr:rowOff>152400</xdr:rowOff>
    </xdr:to>
    <xdr:pic>
      <xdr:nvPicPr>
        <xdr:cNvPr id="3" name="Picture 2" descr="Description: cid:image003.png@01D22F92.85C42280">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709825" y="5972175"/>
          <a:ext cx="9553575"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409575</xdr:colOff>
          <xdr:row>4</xdr:row>
          <xdr:rowOff>47625</xdr:rowOff>
        </xdr:from>
        <xdr:to>
          <xdr:col>2</xdr:col>
          <xdr:colOff>390525</xdr:colOff>
          <xdr:row>5</xdr:row>
          <xdr:rowOff>85725</xdr:rowOff>
        </xdr:to>
        <xdr:sp macro="" textlink="">
          <xdr:nvSpPr>
            <xdr:cNvPr id="66561" name="Drop Down 1" hidden="1">
              <a:extLst>
                <a:ext uri="{63B3BB69-23CF-44E3-9099-C40C66FF867C}">
                  <a14:compatExt spid="_x0000_s66561"/>
                </a:ext>
                <a:ext uri="{FF2B5EF4-FFF2-40B4-BE49-F238E27FC236}">
                  <a16:creationId xmlns:a16="http://schemas.microsoft.com/office/drawing/2014/main" id="{00000000-0008-0000-0D00-000001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21430</xdr:colOff>
      <xdr:row>5</xdr:row>
      <xdr:rowOff>173831</xdr:rowOff>
    </xdr:from>
    <xdr:to>
      <xdr:col>11</xdr:col>
      <xdr:colOff>166686</xdr:colOff>
      <xdr:row>21</xdr:row>
      <xdr:rowOff>416719</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601005</xdr:colOff>
      <xdr:row>6</xdr:row>
      <xdr:rowOff>18871</xdr:rowOff>
    </xdr:from>
    <xdr:to>
      <xdr:col>22</xdr:col>
      <xdr:colOff>485671</xdr:colOff>
      <xdr:row>22</xdr:row>
      <xdr:rowOff>118884</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178594</xdr:colOff>
      <xdr:row>29</xdr:row>
      <xdr:rowOff>119063</xdr:rowOff>
    </xdr:from>
    <xdr:to>
      <xdr:col>11</xdr:col>
      <xdr:colOff>547687</xdr:colOff>
      <xdr:row>42</xdr:row>
      <xdr:rowOff>107156</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29</xdr:row>
      <xdr:rowOff>119064</xdr:rowOff>
    </xdr:from>
    <xdr:to>
      <xdr:col>6</xdr:col>
      <xdr:colOff>1</xdr:colOff>
      <xdr:row>42</xdr:row>
      <xdr:rowOff>107156</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130970</xdr:colOff>
      <xdr:row>29</xdr:row>
      <xdr:rowOff>130970</xdr:rowOff>
    </xdr:from>
    <xdr:to>
      <xdr:col>18</xdr:col>
      <xdr:colOff>23813</xdr:colOff>
      <xdr:row>42</xdr:row>
      <xdr:rowOff>95251</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30726</xdr:colOff>
      <xdr:row>43</xdr:row>
      <xdr:rowOff>133145</xdr:rowOff>
    </xdr:from>
    <xdr:to>
      <xdr:col>6</xdr:col>
      <xdr:colOff>30727</xdr:colOff>
      <xdr:row>57</xdr:row>
      <xdr:rowOff>67852</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202406</xdr:colOff>
      <xdr:row>43</xdr:row>
      <xdr:rowOff>23812</xdr:rowOff>
    </xdr:from>
    <xdr:to>
      <xdr:col>11</xdr:col>
      <xdr:colOff>571499</xdr:colOff>
      <xdr:row>56</xdr:row>
      <xdr:rowOff>142874</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130968</xdr:colOff>
      <xdr:row>43</xdr:row>
      <xdr:rowOff>23812</xdr:rowOff>
    </xdr:from>
    <xdr:to>
      <xdr:col>18</xdr:col>
      <xdr:colOff>23811</xdr:colOff>
      <xdr:row>56</xdr:row>
      <xdr:rowOff>119062</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IA\Eurostat_reports\July%202017\Quarterly_Europe_Employment_Eurostat_Report%20_2017Q1%202017092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otal Employment"/>
      <sheetName val="Temp Employment"/>
      <sheetName val="Temporary Employment"/>
      <sheetName val="Agency Work"/>
      <sheetName val="Agency Work Correlations"/>
      <sheetName val="Agency Work with correlation_2"/>
      <sheetName val="Notes"/>
      <sheetName val="data-processing-steps"/>
      <sheetName val="Notes_2"/>
      <sheetName val="Data-total_employment"/>
      <sheetName val="Data-temp_employment"/>
      <sheetName val="Eurociett_data_format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
          <cell r="F10">
            <v>4124.2</v>
          </cell>
          <cell r="G10">
            <v>4098.7</v>
          </cell>
          <cell r="H10">
            <v>4066.3</v>
          </cell>
          <cell r="T10">
            <v>27.9</v>
          </cell>
          <cell r="U10">
            <v>27.2</v>
          </cell>
          <cell r="V10">
            <v>28</v>
          </cell>
          <cell r="AE10">
            <v>7.9</v>
          </cell>
          <cell r="AF10">
            <v>8</v>
          </cell>
          <cell r="AG10">
            <v>7.9</v>
          </cell>
          <cell r="AL10">
            <v>70.8</v>
          </cell>
          <cell r="AM10">
            <v>72.099999999999994</v>
          </cell>
          <cell r="AN10">
            <v>71.3</v>
          </cell>
          <cell r="BA10">
            <v>69</v>
          </cell>
          <cell r="BB10">
            <v>73</v>
          </cell>
          <cell r="BC10">
            <v>73</v>
          </cell>
        </row>
        <row r="11">
          <cell r="F11">
            <v>4516.1000000000004</v>
          </cell>
          <cell r="G11">
            <v>4508.3999999999996</v>
          </cell>
          <cell r="H11">
            <v>4489.6000000000004</v>
          </cell>
          <cell r="T11">
            <v>24.8</v>
          </cell>
          <cell r="U11">
            <v>24.5</v>
          </cell>
          <cell r="V11">
            <v>25</v>
          </cell>
          <cell r="AE11">
            <v>8</v>
          </cell>
          <cell r="AF11">
            <v>7.5</v>
          </cell>
          <cell r="AG11">
            <v>8.1999999999999993</v>
          </cell>
          <cell r="AL11">
            <v>61.4</v>
          </cell>
          <cell r="AM11">
            <v>62.1</v>
          </cell>
          <cell r="AN11">
            <v>61.8</v>
          </cell>
          <cell r="BA11"/>
          <cell r="BB11"/>
          <cell r="BC11"/>
        </row>
        <row r="12">
          <cell r="F12">
            <v>3044.1</v>
          </cell>
          <cell r="G12">
            <v>2999.6</v>
          </cell>
          <cell r="H12">
            <v>2915.3</v>
          </cell>
          <cell r="T12">
            <v>2.1</v>
          </cell>
          <cell r="U12">
            <v>1.8</v>
          </cell>
          <cell r="V12">
            <v>2</v>
          </cell>
          <cell r="AE12">
            <v>3.6</v>
          </cell>
          <cell r="AF12">
            <v>3.6</v>
          </cell>
          <cell r="AG12">
            <v>3.6</v>
          </cell>
          <cell r="AL12">
            <v>62.4</v>
          </cell>
          <cell r="AM12">
            <v>64.5</v>
          </cell>
          <cell r="AN12">
            <v>63.7</v>
          </cell>
          <cell r="BA12">
            <v>33</v>
          </cell>
          <cell r="BB12">
            <v>36</v>
          </cell>
          <cell r="BC12">
            <v>20</v>
          </cell>
        </row>
        <row r="13">
          <cell r="F13">
            <v>1598.2</v>
          </cell>
          <cell r="G13">
            <v>1549.1</v>
          </cell>
          <cell r="H13">
            <v>1520</v>
          </cell>
          <cell r="T13">
            <v>6</v>
          </cell>
          <cell r="U13">
            <v>5.9</v>
          </cell>
          <cell r="V13">
            <v>4.9000000000000004</v>
          </cell>
          <cell r="AE13">
            <v>20</v>
          </cell>
          <cell r="AF13">
            <v>19.399999999999999</v>
          </cell>
          <cell r="AG13">
            <v>18.2</v>
          </cell>
          <cell r="AL13">
            <v>56.2</v>
          </cell>
          <cell r="AM13">
            <v>57.5</v>
          </cell>
          <cell r="AN13">
            <v>55.8</v>
          </cell>
          <cell r="BA13">
            <v>60</v>
          </cell>
          <cell r="BB13">
            <v>44</v>
          </cell>
          <cell r="BC13">
            <v>35</v>
          </cell>
        </row>
        <row r="14">
          <cell r="F14">
            <v>349.3</v>
          </cell>
          <cell r="G14">
            <v>353.3</v>
          </cell>
          <cell r="H14">
            <v>341</v>
          </cell>
          <cell r="T14">
            <v>13.3</v>
          </cell>
          <cell r="U14">
            <v>13</v>
          </cell>
          <cell r="V14">
            <v>13.8</v>
          </cell>
          <cell r="AE14">
            <v>15.7</v>
          </cell>
          <cell r="AF14">
            <v>14.3</v>
          </cell>
          <cell r="AG14">
            <v>12.8</v>
          </cell>
          <cell r="AL14">
            <v>63.2</v>
          </cell>
          <cell r="AM14">
            <v>62.5</v>
          </cell>
          <cell r="AN14">
            <v>63.1</v>
          </cell>
          <cell r="BA14">
            <v>16</v>
          </cell>
          <cell r="BB14">
            <v>7</v>
          </cell>
          <cell r="BC14">
            <v>12</v>
          </cell>
        </row>
        <row r="15">
          <cell r="F15">
            <v>4948.3999999999996</v>
          </cell>
          <cell r="G15">
            <v>4958.5</v>
          </cell>
          <cell r="H15">
            <v>4965.6000000000004</v>
          </cell>
          <cell r="T15">
            <v>5.6</v>
          </cell>
          <cell r="U15">
            <v>5.7</v>
          </cell>
          <cell r="V15">
            <v>5.8</v>
          </cell>
          <cell r="AE15">
            <v>8.1</v>
          </cell>
          <cell r="AF15">
            <v>8.1</v>
          </cell>
          <cell r="AG15">
            <v>8.1</v>
          </cell>
          <cell r="AL15">
            <v>70.2</v>
          </cell>
          <cell r="AM15">
            <v>70.5</v>
          </cell>
          <cell r="AN15">
            <v>70.8</v>
          </cell>
          <cell r="BA15">
            <v>51</v>
          </cell>
          <cell r="BB15">
            <v>40</v>
          </cell>
          <cell r="BC15">
            <v>51</v>
          </cell>
        </row>
        <row r="16">
          <cell r="F16">
            <v>2686.5</v>
          </cell>
          <cell r="G16">
            <v>2702.1</v>
          </cell>
          <cell r="H16">
            <v>2724.5</v>
          </cell>
          <cell r="T16">
            <v>27.1</v>
          </cell>
          <cell r="U16">
            <v>26.2</v>
          </cell>
          <cell r="V16">
            <v>26.1</v>
          </cell>
          <cell r="AE16">
            <v>12.5</v>
          </cell>
          <cell r="AF16">
            <v>11.9</v>
          </cell>
          <cell r="AG16">
            <v>12.2</v>
          </cell>
          <cell r="AL16">
            <v>73.5</v>
          </cell>
          <cell r="AM16">
            <v>73.7</v>
          </cell>
          <cell r="AN16">
            <v>73.8</v>
          </cell>
          <cell r="BA16">
            <v>69</v>
          </cell>
          <cell r="BB16">
            <v>68</v>
          </cell>
          <cell r="BC16">
            <v>66</v>
          </cell>
        </row>
        <row r="17">
          <cell r="F17">
            <v>632.29999999999995</v>
          </cell>
          <cell r="G17">
            <v>612</v>
          </cell>
          <cell r="H17">
            <v>597.79999999999995</v>
          </cell>
          <cell r="T17">
            <v>10</v>
          </cell>
          <cell r="U17">
            <v>9.1</v>
          </cell>
          <cell r="V17">
            <v>10</v>
          </cell>
          <cell r="AE17">
            <v>3.6</v>
          </cell>
          <cell r="AF17">
            <v>4.3</v>
          </cell>
          <cell r="AG17">
            <v>2.6</v>
          </cell>
          <cell r="AL17">
            <v>71.7</v>
          </cell>
          <cell r="AM17">
            <v>74</v>
          </cell>
          <cell r="AN17">
            <v>71.900000000000006</v>
          </cell>
          <cell r="BA17">
            <v>16</v>
          </cell>
          <cell r="BB17">
            <v>13</v>
          </cell>
          <cell r="BC17">
            <v>14</v>
          </cell>
        </row>
        <row r="18">
          <cell r="F18">
            <v>2411.8000000000002</v>
          </cell>
          <cell r="G18">
            <v>2339.4</v>
          </cell>
          <cell r="H18">
            <v>2327.9</v>
          </cell>
          <cell r="T18">
            <v>14.9</v>
          </cell>
          <cell r="U18">
            <v>14.2</v>
          </cell>
          <cell r="V18">
            <v>15.4</v>
          </cell>
          <cell r="AE18">
            <v>13.6</v>
          </cell>
          <cell r="AF18">
            <v>13.8</v>
          </cell>
          <cell r="AG18">
            <v>13.8</v>
          </cell>
          <cell r="AL18">
            <v>69.3</v>
          </cell>
          <cell r="AM18">
            <v>69.900000000000006</v>
          </cell>
          <cell r="AN18">
            <v>67.8</v>
          </cell>
          <cell r="BA18">
            <v>73</v>
          </cell>
          <cell r="BB18">
            <v>75</v>
          </cell>
          <cell r="BC18">
            <v>48</v>
          </cell>
        </row>
        <row r="19">
          <cell r="F19">
            <v>26307.5</v>
          </cell>
          <cell r="G19">
            <v>26093.200000000001</v>
          </cell>
          <cell r="H19">
            <v>26053.599999999999</v>
          </cell>
          <cell r="T19">
            <v>18.5</v>
          </cell>
          <cell r="U19">
            <v>17.8</v>
          </cell>
          <cell r="V19">
            <v>18.2</v>
          </cell>
          <cell r="AE19">
            <v>14.2</v>
          </cell>
          <cell r="AF19">
            <v>14.1</v>
          </cell>
          <cell r="AG19">
            <v>14.3</v>
          </cell>
          <cell r="AL19">
            <v>63.9</v>
          </cell>
          <cell r="AM19">
            <v>64.3</v>
          </cell>
          <cell r="AN19">
            <v>63.8</v>
          </cell>
          <cell r="BA19">
            <v>719</v>
          </cell>
          <cell r="BB19">
            <v>582</v>
          </cell>
          <cell r="BC19">
            <v>595</v>
          </cell>
        </row>
        <row r="20">
          <cell r="F20">
            <v>39225.699999999997</v>
          </cell>
          <cell r="G20">
            <v>39602.800000000003</v>
          </cell>
          <cell r="H20">
            <v>39923.5</v>
          </cell>
          <cell r="T20">
            <v>26.8</v>
          </cell>
          <cell r="U20">
            <v>26.5</v>
          </cell>
          <cell r="V20">
            <v>26.5</v>
          </cell>
          <cell r="AE20">
            <v>11.9</v>
          </cell>
          <cell r="AF20">
            <v>11.9</v>
          </cell>
          <cell r="AG20">
            <v>12</v>
          </cell>
          <cell r="AL20">
            <v>73.599999999999994</v>
          </cell>
          <cell r="AM20">
            <v>74.2</v>
          </cell>
          <cell r="AN20">
            <v>74.400000000000006</v>
          </cell>
          <cell r="BA20"/>
          <cell r="BB20"/>
          <cell r="BC20"/>
        </row>
        <row r="21">
          <cell r="F21">
            <v>3606.2</v>
          </cell>
          <cell r="G21">
            <v>3575.9</v>
          </cell>
          <cell r="H21">
            <v>3543.7</v>
          </cell>
          <cell r="T21">
            <v>9.8000000000000007</v>
          </cell>
          <cell r="U21">
            <v>9.6</v>
          </cell>
          <cell r="V21">
            <v>10.1</v>
          </cell>
          <cell r="AE21">
            <v>7.9</v>
          </cell>
          <cell r="AF21">
            <v>7.5</v>
          </cell>
          <cell r="AG21">
            <v>6.8</v>
          </cell>
          <cell r="AL21">
            <v>51</v>
          </cell>
          <cell r="AM21">
            <v>51.7</v>
          </cell>
          <cell r="AN21">
            <v>51.3</v>
          </cell>
          <cell r="BA21">
            <v>103</v>
          </cell>
          <cell r="BB21">
            <v>63</v>
          </cell>
          <cell r="BC21">
            <v>40</v>
          </cell>
        </row>
        <row r="22">
          <cell r="F22">
            <v>4228.1000000000004</v>
          </cell>
          <cell r="G22">
            <v>4221.3</v>
          </cell>
          <cell r="H22">
            <v>4224.6000000000004</v>
          </cell>
          <cell r="T22">
            <v>4.9000000000000004</v>
          </cell>
          <cell r="U22">
            <v>4.8</v>
          </cell>
          <cell r="V22">
            <v>4.5999999999999996</v>
          </cell>
          <cell r="AE22">
            <v>8.9</v>
          </cell>
          <cell r="AF22">
            <v>8.6</v>
          </cell>
          <cell r="AG22">
            <v>8.1</v>
          </cell>
          <cell r="AL22">
            <v>63.8</v>
          </cell>
          <cell r="AM22">
            <v>64.8</v>
          </cell>
          <cell r="AN22">
            <v>64.8</v>
          </cell>
          <cell r="BA22">
            <v>67</v>
          </cell>
          <cell r="BB22">
            <v>49</v>
          </cell>
          <cell r="BC22">
            <v>46</v>
          </cell>
        </row>
        <row r="23">
          <cell r="F23">
            <v>176</v>
          </cell>
          <cell r="G23">
            <v>172.7</v>
          </cell>
          <cell r="H23">
            <v>173.9</v>
          </cell>
          <cell r="T23">
            <v>21.7</v>
          </cell>
          <cell r="U23">
            <v>21.7</v>
          </cell>
          <cell r="V23">
            <v>25.3</v>
          </cell>
          <cell r="AE23">
            <v>10.6</v>
          </cell>
          <cell r="AF23">
            <v>10.1</v>
          </cell>
          <cell r="AG23">
            <v>10.7</v>
          </cell>
          <cell r="AL23">
            <v>85.6</v>
          </cell>
          <cell r="AM23">
            <v>86.1</v>
          </cell>
          <cell r="AN23">
            <v>84.3</v>
          </cell>
          <cell r="BA23">
            <v>4</v>
          </cell>
          <cell r="BB23">
            <v>4</v>
          </cell>
          <cell r="BC23">
            <v>4</v>
          </cell>
        </row>
        <row r="24">
          <cell r="F24">
            <v>1915.9</v>
          </cell>
          <cell r="G24">
            <v>1919.3</v>
          </cell>
          <cell r="H24">
            <v>1911.5</v>
          </cell>
          <cell r="T24">
            <v>22.2</v>
          </cell>
          <cell r="U24">
            <v>22</v>
          </cell>
          <cell r="V24">
            <v>21</v>
          </cell>
          <cell r="AE24">
            <v>7</v>
          </cell>
          <cell r="AF24">
            <v>6.9</v>
          </cell>
          <cell r="AG24">
            <v>6.7</v>
          </cell>
          <cell r="AL24">
            <v>63.1</v>
          </cell>
          <cell r="AM24">
            <v>63.8</v>
          </cell>
          <cell r="AN24">
            <v>63.9</v>
          </cell>
          <cell r="BA24">
            <v>27</v>
          </cell>
          <cell r="BB24">
            <v>30</v>
          </cell>
          <cell r="BC24">
            <v>29</v>
          </cell>
        </row>
        <row r="25">
          <cell r="F25">
            <v>22146.799999999999</v>
          </cell>
          <cell r="G25">
            <v>22078</v>
          </cell>
          <cell r="H25">
            <v>21908.400000000001</v>
          </cell>
          <cell r="T25">
            <v>18.399999999999999</v>
          </cell>
          <cell r="U25">
            <v>18.3</v>
          </cell>
          <cell r="V25">
            <v>18.8</v>
          </cell>
          <cell r="AE25">
            <v>10.8</v>
          </cell>
          <cell r="AF25">
            <v>11</v>
          </cell>
          <cell r="AG25">
            <v>11.1</v>
          </cell>
          <cell r="AL25">
            <v>56.3</v>
          </cell>
          <cell r="AM25">
            <v>56.7</v>
          </cell>
          <cell r="AN25">
            <v>56.6</v>
          </cell>
          <cell r="BA25">
            <v>536</v>
          </cell>
          <cell r="BB25">
            <v>391</v>
          </cell>
          <cell r="BC25">
            <v>383</v>
          </cell>
        </row>
        <row r="26">
          <cell r="F26">
            <v>872.6</v>
          </cell>
          <cell r="G26">
            <v>871.1</v>
          </cell>
          <cell r="H26">
            <v>860.3</v>
          </cell>
          <cell r="T26">
            <v>7.8</v>
          </cell>
          <cell r="U26">
            <v>8.5</v>
          </cell>
          <cell r="V26">
            <v>9.6</v>
          </cell>
          <cell r="AE26">
            <v>3.3</v>
          </cell>
          <cell r="AF26">
            <v>3.1</v>
          </cell>
          <cell r="AG26">
            <v>2.8</v>
          </cell>
          <cell r="AL26">
            <v>68.2</v>
          </cell>
          <cell r="AM26">
            <v>68.599999999999994</v>
          </cell>
          <cell r="AN26">
            <v>68.7</v>
          </cell>
          <cell r="BA26">
            <v>21</v>
          </cell>
          <cell r="BB26">
            <v>14</v>
          </cell>
          <cell r="BC26">
            <v>14</v>
          </cell>
        </row>
        <row r="27">
          <cell r="F27">
            <v>1312.7</v>
          </cell>
          <cell r="G27">
            <v>1304.8</v>
          </cell>
          <cell r="H27">
            <v>1307.7</v>
          </cell>
          <cell r="T27">
            <v>7.5</v>
          </cell>
          <cell r="U27">
            <v>6.4</v>
          </cell>
          <cell r="V27">
            <v>7</v>
          </cell>
          <cell r="AE27">
            <v>2</v>
          </cell>
          <cell r="AF27">
            <v>1.6</v>
          </cell>
          <cell r="AG27">
            <v>1.4</v>
          </cell>
          <cell r="AL27">
            <v>67</v>
          </cell>
          <cell r="AM27">
            <v>68</v>
          </cell>
          <cell r="AN27">
            <v>68</v>
          </cell>
          <cell r="BA27">
            <v>21</v>
          </cell>
          <cell r="BB27">
            <v>20</v>
          </cell>
          <cell r="BC27">
            <v>22</v>
          </cell>
        </row>
        <row r="28">
          <cell r="F28">
            <v>252.6</v>
          </cell>
          <cell r="G28">
            <v>253.8</v>
          </cell>
          <cell r="H28">
            <v>258.8</v>
          </cell>
          <cell r="T28">
            <v>19.5</v>
          </cell>
          <cell r="U28">
            <v>20.399999999999999</v>
          </cell>
          <cell r="V28">
            <v>19.399999999999999</v>
          </cell>
          <cell r="AE28">
            <v>7.2</v>
          </cell>
          <cell r="AF28">
            <v>8.6</v>
          </cell>
          <cell r="AG28">
            <v>8.3000000000000007</v>
          </cell>
          <cell r="AL28">
            <v>67.099999999999994</v>
          </cell>
          <cell r="AM28">
            <v>65.5</v>
          </cell>
          <cell r="AN28">
            <v>65.8</v>
          </cell>
          <cell r="BA28">
            <v>3</v>
          </cell>
          <cell r="BB28"/>
          <cell r="BC28">
            <v>6</v>
          </cell>
        </row>
        <row r="29">
          <cell r="F29">
            <v>701.4</v>
          </cell>
          <cell r="G29">
            <v>704</v>
          </cell>
          <cell r="H29">
            <v>705</v>
          </cell>
          <cell r="T29">
            <v>4.3</v>
          </cell>
          <cell r="U29">
            <v>5.6</v>
          </cell>
          <cell r="V29">
            <v>5.7</v>
          </cell>
          <cell r="AE29">
            <v>10.7</v>
          </cell>
          <cell r="AF29">
            <v>10.5</v>
          </cell>
          <cell r="AG29">
            <v>11.4</v>
          </cell>
          <cell r="AL29">
            <v>47.7</v>
          </cell>
          <cell r="AM29">
            <v>48.1</v>
          </cell>
          <cell r="AN29">
            <v>48.3</v>
          </cell>
          <cell r="BA29">
            <v>39</v>
          </cell>
          <cell r="BB29">
            <v>21</v>
          </cell>
          <cell r="BC29">
            <v>45</v>
          </cell>
        </row>
        <row r="30">
          <cell r="F30">
            <v>186</v>
          </cell>
          <cell r="G30">
            <v>182.3</v>
          </cell>
          <cell r="H30">
            <v>183.5</v>
          </cell>
          <cell r="T30">
            <v>14.3</v>
          </cell>
          <cell r="U30">
            <v>14.2</v>
          </cell>
          <cell r="V30">
            <v>13.8</v>
          </cell>
          <cell r="AE30">
            <v>6.3</v>
          </cell>
          <cell r="AF30">
            <v>6.5</v>
          </cell>
          <cell r="AG30">
            <v>6.7</v>
          </cell>
          <cell r="AL30">
            <v>63.9</v>
          </cell>
          <cell r="AM30">
            <v>65.2</v>
          </cell>
          <cell r="AN30">
            <v>63.9</v>
          </cell>
          <cell r="BA30"/>
          <cell r="BB30"/>
          <cell r="BC30"/>
        </row>
        <row r="31">
          <cell r="F31">
            <v>8153.1</v>
          </cell>
          <cell r="G31">
            <v>8133.6</v>
          </cell>
          <cell r="H31">
            <v>8113.1</v>
          </cell>
          <cell r="T31">
            <v>49.8</v>
          </cell>
          <cell r="U31">
            <v>49.5</v>
          </cell>
          <cell r="V31">
            <v>49.4</v>
          </cell>
          <cell r="AE31">
            <v>17.100000000000001</v>
          </cell>
          <cell r="AF31">
            <v>17.2</v>
          </cell>
          <cell r="AG31">
            <v>17.600000000000001</v>
          </cell>
          <cell r="AL31">
            <v>74.2</v>
          </cell>
          <cell r="AM31">
            <v>74.5</v>
          </cell>
          <cell r="AN31">
            <v>74.3</v>
          </cell>
          <cell r="BA31">
            <v>153</v>
          </cell>
          <cell r="BB31">
            <v>134</v>
          </cell>
          <cell r="BC31">
            <v>126</v>
          </cell>
        </row>
        <row r="32">
          <cell r="F32">
            <v>2560.3000000000002</v>
          </cell>
          <cell r="G32">
            <v>2540</v>
          </cell>
          <cell r="H32">
            <v>2538</v>
          </cell>
          <cell r="T32">
            <v>26.6</v>
          </cell>
          <cell r="U32">
            <v>25.2</v>
          </cell>
          <cell r="V32">
            <v>25.7</v>
          </cell>
          <cell r="AE32">
            <v>8.4</v>
          </cell>
          <cell r="AF32">
            <v>8.9</v>
          </cell>
          <cell r="AG32">
            <v>7.7</v>
          </cell>
          <cell r="AL32">
            <v>75.2</v>
          </cell>
          <cell r="AM32">
            <v>75.2</v>
          </cell>
          <cell r="AN32">
            <v>74.400000000000006</v>
          </cell>
          <cell r="BA32">
            <v>32</v>
          </cell>
          <cell r="BB32">
            <v>36</v>
          </cell>
          <cell r="BC32">
            <v>37</v>
          </cell>
        </row>
        <row r="33">
          <cell r="F33">
            <v>15962.4</v>
          </cell>
          <cell r="G33">
            <v>16000.7</v>
          </cell>
          <cell r="H33">
            <v>15731.1</v>
          </cell>
          <cell r="T33">
            <v>6.3</v>
          </cell>
          <cell r="U33">
            <v>6.2</v>
          </cell>
          <cell r="V33">
            <v>6.6</v>
          </cell>
          <cell r="AE33">
            <v>22.2</v>
          </cell>
          <cell r="AF33">
            <v>21.8</v>
          </cell>
          <cell r="AG33">
            <v>21.4</v>
          </cell>
          <cell r="AL33">
            <v>62.6</v>
          </cell>
          <cell r="AM33">
            <v>63.5</v>
          </cell>
          <cell r="AN33">
            <v>63.7</v>
          </cell>
          <cell r="BA33">
            <v>247</v>
          </cell>
          <cell r="BB33">
            <v>166</v>
          </cell>
          <cell r="BC33">
            <v>185</v>
          </cell>
        </row>
        <row r="34">
          <cell r="F34">
            <v>4335.8</v>
          </cell>
          <cell r="G34">
            <v>4318.7</v>
          </cell>
          <cell r="H34">
            <v>4298.3</v>
          </cell>
          <cell r="T34">
            <v>9.4</v>
          </cell>
          <cell r="U34">
            <v>9.1999999999999993</v>
          </cell>
          <cell r="V34">
            <v>9.5</v>
          </cell>
          <cell r="AE34">
            <v>19.2</v>
          </cell>
          <cell r="AF34">
            <v>18.8</v>
          </cell>
          <cell r="AG34">
            <v>19</v>
          </cell>
          <cell r="AL34">
            <v>64.2</v>
          </cell>
          <cell r="AM34">
            <v>64.400000000000006</v>
          </cell>
          <cell r="AN34">
            <v>64.3</v>
          </cell>
          <cell r="BA34">
            <v>144</v>
          </cell>
          <cell r="BB34">
            <v>129</v>
          </cell>
          <cell r="BC34">
            <v>118</v>
          </cell>
        </row>
        <row r="35">
          <cell r="F35">
            <v>8442.7000000000007</v>
          </cell>
          <cell r="G35">
            <v>8208</v>
          </cell>
          <cell r="H35">
            <v>7960.4</v>
          </cell>
          <cell r="T35">
            <v>7.6</v>
          </cell>
          <cell r="U35">
            <v>7.6</v>
          </cell>
          <cell r="V35">
            <v>6.7</v>
          </cell>
          <cell r="AE35">
            <v>1</v>
          </cell>
          <cell r="AF35">
            <v>1</v>
          </cell>
          <cell r="AG35">
            <v>1</v>
          </cell>
          <cell r="AL35">
            <v>62</v>
          </cell>
          <cell r="AM35">
            <v>63.2</v>
          </cell>
          <cell r="AN35">
            <v>61.4</v>
          </cell>
          <cell r="BA35">
            <v>68</v>
          </cell>
          <cell r="BB35">
            <v>62</v>
          </cell>
          <cell r="BC35">
            <v>46</v>
          </cell>
        </row>
        <row r="36">
          <cell r="F36">
            <v>2415.6</v>
          </cell>
          <cell r="G36">
            <v>2433.3000000000002</v>
          </cell>
          <cell r="H36">
            <v>2442.6</v>
          </cell>
          <cell r="T36">
            <v>5.8</v>
          </cell>
          <cell r="U36">
            <v>5.7</v>
          </cell>
          <cell r="V36">
            <v>6</v>
          </cell>
          <cell r="AE36">
            <v>8.4</v>
          </cell>
          <cell r="AF36">
            <v>8.1999999999999993</v>
          </cell>
          <cell r="AG36">
            <v>8.4</v>
          </cell>
          <cell r="AL36">
            <v>62.5</v>
          </cell>
          <cell r="AM36">
            <v>63</v>
          </cell>
          <cell r="AN36">
            <v>63.5</v>
          </cell>
          <cell r="BA36">
            <v>43</v>
          </cell>
          <cell r="BB36">
            <v>31</v>
          </cell>
          <cell r="BC36">
            <v>31</v>
          </cell>
        </row>
        <row r="37">
          <cell r="F37">
            <v>918.3</v>
          </cell>
          <cell r="G37">
            <v>900.4</v>
          </cell>
          <cell r="H37">
            <v>883</v>
          </cell>
          <cell r="T37">
            <v>9.3000000000000007</v>
          </cell>
          <cell r="U37">
            <v>9.1999999999999993</v>
          </cell>
          <cell r="V37">
            <v>9.3000000000000007</v>
          </cell>
          <cell r="AE37">
            <v>14.9</v>
          </cell>
          <cell r="AF37">
            <v>14.3</v>
          </cell>
          <cell r="AG37">
            <v>14.6</v>
          </cell>
          <cell r="AL37">
            <v>65.5</v>
          </cell>
          <cell r="AM37">
            <v>66.7</v>
          </cell>
          <cell r="AN37">
            <v>65.2</v>
          </cell>
          <cell r="BA37">
            <v>22</v>
          </cell>
          <cell r="BB37">
            <v>16</v>
          </cell>
          <cell r="BC37">
            <v>14</v>
          </cell>
        </row>
        <row r="38">
          <cell r="F38">
            <v>17897.7</v>
          </cell>
          <cell r="G38">
            <v>17932.2</v>
          </cell>
          <cell r="H38">
            <v>17880.8</v>
          </cell>
          <cell r="T38">
            <v>15.2</v>
          </cell>
          <cell r="U38">
            <v>14.4</v>
          </cell>
          <cell r="V38">
            <v>15.2</v>
          </cell>
          <cell r="AE38">
            <v>21.4</v>
          </cell>
          <cell r="AF38">
            <v>22</v>
          </cell>
          <cell r="AG38">
            <v>22.1</v>
          </cell>
          <cell r="AL38">
            <v>57.8</v>
          </cell>
          <cell r="AM38">
            <v>58.4</v>
          </cell>
          <cell r="AN38">
            <v>58.6</v>
          </cell>
          <cell r="BA38">
            <v>883</v>
          </cell>
          <cell r="BB38">
            <v>932</v>
          </cell>
          <cell r="BC38">
            <v>870</v>
          </cell>
        </row>
        <row r="39">
          <cell r="F39">
            <v>4744.2</v>
          </cell>
          <cell r="G39">
            <v>4676.8999999999996</v>
          </cell>
          <cell r="H39">
            <v>4638</v>
          </cell>
          <cell r="T39">
            <v>24.1</v>
          </cell>
          <cell r="U39">
            <v>22.8</v>
          </cell>
          <cell r="V39">
            <v>23.9</v>
          </cell>
          <cell r="AE39">
            <v>14.8</v>
          </cell>
          <cell r="AF39">
            <v>14.3</v>
          </cell>
          <cell r="AG39">
            <v>14.7</v>
          </cell>
          <cell r="AL39">
            <v>75.599999999999994</v>
          </cell>
          <cell r="AM39">
            <v>76.900000000000006</v>
          </cell>
          <cell r="AN39">
            <v>75.599999999999994</v>
          </cell>
          <cell r="BA39">
            <v>125</v>
          </cell>
          <cell r="BB39">
            <v>104</v>
          </cell>
          <cell r="BC39">
            <v>93</v>
          </cell>
        </row>
        <row r="40">
          <cell r="F40">
            <v>4349.6000000000004</v>
          </cell>
          <cell r="G40">
            <v>4412.8999999999996</v>
          </cell>
          <cell r="H40">
            <v>4406.2</v>
          </cell>
          <cell r="T40">
            <v>37.200000000000003</v>
          </cell>
          <cell r="U40">
            <v>36.200000000000003</v>
          </cell>
          <cell r="V40">
            <v>36.9</v>
          </cell>
          <cell r="AE40">
            <v>11.4</v>
          </cell>
          <cell r="AF40">
            <v>11.2</v>
          </cell>
          <cell r="AG40">
            <v>11.6</v>
          </cell>
          <cell r="AL40">
            <v>79.099999999999994</v>
          </cell>
          <cell r="AM40">
            <v>78.8</v>
          </cell>
          <cell r="AN40">
            <v>79.7</v>
          </cell>
          <cell r="BA40">
            <v>82</v>
          </cell>
          <cell r="BB40">
            <v>68</v>
          </cell>
          <cell r="BC40">
            <v>95</v>
          </cell>
        </row>
        <row r="41">
          <cell r="F41">
            <v>26426.5</v>
          </cell>
          <cell r="G41">
            <v>25942.9</v>
          </cell>
          <cell r="H41">
            <v>25717.1</v>
          </cell>
          <cell r="T41">
            <v>10.199999999999999</v>
          </cell>
          <cell r="U41">
            <v>8.1999999999999993</v>
          </cell>
          <cell r="V41">
            <v>10.3</v>
          </cell>
          <cell r="AE41">
            <v>9.6</v>
          </cell>
          <cell r="AF41">
            <v>8.6999999999999993</v>
          </cell>
          <cell r="AG41">
            <v>8.9</v>
          </cell>
          <cell r="AL41">
            <v>51.1</v>
          </cell>
          <cell r="AM41">
            <v>51.1</v>
          </cell>
          <cell r="AN41">
            <v>50</v>
          </cell>
          <cell r="BA41">
            <v>1142</v>
          </cell>
          <cell r="BB41">
            <v>874</v>
          </cell>
          <cell r="BC41">
            <v>1123</v>
          </cell>
        </row>
        <row r="42">
          <cell r="F42">
            <v>30131.3</v>
          </cell>
          <cell r="G42">
            <v>30307.7</v>
          </cell>
          <cell r="H42">
            <v>30217.599999999999</v>
          </cell>
          <cell r="T42">
            <v>25.3</v>
          </cell>
          <cell r="U42">
            <v>25.1</v>
          </cell>
          <cell r="V42">
            <v>25.1</v>
          </cell>
          <cell r="AE42">
            <v>5.2</v>
          </cell>
          <cell r="AF42">
            <v>5</v>
          </cell>
          <cell r="AG42">
            <v>5</v>
          </cell>
          <cell r="AL42">
            <v>72.3</v>
          </cell>
          <cell r="AM42">
            <v>72.900000000000006</v>
          </cell>
          <cell r="AN42">
            <v>73.3</v>
          </cell>
          <cell r="BA42">
            <v>321</v>
          </cell>
          <cell r="BB42">
            <v>286</v>
          </cell>
          <cell r="BC42">
            <v>379</v>
          </cell>
        </row>
      </sheetData>
      <sheetData sheetId="11" refreshError="1">
        <row r="4">
          <cell r="F4">
            <v>14.6</v>
          </cell>
          <cell r="G4">
            <v>14.1</v>
          </cell>
          <cell r="P4">
            <v>25845.9</v>
          </cell>
          <cell r="Q4">
            <v>26860.6</v>
          </cell>
          <cell r="AE4">
            <v>1314.5</v>
          </cell>
          <cell r="AF4">
            <v>1330.3</v>
          </cell>
          <cell r="BS4">
            <v>2753</v>
          </cell>
          <cell r="BT4">
            <v>2783.1</v>
          </cell>
          <cell r="CD4">
            <v>4124</v>
          </cell>
          <cell r="CE4">
            <v>4151</v>
          </cell>
          <cell r="CS4">
            <v>6826.2</v>
          </cell>
          <cell r="CT4">
            <v>7024.5</v>
          </cell>
          <cell r="DD4">
            <v>12256.9</v>
          </cell>
          <cell r="DE4">
            <v>12651.7</v>
          </cell>
          <cell r="DO4">
            <v>7464.9</v>
          </cell>
          <cell r="DP4">
            <v>7493.7</v>
          </cell>
          <cell r="EG4">
            <v>329.7</v>
          </cell>
          <cell r="EH4">
            <v>324.39999999999998</v>
          </cell>
          <cell r="EV4">
            <v>4131.1000000000004</v>
          </cell>
          <cell r="EW4">
            <v>3849.1</v>
          </cell>
          <cell r="FG4">
            <v>3464.2</v>
          </cell>
          <cell r="FH4">
            <v>3414</v>
          </cell>
          <cell r="FR4">
            <v>2487.9</v>
          </cell>
          <cell r="FS4">
            <v>2641.1</v>
          </cell>
          <cell r="GC4">
            <v>5753.9</v>
          </cell>
          <cell r="GD4">
            <v>6103.5</v>
          </cell>
          <cell r="GN4">
            <v>461.8</v>
          </cell>
          <cell r="GO4">
            <v>470.5</v>
          </cell>
          <cell r="GY4">
            <v>3170.5</v>
          </cell>
          <cell r="GZ4">
            <v>3254.7</v>
          </cell>
          <cell r="HJ4">
            <v>2073.9</v>
          </cell>
          <cell r="HK4">
            <v>2160.5</v>
          </cell>
          <cell r="HU4">
            <v>4473.7</v>
          </cell>
          <cell r="HV4">
            <v>4726.5</v>
          </cell>
          <cell r="IF4">
            <v>185.9</v>
          </cell>
          <cell r="IG4">
            <v>174.3</v>
          </cell>
          <cell r="JB4">
            <v>974.9</v>
          </cell>
          <cell r="JC4">
            <v>1015.9</v>
          </cell>
          <cell r="JI4">
            <v>3787.6</v>
          </cell>
          <cell r="JJ4">
            <v>3924.8</v>
          </cell>
          <cell r="JT4">
            <v>1707.1</v>
          </cell>
          <cell r="JU4">
            <v>1785</v>
          </cell>
          <cell r="KE4">
            <v>3330.2</v>
          </cell>
          <cell r="KF4">
            <v>3548.1</v>
          </cell>
          <cell r="KP4">
            <v>1056.8</v>
          </cell>
          <cell r="KQ4">
            <v>1122.5</v>
          </cell>
          <cell r="LE4">
            <v>2227.1999999999998</v>
          </cell>
          <cell r="LF4">
            <v>2529.6999999999998</v>
          </cell>
          <cell r="LL4">
            <v>531.4</v>
          </cell>
          <cell r="LM4">
            <v>551.6</v>
          </cell>
          <cell r="LW4">
            <v>382.5</v>
          </cell>
          <cell r="LX4">
            <v>408.1</v>
          </cell>
          <cell r="ML4">
            <v>955.2</v>
          </cell>
          <cell r="MM4">
            <v>969.5</v>
          </cell>
          <cell r="MW4">
            <v>1479.3</v>
          </cell>
          <cell r="MX4">
            <v>1579.7</v>
          </cell>
          <cell r="NH4">
            <v>1681.1</v>
          </cell>
          <cell r="NI4">
            <v>1732</v>
          </cell>
          <cell r="NS4">
            <v>2621.9</v>
          </cell>
          <cell r="NT4">
            <v>2153.4</v>
          </cell>
          <cell r="OD4">
            <v>3068.3</v>
          </cell>
          <cell r="OE4">
            <v>3124.2</v>
          </cell>
          <cell r="OV4">
            <v>0.4</v>
          </cell>
          <cell r="OW4">
            <v>0.4</v>
          </cell>
        </row>
        <row r="5">
          <cell r="F5">
            <v>14.5</v>
          </cell>
          <cell r="G5">
            <v>14.1</v>
          </cell>
          <cell r="P5">
            <v>25584.7</v>
          </cell>
          <cell r="Q5">
            <v>26558.7</v>
          </cell>
          <cell r="AE5">
            <v>1299.3</v>
          </cell>
          <cell r="AF5">
            <v>1310.8</v>
          </cell>
          <cell r="BS5">
            <v>2741.5</v>
          </cell>
          <cell r="BT5">
            <v>2770.6</v>
          </cell>
          <cell r="CD5">
            <v>4073.3</v>
          </cell>
          <cell r="CE5">
            <v>4101.3</v>
          </cell>
          <cell r="CS5">
            <v>6792.5</v>
          </cell>
          <cell r="CT5">
            <v>6989.2</v>
          </cell>
          <cell r="DD5">
            <v>12046.8</v>
          </cell>
          <cell r="DE5">
            <v>12418.6</v>
          </cell>
          <cell r="DO5">
            <v>7388.5</v>
          </cell>
          <cell r="DP5">
            <v>7424.2</v>
          </cell>
          <cell r="EG5">
            <v>327.8</v>
          </cell>
          <cell r="EH5">
            <v>324</v>
          </cell>
          <cell r="EV5">
            <v>4086.2</v>
          </cell>
          <cell r="EW5">
            <v>3814.3</v>
          </cell>
          <cell r="FG5">
            <v>3431</v>
          </cell>
          <cell r="FH5">
            <v>3376.2</v>
          </cell>
          <cell r="FR5">
            <v>2458.9</v>
          </cell>
          <cell r="FS5">
            <v>2613.4</v>
          </cell>
          <cell r="GC5">
            <v>5672.1</v>
          </cell>
          <cell r="GD5">
            <v>6013.3</v>
          </cell>
          <cell r="GN5">
            <v>460.3</v>
          </cell>
          <cell r="GO5">
            <v>469.4</v>
          </cell>
          <cell r="GY5">
            <v>3129.3</v>
          </cell>
          <cell r="GZ5">
            <v>3208.8</v>
          </cell>
          <cell r="HJ5">
            <v>2035.6</v>
          </cell>
          <cell r="HK5">
            <v>2122.5</v>
          </cell>
          <cell r="HU5">
            <v>4429.2</v>
          </cell>
          <cell r="HV5">
            <v>4669.8999999999996</v>
          </cell>
          <cell r="IF5">
            <v>183.1</v>
          </cell>
          <cell r="IG5">
            <v>171.6</v>
          </cell>
          <cell r="JB5">
            <v>965.7</v>
          </cell>
          <cell r="JC5">
            <v>1004.9</v>
          </cell>
          <cell r="JI5">
            <v>3745.6</v>
          </cell>
          <cell r="JJ5">
            <v>3882.1</v>
          </cell>
          <cell r="JT5">
            <v>1687.2</v>
          </cell>
          <cell r="JU5">
            <v>1759.4</v>
          </cell>
          <cell r="KE5">
            <v>3291.1</v>
          </cell>
          <cell r="KF5">
            <v>3505.8</v>
          </cell>
          <cell r="KP5">
            <v>1040.4000000000001</v>
          </cell>
          <cell r="KQ5">
            <v>1102.2</v>
          </cell>
          <cell r="LE5">
            <v>2182.1</v>
          </cell>
          <cell r="LF5">
            <v>2460.4</v>
          </cell>
          <cell r="LL5">
            <v>521.6</v>
          </cell>
          <cell r="LM5">
            <v>540.79999999999995</v>
          </cell>
          <cell r="LW5">
            <v>377.7</v>
          </cell>
          <cell r="LX5">
            <v>401.8</v>
          </cell>
          <cell r="ML5">
            <v>946.7</v>
          </cell>
          <cell r="MM5">
            <v>961.3</v>
          </cell>
          <cell r="MW5">
            <v>1461.6</v>
          </cell>
          <cell r="MX5">
            <v>1562.3</v>
          </cell>
          <cell r="NH5">
            <v>1666.3</v>
          </cell>
          <cell r="NI5">
            <v>1720.3</v>
          </cell>
          <cell r="NS5">
            <v>2598.6</v>
          </cell>
          <cell r="NT5">
            <v>2139</v>
          </cell>
          <cell r="OD5">
            <v>3057.1</v>
          </cell>
          <cell r="OE5">
            <v>3108.8</v>
          </cell>
          <cell r="OV5"/>
          <cell r="OW5"/>
        </row>
        <row r="6">
          <cell r="F6">
            <v>14.5</v>
          </cell>
          <cell r="G6">
            <v>14</v>
          </cell>
          <cell r="P6">
            <v>20505.599999999999</v>
          </cell>
          <cell r="Q6">
            <v>21398.1</v>
          </cell>
          <cell r="AE6">
            <v>1167.2</v>
          </cell>
          <cell r="AF6">
            <v>1171.9000000000001</v>
          </cell>
          <cell r="BS6">
            <v>1908.3</v>
          </cell>
          <cell r="BT6">
            <v>1983.1</v>
          </cell>
          <cell r="CD6">
            <v>3134.4</v>
          </cell>
          <cell r="CE6">
            <v>3181.4</v>
          </cell>
          <cell r="CS6">
            <v>6133.1</v>
          </cell>
          <cell r="CT6">
            <v>6325.6</v>
          </cell>
          <cell r="DD6">
            <v>8798.7999999999993</v>
          </cell>
          <cell r="DE6">
            <v>9153</v>
          </cell>
          <cell r="DO6">
            <v>6235.6</v>
          </cell>
          <cell r="DP6">
            <v>6338.3</v>
          </cell>
          <cell r="EG6">
            <v>248.1</v>
          </cell>
          <cell r="EH6">
            <v>240.8</v>
          </cell>
          <cell r="EV6">
            <v>3525.1</v>
          </cell>
          <cell r="EW6">
            <v>3335.5</v>
          </cell>
          <cell r="FG6">
            <v>2962.6</v>
          </cell>
          <cell r="FH6">
            <v>2885.7</v>
          </cell>
          <cell r="FR6">
            <v>2078.1</v>
          </cell>
          <cell r="FS6">
            <v>2206.1</v>
          </cell>
          <cell r="GC6">
            <v>4710.3999999999996</v>
          </cell>
          <cell r="GD6">
            <v>5031.3999999999996</v>
          </cell>
          <cell r="GN6">
            <v>389.8</v>
          </cell>
          <cell r="GO6">
            <v>396</v>
          </cell>
          <cell r="GY6">
            <v>2298.3000000000002</v>
          </cell>
          <cell r="GZ6">
            <v>2380.6</v>
          </cell>
          <cell r="HJ6">
            <v>1398.7</v>
          </cell>
          <cell r="HK6">
            <v>1515.3</v>
          </cell>
          <cell r="HU6">
            <v>3429.8</v>
          </cell>
          <cell r="HV6">
            <v>3672.8</v>
          </cell>
          <cell r="IF6">
            <v>146</v>
          </cell>
          <cell r="IG6">
            <v>141.30000000000001</v>
          </cell>
          <cell r="JB6">
            <v>781.6</v>
          </cell>
          <cell r="JC6">
            <v>819.9</v>
          </cell>
          <cell r="JI6">
            <v>2540.4</v>
          </cell>
          <cell r="JJ6">
            <v>2705.6</v>
          </cell>
          <cell r="JT6">
            <v>1195.8</v>
          </cell>
          <cell r="JU6">
            <v>1232.3</v>
          </cell>
          <cell r="KE6">
            <v>2477</v>
          </cell>
          <cell r="KF6">
            <v>2689.4</v>
          </cell>
          <cell r="KP6">
            <v>805</v>
          </cell>
          <cell r="KQ6">
            <v>843.1</v>
          </cell>
          <cell r="LE6">
            <v>1908.2</v>
          </cell>
          <cell r="LF6">
            <v>2148.4</v>
          </cell>
          <cell r="LL6">
            <v>420.4</v>
          </cell>
          <cell r="LM6">
            <v>446.7</v>
          </cell>
          <cell r="LW6">
            <v>277.7</v>
          </cell>
          <cell r="LX6">
            <v>311</v>
          </cell>
          <cell r="ML6">
            <v>826.2</v>
          </cell>
          <cell r="MM6">
            <v>839</v>
          </cell>
          <cell r="MW6">
            <v>1165.3</v>
          </cell>
          <cell r="MX6">
            <v>1259.9000000000001</v>
          </cell>
          <cell r="NH6">
            <v>1249.7</v>
          </cell>
          <cell r="NI6">
            <v>1307</v>
          </cell>
          <cell r="NS6">
            <v>2344.6</v>
          </cell>
          <cell r="NT6">
            <v>1925.4</v>
          </cell>
          <cell r="OD6">
            <v>2814.5</v>
          </cell>
          <cell r="OE6">
            <v>2874.7</v>
          </cell>
          <cell r="OV6">
            <v>0.4</v>
          </cell>
          <cell r="OW6">
            <v>0.3</v>
          </cell>
        </row>
        <row r="7">
          <cell r="F7">
            <v>16</v>
          </cell>
          <cell r="G7">
            <v>15.5</v>
          </cell>
          <cell r="P7">
            <v>18538.900000000001</v>
          </cell>
          <cell r="Q7">
            <v>19321.900000000001</v>
          </cell>
          <cell r="AE7">
            <v>1041.3</v>
          </cell>
          <cell r="AF7">
            <v>1070.8</v>
          </cell>
          <cell r="BS7">
            <v>1628.5</v>
          </cell>
          <cell r="BT7">
            <v>1700.3000000000002</v>
          </cell>
          <cell r="CD7">
            <v>2887</v>
          </cell>
          <cell r="CE7">
            <v>2933.6000000000004</v>
          </cell>
          <cell r="CS7">
            <v>5774.3</v>
          </cell>
          <cell r="CT7">
            <v>5989.6</v>
          </cell>
          <cell r="DD7">
            <v>7991.1</v>
          </cell>
          <cell r="DE7">
            <v>8334.5</v>
          </cell>
          <cell r="DO7">
            <v>5301.1</v>
          </cell>
          <cell r="DP7">
            <v>5370.5</v>
          </cell>
          <cell r="EG7">
            <v>197.3</v>
          </cell>
          <cell r="EH7">
            <v>193.3</v>
          </cell>
          <cell r="EV7">
            <v>2929.8</v>
          </cell>
          <cell r="EW7">
            <v>2754.8</v>
          </cell>
          <cell r="FG7">
            <v>2707.1</v>
          </cell>
          <cell r="FH7">
            <v>2657</v>
          </cell>
          <cell r="FR7">
            <v>1857.6</v>
          </cell>
          <cell r="FS7">
            <v>1984.4</v>
          </cell>
          <cell r="GC7">
            <v>4053.1</v>
          </cell>
          <cell r="GD7">
            <v>4353.6000000000004</v>
          </cell>
          <cell r="GN7">
            <v>372</v>
          </cell>
          <cell r="GO7">
            <v>370</v>
          </cell>
          <cell r="GY7">
            <v>2219.9</v>
          </cell>
          <cell r="GZ7">
            <v>2310.9</v>
          </cell>
          <cell r="HJ7">
            <v>1340.4</v>
          </cell>
          <cell r="HK7">
            <v>1449.6</v>
          </cell>
          <cell r="HU7">
            <v>3237.3</v>
          </cell>
          <cell r="HV7">
            <v>3459.7</v>
          </cell>
          <cell r="IF7">
            <v>144.4</v>
          </cell>
          <cell r="IG7">
            <v>138.4</v>
          </cell>
          <cell r="JB7">
            <v>780.1</v>
          </cell>
          <cell r="JC7">
            <v>806.8</v>
          </cell>
          <cell r="JI7">
            <v>2450.3000000000002</v>
          </cell>
          <cell r="JJ7">
            <v>2604.6</v>
          </cell>
          <cell r="JT7">
            <v>1140.7</v>
          </cell>
          <cell r="JU7">
            <v>1171.8</v>
          </cell>
          <cell r="KE7">
            <v>2262.5</v>
          </cell>
          <cell r="KF7">
            <v>2470.1</v>
          </cell>
          <cell r="KP7">
            <v>729.1</v>
          </cell>
          <cell r="KQ7">
            <v>753.5</v>
          </cell>
          <cell r="LE7">
            <v>1710.7</v>
          </cell>
          <cell r="LF7">
            <v>1945.3</v>
          </cell>
          <cell r="LL7">
            <v>375.3</v>
          </cell>
          <cell r="LM7">
            <v>387.1</v>
          </cell>
          <cell r="LW7">
            <v>247.4</v>
          </cell>
          <cell r="LX7">
            <v>264.5</v>
          </cell>
          <cell r="ML7">
            <v>726.6</v>
          </cell>
          <cell r="MM7">
            <v>734.9</v>
          </cell>
          <cell r="MW7">
            <v>1038.5</v>
          </cell>
          <cell r="MX7">
            <v>1137.5</v>
          </cell>
          <cell r="NH7">
            <v>1213.0999999999999</v>
          </cell>
          <cell r="NI7">
            <v>1251.7</v>
          </cell>
          <cell r="NS7">
            <v>1908.9</v>
          </cell>
          <cell r="NT7">
            <v>1530.9</v>
          </cell>
          <cell r="OD7">
            <v>2386.1</v>
          </cell>
          <cell r="OE7">
            <v>2447.3000000000002</v>
          </cell>
          <cell r="OV7">
            <v>0.4</v>
          </cell>
          <cell r="OW7">
            <v>0.3</v>
          </cell>
        </row>
        <row r="8">
          <cell r="F8">
            <v>16.100000000000001</v>
          </cell>
          <cell r="G8">
            <v>15.6</v>
          </cell>
          <cell r="P8">
            <v>18515</v>
          </cell>
          <cell r="Q8">
            <v>19292</v>
          </cell>
          <cell r="AE8">
            <v>1039.5999999999999</v>
          </cell>
          <cell r="AF8">
            <v>1070.0999999999999</v>
          </cell>
          <cell r="BS8">
            <v>1627.6</v>
          </cell>
          <cell r="BT8">
            <v>1699.9</v>
          </cell>
          <cell r="CD8">
            <v>2884.6000000000004</v>
          </cell>
          <cell r="CE8">
            <v>2932.2</v>
          </cell>
          <cell r="CS8">
            <v>5768.7</v>
          </cell>
          <cell r="CT8">
            <v>5985.3</v>
          </cell>
          <cell r="DD8">
            <v>7973.7</v>
          </cell>
          <cell r="DE8">
            <v>8315.1</v>
          </cell>
          <cell r="DO8">
            <v>5295.4</v>
          </cell>
          <cell r="DP8">
            <v>5365.4</v>
          </cell>
          <cell r="EG8">
            <v>197</v>
          </cell>
          <cell r="EH8">
            <v>192.4</v>
          </cell>
          <cell r="EV8">
            <v>2926.4</v>
          </cell>
          <cell r="EW8">
            <v>2753.2</v>
          </cell>
          <cell r="FG8">
            <v>2706.2</v>
          </cell>
          <cell r="FH8">
            <v>2654.8</v>
          </cell>
          <cell r="FR8">
            <v>1856.8</v>
          </cell>
          <cell r="FS8">
            <v>1983.2</v>
          </cell>
          <cell r="GC8">
            <v>4049.2</v>
          </cell>
          <cell r="GD8">
            <v>4347.6000000000004</v>
          </cell>
          <cell r="GN8">
            <v>371</v>
          </cell>
          <cell r="GO8">
            <v>369</v>
          </cell>
          <cell r="GY8">
            <v>2214.6</v>
          </cell>
          <cell r="GZ8">
            <v>2306.5</v>
          </cell>
          <cell r="HJ8">
            <v>1338.3</v>
          </cell>
          <cell r="HK8">
            <v>1448.2</v>
          </cell>
          <cell r="HU8">
            <v>3226.3</v>
          </cell>
          <cell r="HV8">
            <v>3449.3</v>
          </cell>
          <cell r="IF8">
            <v>144.30000000000001</v>
          </cell>
          <cell r="IG8">
            <v>138.1</v>
          </cell>
          <cell r="JB8">
            <v>777.2</v>
          </cell>
          <cell r="JC8">
            <v>804.2</v>
          </cell>
          <cell r="JI8">
            <v>2448.3000000000002</v>
          </cell>
          <cell r="JJ8">
            <v>2600.1999999999998</v>
          </cell>
          <cell r="JT8">
            <v>1138.3</v>
          </cell>
          <cell r="JU8">
            <v>1169.4000000000001</v>
          </cell>
          <cell r="KE8">
            <v>2258.1999999999998</v>
          </cell>
          <cell r="KF8">
            <v>2464.8000000000002</v>
          </cell>
          <cell r="KP8">
            <v>727.5</v>
          </cell>
          <cell r="KQ8">
            <v>753.1</v>
          </cell>
          <cell r="LE8">
            <v>1708.5</v>
          </cell>
          <cell r="LF8">
            <v>1943.8</v>
          </cell>
          <cell r="LL8">
            <v>375</v>
          </cell>
          <cell r="LM8">
            <v>386.9</v>
          </cell>
          <cell r="LW8">
            <v>247.4</v>
          </cell>
          <cell r="LX8">
            <v>264.5</v>
          </cell>
          <cell r="ML8">
            <v>725.7</v>
          </cell>
          <cell r="MM8">
            <v>734.2</v>
          </cell>
          <cell r="MW8">
            <v>1034.5999999999999</v>
          </cell>
          <cell r="MX8">
            <v>1133.4000000000001</v>
          </cell>
          <cell r="NH8">
            <v>1211</v>
          </cell>
          <cell r="NI8">
            <v>1249.8</v>
          </cell>
          <cell r="NS8">
            <v>1907.6</v>
          </cell>
          <cell r="NT8">
            <v>1530</v>
          </cell>
          <cell r="OD8">
            <v>2384.8000000000002</v>
          </cell>
          <cell r="OE8">
            <v>2446</v>
          </cell>
          <cell r="OV8">
            <v>0.4</v>
          </cell>
          <cell r="OW8">
            <v>0.3</v>
          </cell>
        </row>
        <row r="9">
          <cell r="F9">
            <v>16.2</v>
          </cell>
          <cell r="G9">
            <v>15.7</v>
          </cell>
          <cell r="P9">
            <v>18486.5</v>
          </cell>
          <cell r="Q9">
            <v>19261.8</v>
          </cell>
          <cell r="AE9">
            <v>1039.2</v>
          </cell>
          <cell r="AF9">
            <v>1067.9000000000001</v>
          </cell>
          <cell r="BS9">
            <v>1627.2</v>
          </cell>
          <cell r="BT9">
            <v>1698.5</v>
          </cell>
          <cell r="CD9">
            <v>2882.3</v>
          </cell>
          <cell r="CE9">
            <v>2931.2</v>
          </cell>
          <cell r="CS9">
            <v>5763.3</v>
          </cell>
          <cell r="CT9">
            <v>5980.6</v>
          </cell>
          <cell r="DD9">
            <v>7957.8</v>
          </cell>
          <cell r="DE9">
            <v>8296.1</v>
          </cell>
          <cell r="DO9">
            <v>5287.4</v>
          </cell>
          <cell r="DP9">
            <v>5361.7</v>
          </cell>
          <cell r="EG9">
            <v>196</v>
          </cell>
          <cell r="EH9">
            <v>192.4</v>
          </cell>
          <cell r="EV9">
            <v>2923.9</v>
          </cell>
          <cell r="EW9">
            <v>2751.8</v>
          </cell>
          <cell r="FG9">
            <v>2703.3</v>
          </cell>
          <cell r="FH9">
            <v>2651.7</v>
          </cell>
          <cell r="FR9">
            <v>1856.6</v>
          </cell>
          <cell r="FS9">
            <v>1981.6</v>
          </cell>
          <cell r="GC9">
            <v>4045.9</v>
          </cell>
          <cell r="GD9">
            <v>4343.6000000000004</v>
          </cell>
          <cell r="GN9">
            <v>370.4</v>
          </cell>
          <cell r="GO9">
            <v>367.4</v>
          </cell>
          <cell r="GY9">
            <v>2211.8000000000002</v>
          </cell>
          <cell r="GZ9">
            <v>2303</v>
          </cell>
          <cell r="HJ9">
            <v>1335.1</v>
          </cell>
          <cell r="HK9">
            <v>1446.2</v>
          </cell>
          <cell r="HU9">
            <v>3214.7</v>
          </cell>
          <cell r="HV9">
            <v>3440.6</v>
          </cell>
          <cell r="IF9">
            <v>143.4</v>
          </cell>
          <cell r="IG9">
            <v>137.69999999999999</v>
          </cell>
          <cell r="JB9">
            <v>773.6</v>
          </cell>
          <cell r="JC9">
            <v>800.7</v>
          </cell>
          <cell r="JI9">
            <v>2446</v>
          </cell>
          <cell r="JJ9">
            <v>2597.8000000000002</v>
          </cell>
          <cell r="JT9">
            <v>1132.0999999999999</v>
          </cell>
          <cell r="JU9">
            <v>1165</v>
          </cell>
          <cell r="KE9">
            <v>2256.4</v>
          </cell>
          <cell r="KF9">
            <v>2460.8000000000002</v>
          </cell>
          <cell r="KP9">
            <v>725.4</v>
          </cell>
          <cell r="KQ9">
            <v>750.4</v>
          </cell>
          <cell r="LE9">
            <v>1707.6</v>
          </cell>
          <cell r="LF9">
            <v>1942.6</v>
          </cell>
          <cell r="LL9">
            <v>375</v>
          </cell>
          <cell r="LM9">
            <v>386.6</v>
          </cell>
          <cell r="LW9">
            <v>246</v>
          </cell>
          <cell r="LX9">
            <v>263.8</v>
          </cell>
          <cell r="ML9">
            <v>725.7</v>
          </cell>
          <cell r="MM9">
            <v>733.5</v>
          </cell>
          <cell r="MW9">
            <v>1031.8</v>
          </cell>
          <cell r="MX9">
            <v>1130.0999999999999</v>
          </cell>
          <cell r="NH9">
            <v>1208.2</v>
          </cell>
          <cell r="NI9">
            <v>1248.0999999999999</v>
          </cell>
          <cell r="NS9">
            <v>1906.2</v>
          </cell>
          <cell r="NT9">
            <v>1529.3</v>
          </cell>
          <cell r="OD9">
            <v>2382.8000000000002</v>
          </cell>
          <cell r="OE9">
            <v>2444.1999999999998</v>
          </cell>
          <cell r="OV9"/>
          <cell r="OW9"/>
        </row>
        <row r="10">
          <cell r="F10">
            <v>9.6999999999999993</v>
          </cell>
          <cell r="G10">
            <v>9</v>
          </cell>
          <cell r="P10">
            <v>316.60000000000002</v>
          </cell>
          <cell r="Q10">
            <v>351.3</v>
          </cell>
          <cell r="AE10"/>
          <cell r="AF10"/>
          <cell r="BS10">
            <v>22.1</v>
          </cell>
          <cell r="BT10">
            <v>23.6</v>
          </cell>
          <cell r="CD10">
            <v>140.19999999999999</v>
          </cell>
          <cell r="CE10">
            <v>143.80000000000001</v>
          </cell>
          <cell r="CS10">
            <v>110.7</v>
          </cell>
          <cell r="CT10">
            <v>132</v>
          </cell>
          <cell r="DD10">
            <v>98.7</v>
          </cell>
          <cell r="DE10">
            <v>114</v>
          </cell>
          <cell r="DO10">
            <v>104.1</v>
          </cell>
          <cell r="DP10">
            <v>111.3</v>
          </cell>
          <cell r="EG10">
            <v>4.3</v>
          </cell>
          <cell r="EH10">
            <v>5.9</v>
          </cell>
          <cell r="EV10">
            <v>71.7</v>
          </cell>
          <cell r="EW10">
            <v>70.599999999999994</v>
          </cell>
          <cell r="FG10">
            <v>58.2</v>
          </cell>
          <cell r="FH10">
            <v>61.4</v>
          </cell>
          <cell r="FR10">
            <v>23.3</v>
          </cell>
          <cell r="FS10">
            <v>33.4</v>
          </cell>
          <cell r="GC10">
            <v>64.900000000000006</v>
          </cell>
          <cell r="GD10">
            <v>81</v>
          </cell>
          <cell r="GN10">
            <v>4.2</v>
          </cell>
          <cell r="GO10">
            <v>7</v>
          </cell>
          <cell r="GY10">
            <v>56</v>
          </cell>
          <cell r="GZ10">
            <v>57.1</v>
          </cell>
          <cell r="HJ10">
            <v>8.6999999999999993</v>
          </cell>
          <cell r="HK10">
            <v>10.1</v>
          </cell>
          <cell r="HU10">
            <v>20</v>
          </cell>
          <cell r="HV10">
            <v>29.5</v>
          </cell>
          <cell r="IF10"/>
          <cell r="IG10"/>
          <cell r="JB10"/>
          <cell r="JC10">
            <v>4.0999999999999996</v>
          </cell>
          <cell r="JI10">
            <v>39.4</v>
          </cell>
          <cell r="JJ10">
            <v>50.7</v>
          </cell>
          <cell r="JT10">
            <v>35.4</v>
          </cell>
          <cell r="JU10">
            <v>40.9</v>
          </cell>
          <cell r="KE10">
            <v>39</v>
          </cell>
          <cell r="KF10">
            <v>45.8</v>
          </cell>
          <cell r="KP10">
            <v>8.9</v>
          </cell>
          <cell r="KQ10">
            <v>9.9</v>
          </cell>
          <cell r="LE10">
            <v>26.4</v>
          </cell>
          <cell r="LF10">
            <v>43.6</v>
          </cell>
          <cell r="LL10">
            <v>5.6</v>
          </cell>
          <cell r="LM10"/>
          <cell r="LW10">
            <v>5.8</v>
          </cell>
          <cell r="LX10"/>
          <cell r="ML10">
            <v>13.4</v>
          </cell>
          <cell r="MM10">
            <v>14.1</v>
          </cell>
          <cell r="MW10">
            <v>7.5</v>
          </cell>
          <cell r="MX10">
            <v>9.5</v>
          </cell>
          <cell r="NH10">
            <v>22.6</v>
          </cell>
          <cell r="NI10">
            <v>28.1</v>
          </cell>
          <cell r="NS10">
            <v>47.2</v>
          </cell>
          <cell r="NT10">
            <v>43.5</v>
          </cell>
          <cell r="OD10">
            <v>36.6</v>
          </cell>
          <cell r="OE10">
            <v>35.4</v>
          </cell>
          <cell r="OV10">
            <v>0.2</v>
          </cell>
          <cell r="OW10">
            <v>0.3</v>
          </cell>
        </row>
        <row r="11">
          <cell r="F11">
            <v>9</v>
          </cell>
          <cell r="G11">
            <v>8.6999999999999993</v>
          </cell>
          <cell r="P11">
            <v>339.5</v>
          </cell>
          <cell r="Q11">
            <v>349.9</v>
          </cell>
          <cell r="AE11">
            <v>91.7</v>
          </cell>
          <cell r="AF11">
            <v>92</v>
          </cell>
          <cell r="BS11">
            <v>26.7</v>
          </cell>
          <cell r="BT11">
            <v>22.6</v>
          </cell>
          <cell r="CD11">
            <v>35</v>
          </cell>
          <cell r="CE11">
            <v>35.700000000000003</v>
          </cell>
          <cell r="CS11">
            <v>85.2</v>
          </cell>
          <cell r="CT11">
            <v>75.8</v>
          </cell>
          <cell r="DD11">
            <v>141.80000000000001</v>
          </cell>
          <cell r="DE11">
            <v>141.69999999999999</v>
          </cell>
          <cell r="DO11">
            <v>129.1</v>
          </cell>
          <cell r="DP11">
            <v>127.7</v>
          </cell>
          <cell r="EG11">
            <v>6.7</v>
          </cell>
          <cell r="EH11">
            <v>5.8</v>
          </cell>
          <cell r="EV11">
            <v>83.8</v>
          </cell>
          <cell r="EW11">
            <v>80.3</v>
          </cell>
          <cell r="FG11">
            <v>25.7</v>
          </cell>
          <cell r="FH11">
            <v>29.3</v>
          </cell>
          <cell r="FR11">
            <v>29.5</v>
          </cell>
          <cell r="FS11">
            <v>32.799999999999997</v>
          </cell>
          <cell r="GC11">
            <v>78.5</v>
          </cell>
          <cell r="GD11">
            <v>72.5</v>
          </cell>
          <cell r="GN11"/>
          <cell r="GO11"/>
          <cell r="GY11">
            <v>31.5</v>
          </cell>
          <cell r="GZ11">
            <v>31.4</v>
          </cell>
          <cell r="HJ11">
            <v>31.6</v>
          </cell>
          <cell r="HK11">
            <v>27.8</v>
          </cell>
          <cell r="HU11">
            <v>66</v>
          </cell>
          <cell r="HV11">
            <v>62</v>
          </cell>
          <cell r="IF11"/>
          <cell r="IG11"/>
          <cell r="JB11"/>
          <cell r="JC11"/>
          <cell r="JI11">
            <v>37</v>
          </cell>
          <cell r="JJ11">
            <v>42.2</v>
          </cell>
          <cell r="JT11">
            <v>16.600000000000001</v>
          </cell>
          <cell r="JU11">
            <v>12.5</v>
          </cell>
          <cell r="KE11">
            <v>42.2</v>
          </cell>
          <cell r="KF11">
            <v>54.3</v>
          </cell>
          <cell r="KP11">
            <v>17.3</v>
          </cell>
          <cell r="KQ11">
            <v>8.6</v>
          </cell>
          <cell r="LE11">
            <v>23.3</v>
          </cell>
          <cell r="LF11">
            <v>20.399999999999999</v>
          </cell>
          <cell r="LL11"/>
          <cell r="LM11">
            <v>5.7</v>
          </cell>
          <cell r="LW11"/>
          <cell r="LX11">
            <v>5.6</v>
          </cell>
          <cell r="ML11">
            <v>10.5</v>
          </cell>
          <cell r="MM11">
            <v>6.6</v>
          </cell>
          <cell r="MW11">
            <v>29.4</v>
          </cell>
          <cell r="MX11">
            <v>34.6</v>
          </cell>
          <cell r="NH11">
            <v>17.2</v>
          </cell>
          <cell r="NI11">
            <v>23.1</v>
          </cell>
          <cell r="NS11">
            <v>79</v>
          </cell>
          <cell r="NT11">
            <v>60.6</v>
          </cell>
          <cell r="OD11">
            <v>34</v>
          </cell>
          <cell r="OE11">
            <v>44.1</v>
          </cell>
          <cell r="OV11">
            <v>0.6</v>
          </cell>
          <cell r="OW11">
            <v>0.1</v>
          </cell>
        </row>
        <row r="12">
          <cell r="F12">
            <v>5.7</v>
          </cell>
          <cell r="G12">
            <v>3.6</v>
          </cell>
          <cell r="P12">
            <v>118.8</v>
          </cell>
          <cell r="Q12">
            <v>153.6</v>
          </cell>
          <cell r="AE12">
            <v>12.8</v>
          </cell>
          <cell r="AF12">
            <v>10.5</v>
          </cell>
          <cell r="BS12"/>
          <cell r="BT12"/>
          <cell r="CD12"/>
          <cell r="CE12"/>
          <cell r="CS12">
            <v>54.5</v>
          </cell>
          <cell r="CT12">
            <v>63.1</v>
          </cell>
          <cell r="DD12">
            <v>50.4</v>
          </cell>
          <cell r="DE12">
            <v>60.8</v>
          </cell>
          <cell r="DO12">
            <v>10.5</v>
          </cell>
          <cell r="DP12">
            <v>12.6</v>
          </cell>
          <cell r="EG12"/>
          <cell r="EH12"/>
          <cell r="EV12"/>
          <cell r="EW12"/>
          <cell r="FG12"/>
          <cell r="FH12"/>
          <cell r="FR12"/>
          <cell r="FS12"/>
          <cell r="GC12">
            <v>22.5</v>
          </cell>
          <cell r="GD12">
            <v>32.200000000000003</v>
          </cell>
          <cell r="GN12">
            <v>14.5</v>
          </cell>
          <cell r="GO12">
            <v>15.7</v>
          </cell>
          <cell r="GY12">
            <v>10.5</v>
          </cell>
          <cell r="GZ12">
            <v>10.7</v>
          </cell>
          <cell r="HJ12"/>
          <cell r="HK12">
            <v>7.7</v>
          </cell>
          <cell r="HU12">
            <v>48.6</v>
          </cell>
          <cell r="HV12">
            <v>56.7</v>
          </cell>
          <cell r="IF12"/>
          <cell r="IG12"/>
          <cell r="JB12">
            <v>30.4</v>
          </cell>
          <cell r="JC12">
            <v>33.799999999999997</v>
          </cell>
          <cell r="JI12">
            <v>11.1</v>
          </cell>
          <cell r="JJ12">
            <v>14.5</v>
          </cell>
          <cell r="JT12">
            <v>17.7</v>
          </cell>
          <cell r="JU12">
            <v>17.100000000000001</v>
          </cell>
          <cell r="KE12">
            <v>8.5</v>
          </cell>
          <cell r="KF12">
            <v>10.6</v>
          </cell>
          <cell r="KP12"/>
          <cell r="KQ12"/>
          <cell r="LE12">
            <v>13.6</v>
          </cell>
          <cell r="LF12">
            <v>26.8</v>
          </cell>
          <cell r="LL12"/>
          <cell r="LM12"/>
          <cell r="LW12"/>
          <cell r="LX12"/>
          <cell r="ML12"/>
          <cell r="MM12"/>
          <cell r="MW12">
            <v>11.6</v>
          </cell>
          <cell r="MX12">
            <v>12.5</v>
          </cell>
          <cell r="NH12">
            <v>6</v>
          </cell>
          <cell r="NI12"/>
          <cell r="NS12"/>
          <cell r="NT12"/>
          <cell r="OD12"/>
          <cell r="OE12"/>
          <cell r="OV12">
            <v>0.8</v>
          </cell>
          <cell r="OW12">
            <v>0.9</v>
          </cell>
        </row>
        <row r="13">
          <cell r="F13">
            <v>22.1</v>
          </cell>
          <cell r="G13">
            <v>21.1</v>
          </cell>
          <cell r="P13">
            <v>261.3</v>
          </cell>
          <cell r="Q13">
            <v>301.89999999999998</v>
          </cell>
          <cell r="AE13">
            <v>15.2</v>
          </cell>
          <cell r="AF13">
            <v>19.600000000000001</v>
          </cell>
          <cell r="BS13">
            <v>11.5</v>
          </cell>
          <cell r="BT13">
            <v>12.5</v>
          </cell>
          <cell r="CD13">
            <v>50.7</v>
          </cell>
          <cell r="CE13">
            <v>49.699999999999996</v>
          </cell>
          <cell r="CS13">
            <v>33.6</v>
          </cell>
          <cell r="CT13">
            <v>35.4</v>
          </cell>
          <cell r="DD13">
            <v>210.1</v>
          </cell>
          <cell r="DE13">
            <v>233.1</v>
          </cell>
          <cell r="DO13">
            <v>76.400000000000006</v>
          </cell>
          <cell r="DP13">
            <v>69.5</v>
          </cell>
          <cell r="EG13"/>
          <cell r="EH13"/>
          <cell r="EV13">
            <v>44.9</v>
          </cell>
          <cell r="EW13">
            <v>34.799999999999997</v>
          </cell>
          <cell r="FG13">
            <v>33.299999999999997</v>
          </cell>
          <cell r="FH13">
            <v>37.799999999999997</v>
          </cell>
          <cell r="FR13">
            <v>29</v>
          </cell>
          <cell r="FS13">
            <v>27.7</v>
          </cell>
          <cell r="GC13">
            <v>81.8</v>
          </cell>
          <cell r="GD13">
            <v>90.3</v>
          </cell>
          <cell r="GN13"/>
          <cell r="GO13"/>
          <cell r="GY13">
            <v>41.1</v>
          </cell>
          <cell r="GZ13">
            <v>46</v>
          </cell>
          <cell r="HJ13">
            <v>38.299999999999997</v>
          </cell>
          <cell r="HK13">
            <v>38</v>
          </cell>
          <cell r="HU13">
            <v>44.6</v>
          </cell>
          <cell r="HV13">
            <v>56.6</v>
          </cell>
          <cell r="IF13"/>
          <cell r="IG13"/>
          <cell r="JB13">
            <v>9.1999999999999993</v>
          </cell>
          <cell r="JC13">
            <v>11</v>
          </cell>
          <cell r="JI13">
            <v>41.9</v>
          </cell>
          <cell r="JJ13">
            <v>42.8</v>
          </cell>
          <cell r="JT13">
            <v>19.8</v>
          </cell>
          <cell r="JU13">
            <v>25.6</v>
          </cell>
          <cell r="KE13">
            <v>39.1</v>
          </cell>
          <cell r="KF13">
            <v>42.3</v>
          </cell>
          <cell r="KP13">
            <v>16.5</v>
          </cell>
          <cell r="KQ13">
            <v>20.3</v>
          </cell>
          <cell r="LE13">
            <v>45.1</v>
          </cell>
          <cell r="LF13">
            <v>69.3</v>
          </cell>
          <cell r="LL13">
            <v>9.8000000000000007</v>
          </cell>
          <cell r="LM13">
            <v>10.8</v>
          </cell>
          <cell r="LW13">
            <v>4.8</v>
          </cell>
          <cell r="LX13">
            <v>6.3</v>
          </cell>
          <cell r="ML13">
            <v>8.5</v>
          </cell>
          <cell r="MM13">
            <v>8.1</v>
          </cell>
          <cell r="MW13">
            <v>17.7</v>
          </cell>
          <cell r="MX13">
            <v>17.399999999999999</v>
          </cell>
          <cell r="NH13">
            <v>14.8</v>
          </cell>
          <cell r="NI13">
            <v>11.8</v>
          </cell>
          <cell r="NS13">
            <v>23.3</v>
          </cell>
          <cell r="NT13">
            <v>14.4</v>
          </cell>
          <cell r="OD13">
            <v>11.2</v>
          </cell>
          <cell r="OE13">
            <v>15.4</v>
          </cell>
          <cell r="OV13">
            <v>1</v>
          </cell>
          <cell r="OW13">
            <v>0.7</v>
          </cell>
        </row>
        <row r="14">
          <cell r="F14">
            <v>18.8</v>
          </cell>
          <cell r="G14">
            <v>18.3</v>
          </cell>
          <cell r="P14">
            <v>58.7</v>
          </cell>
          <cell r="Q14">
            <v>57.3</v>
          </cell>
          <cell r="AE14"/>
          <cell r="AF14"/>
          <cell r="BS14">
            <v>3.4000000000000004</v>
          </cell>
          <cell r="BT14">
            <v>3</v>
          </cell>
          <cell r="CD14">
            <v>17</v>
          </cell>
          <cell r="CE14">
            <v>15.6</v>
          </cell>
          <cell r="CS14">
            <v>15.3</v>
          </cell>
          <cell r="CT14">
            <v>14.9</v>
          </cell>
          <cell r="DD14">
            <v>18.100000000000001</v>
          </cell>
          <cell r="DE14">
            <v>19.2</v>
          </cell>
          <cell r="DO14">
            <v>24.2</v>
          </cell>
          <cell r="DP14">
            <v>19.600000000000001</v>
          </cell>
          <cell r="EG14">
            <v>0.6</v>
          </cell>
          <cell r="EH14">
            <v>0.6</v>
          </cell>
          <cell r="EV14">
            <v>11.3</v>
          </cell>
          <cell r="EW14">
            <v>7.9</v>
          </cell>
          <cell r="FG14">
            <v>3.3</v>
          </cell>
          <cell r="FH14">
            <v>2.5</v>
          </cell>
          <cell r="FR14">
            <v>4.9000000000000004</v>
          </cell>
          <cell r="FS14">
            <v>4.5999999999999996</v>
          </cell>
          <cell r="GC14">
            <v>10.6</v>
          </cell>
          <cell r="GD14">
            <v>10.9</v>
          </cell>
          <cell r="GN14"/>
          <cell r="GO14"/>
          <cell r="GY14">
            <v>2.6</v>
          </cell>
          <cell r="GZ14">
            <v>2.2999999999999998</v>
          </cell>
          <cell r="HJ14">
            <v>1.1000000000000001</v>
          </cell>
          <cell r="HK14">
            <v>0.9</v>
          </cell>
          <cell r="HU14">
            <v>22.8</v>
          </cell>
          <cell r="HV14">
            <v>23.6</v>
          </cell>
          <cell r="IF14"/>
          <cell r="IG14"/>
          <cell r="JB14">
            <v>3.2</v>
          </cell>
          <cell r="JC14">
            <v>3.6</v>
          </cell>
          <cell r="JI14">
            <v>1.7</v>
          </cell>
          <cell r="JJ14">
            <v>1.5</v>
          </cell>
          <cell r="JT14">
            <v>2.2999999999999998</v>
          </cell>
          <cell r="JU14">
            <v>1.8</v>
          </cell>
          <cell r="KE14">
            <v>4.0999999999999996</v>
          </cell>
          <cell r="KF14">
            <v>4.3</v>
          </cell>
          <cell r="KP14">
            <v>2.1</v>
          </cell>
          <cell r="KQ14">
            <v>1.9</v>
          </cell>
          <cell r="LE14">
            <v>12.4</v>
          </cell>
          <cell r="LF14">
            <v>14.4</v>
          </cell>
          <cell r="LL14">
            <v>0.8</v>
          </cell>
          <cell r="LM14">
            <v>0.7</v>
          </cell>
          <cell r="LW14">
            <v>2.2999999999999998</v>
          </cell>
          <cell r="LX14">
            <v>1.7</v>
          </cell>
          <cell r="ML14">
            <v>2.5</v>
          </cell>
          <cell r="MM14">
            <v>1.8</v>
          </cell>
          <cell r="MW14">
            <v>0.9</v>
          </cell>
          <cell r="MX14">
            <v>1.3</v>
          </cell>
          <cell r="NH14">
            <v>3.7</v>
          </cell>
          <cell r="NI14">
            <v>2.7</v>
          </cell>
          <cell r="NS14">
            <v>6.4</v>
          </cell>
          <cell r="NT14">
            <v>3.6</v>
          </cell>
          <cell r="OD14">
            <v>2.6</v>
          </cell>
          <cell r="OE14">
            <v>2</v>
          </cell>
          <cell r="OV14">
            <v>1.1000000000000001</v>
          </cell>
          <cell r="OW14">
            <v>0.7</v>
          </cell>
        </row>
        <row r="15">
          <cell r="F15">
            <v>10.3</v>
          </cell>
          <cell r="G15">
            <v>10</v>
          </cell>
          <cell r="P15">
            <v>419.5</v>
          </cell>
          <cell r="Q15">
            <v>422.8</v>
          </cell>
          <cell r="AE15"/>
          <cell r="AF15">
            <v>3.4</v>
          </cell>
          <cell r="BS15">
            <v>101.1</v>
          </cell>
          <cell r="BT15">
            <v>89.2</v>
          </cell>
          <cell r="CD15">
            <v>69.599999999999994</v>
          </cell>
          <cell r="CE15">
            <v>69.400000000000006</v>
          </cell>
          <cell r="CS15">
            <v>40.799999999999997</v>
          </cell>
          <cell r="CT15">
            <v>43.8</v>
          </cell>
          <cell r="DD15">
            <v>286.39999999999998</v>
          </cell>
          <cell r="DE15">
            <v>297.10000000000002</v>
          </cell>
          <cell r="DO15">
            <v>79.099999999999994</v>
          </cell>
          <cell r="DP15">
            <v>78.400000000000006</v>
          </cell>
          <cell r="EG15">
            <v>8.4</v>
          </cell>
          <cell r="EH15">
            <v>8.1</v>
          </cell>
          <cell r="EV15">
            <v>43.1</v>
          </cell>
          <cell r="EW15">
            <v>40.4</v>
          </cell>
          <cell r="FG15">
            <v>45.7</v>
          </cell>
          <cell r="FH15">
            <v>46.1</v>
          </cell>
          <cell r="FR15">
            <v>42.9</v>
          </cell>
          <cell r="FS15">
            <v>41.1</v>
          </cell>
          <cell r="GC15">
            <v>76.400000000000006</v>
          </cell>
          <cell r="GD15">
            <v>79.400000000000006</v>
          </cell>
          <cell r="GN15">
            <v>3.3</v>
          </cell>
          <cell r="GO15">
            <v>3.8</v>
          </cell>
          <cell r="GY15">
            <v>43.1</v>
          </cell>
          <cell r="GZ15">
            <v>50.6</v>
          </cell>
          <cell r="HJ15">
            <v>76.7</v>
          </cell>
          <cell r="HK15">
            <v>74.599999999999994</v>
          </cell>
          <cell r="HU15">
            <v>64.599999999999994</v>
          </cell>
          <cell r="HV15">
            <v>73.900000000000006</v>
          </cell>
          <cell r="IF15">
            <v>3.8</v>
          </cell>
          <cell r="IG15">
            <v>2.7</v>
          </cell>
          <cell r="JB15">
            <v>6.3</v>
          </cell>
          <cell r="JC15">
            <v>10.199999999999999</v>
          </cell>
          <cell r="JI15">
            <v>131.1</v>
          </cell>
          <cell r="JJ15">
            <v>128.1</v>
          </cell>
          <cell r="JT15">
            <v>23.4</v>
          </cell>
          <cell r="JU15">
            <v>22.2</v>
          </cell>
          <cell r="KE15">
            <v>49</v>
          </cell>
          <cell r="KF15">
            <v>56.1</v>
          </cell>
          <cell r="KP15">
            <v>19.600000000000001</v>
          </cell>
          <cell r="KQ15">
            <v>21.9</v>
          </cell>
          <cell r="LE15">
            <v>23.7</v>
          </cell>
          <cell r="LF15">
            <v>27.1</v>
          </cell>
          <cell r="LL15">
            <v>8.1999999999999993</v>
          </cell>
          <cell r="LM15">
            <v>7.4</v>
          </cell>
          <cell r="LW15">
            <v>5</v>
          </cell>
          <cell r="LX15">
            <v>7.1</v>
          </cell>
          <cell r="ML15">
            <v>10.4</v>
          </cell>
          <cell r="MM15">
            <v>13.2</v>
          </cell>
          <cell r="MW15">
            <v>21.8</v>
          </cell>
          <cell r="MX15">
            <v>19.899999999999999</v>
          </cell>
          <cell r="NH15">
            <v>28.8</v>
          </cell>
          <cell r="NI15">
            <v>30.9</v>
          </cell>
          <cell r="NS15">
            <v>26.2</v>
          </cell>
          <cell r="NT15">
            <v>21</v>
          </cell>
          <cell r="OD15">
            <v>30.6</v>
          </cell>
          <cell r="OE15">
            <v>31.8</v>
          </cell>
          <cell r="OV15">
            <v>1.3</v>
          </cell>
          <cell r="OW15">
            <v>1</v>
          </cell>
        </row>
        <row r="16">
          <cell r="F16">
            <v>9.3000000000000007</v>
          </cell>
          <cell r="G16">
            <v>8.3000000000000007</v>
          </cell>
          <cell r="P16">
            <v>225.2</v>
          </cell>
          <cell r="Q16">
            <v>228.2</v>
          </cell>
          <cell r="AE16">
            <v>15.4</v>
          </cell>
          <cell r="AF16">
            <v>12.8</v>
          </cell>
          <cell r="BS16">
            <v>36.1</v>
          </cell>
          <cell r="BT16">
            <v>44.9</v>
          </cell>
          <cell r="CD16">
            <v>68.900000000000006</v>
          </cell>
          <cell r="CE16">
            <v>55.2</v>
          </cell>
          <cell r="CS16">
            <v>102.8</v>
          </cell>
          <cell r="CT16">
            <v>92.1</v>
          </cell>
          <cell r="DD16">
            <v>129.9</v>
          </cell>
          <cell r="DE16">
            <v>126.9</v>
          </cell>
          <cell r="DO16">
            <v>99</v>
          </cell>
          <cell r="DP16">
            <v>96.1</v>
          </cell>
          <cell r="EG16"/>
          <cell r="EH16"/>
          <cell r="EV16">
            <v>75.3</v>
          </cell>
          <cell r="EW16">
            <v>74.400000000000006</v>
          </cell>
          <cell r="FG16">
            <v>35.6</v>
          </cell>
          <cell r="FH16">
            <v>35.4</v>
          </cell>
          <cell r="FR16">
            <v>23.5</v>
          </cell>
          <cell r="FS16">
            <v>29.4</v>
          </cell>
          <cell r="GC16">
            <v>115.4</v>
          </cell>
          <cell r="GD16">
            <v>93.5</v>
          </cell>
          <cell r="GN16"/>
          <cell r="GO16">
            <v>5.3</v>
          </cell>
          <cell r="GY16">
            <v>28.9</v>
          </cell>
          <cell r="GZ16">
            <v>23.4</v>
          </cell>
          <cell r="HJ16">
            <v>9.6999999999999993</v>
          </cell>
          <cell r="HK16">
            <v>8.3000000000000007</v>
          </cell>
          <cell r="HU16">
            <v>54.1</v>
          </cell>
          <cell r="HV16">
            <v>54.9</v>
          </cell>
          <cell r="IF16"/>
          <cell r="IG16"/>
          <cell r="JB16">
            <v>7.5</v>
          </cell>
          <cell r="JC16">
            <v>9.6999999999999993</v>
          </cell>
          <cell r="JI16">
            <v>17.3</v>
          </cell>
          <cell r="JJ16">
            <v>19.100000000000001</v>
          </cell>
          <cell r="JT16">
            <v>14.5</v>
          </cell>
          <cell r="JU16">
            <v>14.2</v>
          </cell>
          <cell r="KE16">
            <v>33.700000000000003</v>
          </cell>
          <cell r="KF16">
            <v>35</v>
          </cell>
          <cell r="KP16">
            <v>6.6</v>
          </cell>
          <cell r="KQ16">
            <v>9.4</v>
          </cell>
          <cell r="LE16">
            <v>20.3</v>
          </cell>
          <cell r="LF16">
            <v>20.7</v>
          </cell>
          <cell r="LL16">
            <v>6.4</v>
          </cell>
          <cell r="LM16">
            <v>5.6</v>
          </cell>
          <cell r="LW16"/>
          <cell r="LX16"/>
          <cell r="ML16">
            <v>10.3</v>
          </cell>
          <cell r="MM16">
            <v>13</v>
          </cell>
          <cell r="MW16">
            <v>9.9</v>
          </cell>
          <cell r="MX16">
            <v>12.2</v>
          </cell>
          <cell r="NH16">
            <v>14.4</v>
          </cell>
          <cell r="NI16">
            <v>15.6</v>
          </cell>
          <cell r="NS16">
            <v>54.2</v>
          </cell>
          <cell r="NT16">
            <v>40.9</v>
          </cell>
          <cell r="OD16">
            <v>88.4</v>
          </cell>
          <cell r="OE16">
            <v>78.599999999999994</v>
          </cell>
          <cell r="OV16">
            <v>0.7</v>
          </cell>
          <cell r="OW16">
            <v>-0.4</v>
          </cell>
        </row>
        <row r="17">
          <cell r="F17">
            <v>4</v>
          </cell>
          <cell r="G17">
            <v>3.4</v>
          </cell>
          <cell r="P17">
            <v>21.8</v>
          </cell>
          <cell r="Q17">
            <v>22.8</v>
          </cell>
          <cell r="AE17"/>
          <cell r="AF17"/>
          <cell r="BS17"/>
          <cell r="BT17"/>
          <cell r="CD17"/>
          <cell r="CE17"/>
          <cell r="CS17">
            <v>7.1</v>
          </cell>
          <cell r="CT17">
            <v>9.4</v>
          </cell>
          <cell r="DD17">
            <v>12.4</v>
          </cell>
          <cell r="DE17">
            <v>13.8</v>
          </cell>
          <cell r="DO17"/>
          <cell r="DP17"/>
          <cell r="EG17"/>
          <cell r="EH17"/>
          <cell r="EV17"/>
          <cell r="EW17"/>
          <cell r="FG17"/>
          <cell r="FH17"/>
          <cell r="FR17"/>
          <cell r="FS17"/>
          <cell r="GC17"/>
          <cell r="GD17"/>
          <cell r="GN17"/>
          <cell r="GO17"/>
          <cell r="GY17"/>
          <cell r="GZ17"/>
          <cell r="HJ17"/>
          <cell r="HK17"/>
          <cell r="HU17"/>
          <cell r="HV17"/>
          <cell r="IF17"/>
          <cell r="IG17"/>
          <cell r="JB17"/>
          <cell r="JC17"/>
          <cell r="JI17"/>
          <cell r="JJ17"/>
          <cell r="JT17"/>
          <cell r="JU17"/>
          <cell r="KE17"/>
          <cell r="KF17"/>
          <cell r="KP17"/>
          <cell r="KQ17"/>
          <cell r="LE17"/>
          <cell r="LF17"/>
          <cell r="LL17"/>
          <cell r="LM17"/>
          <cell r="LW17"/>
          <cell r="LX17"/>
          <cell r="ML17"/>
          <cell r="MM17"/>
          <cell r="MW17"/>
          <cell r="MX17"/>
          <cell r="NH17"/>
          <cell r="NI17"/>
          <cell r="NS17"/>
          <cell r="NT17"/>
          <cell r="OD17"/>
          <cell r="OE17"/>
          <cell r="OV17">
            <v>1.4</v>
          </cell>
          <cell r="OW17">
            <v>-0.4</v>
          </cell>
        </row>
        <row r="18">
          <cell r="F18">
            <v>16.7</v>
          </cell>
          <cell r="G18">
            <v>13.6</v>
          </cell>
          <cell r="P18">
            <v>346.4</v>
          </cell>
          <cell r="Q18">
            <v>350.4</v>
          </cell>
          <cell r="AE18">
            <v>21.6</v>
          </cell>
          <cell r="AF18">
            <v>22.1</v>
          </cell>
          <cell r="BS18">
            <v>32</v>
          </cell>
          <cell r="BT18">
            <v>41.4</v>
          </cell>
          <cell r="CD18">
            <v>29.599999999999998</v>
          </cell>
          <cell r="CE18">
            <v>24.7</v>
          </cell>
          <cell r="CS18">
            <v>53.2</v>
          </cell>
          <cell r="CT18">
            <v>59.7</v>
          </cell>
          <cell r="DD18">
            <v>175.9</v>
          </cell>
          <cell r="DE18">
            <v>191.4</v>
          </cell>
          <cell r="DO18">
            <v>124.1</v>
          </cell>
          <cell r="DP18">
            <v>123.1</v>
          </cell>
          <cell r="EG18">
            <v>2.6</v>
          </cell>
          <cell r="EH18">
            <v>2.7</v>
          </cell>
          <cell r="EV18">
            <v>74.599999999999994</v>
          </cell>
          <cell r="EW18">
            <v>72</v>
          </cell>
          <cell r="FG18">
            <v>63.6</v>
          </cell>
          <cell r="FH18">
            <v>65.5</v>
          </cell>
          <cell r="FR18">
            <v>21.1</v>
          </cell>
          <cell r="FS18">
            <v>22.2</v>
          </cell>
          <cell r="GC18">
            <v>95.8</v>
          </cell>
          <cell r="GD18">
            <v>101.8</v>
          </cell>
          <cell r="GN18">
            <v>8</v>
          </cell>
          <cell r="GO18">
            <v>9.4</v>
          </cell>
          <cell r="GY18">
            <v>26.3</v>
          </cell>
          <cell r="GZ18">
            <v>26.2</v>
          </cell>
          <cell r="HJ18">
            <v>17.399999999999999</v>
          </cell>
          <cell r="HK18">
            <v>22.6</v>
          </cell>
          <cell r="HU18">
            <v>42.4</v>
          </cell>
          <cell r="HV18">
            <v>48.4</v>
          </cell>
          <cell r="IF18"/>
          <cell r="IG18"/>
          <cell r="JB18">
            <v>4.9000000000000004</v>
          </cell>
          <cell r="JC18">
            <v>8</v>
          </cell>
          <cell r="JI18">
            <v>29.8</v>
          </cell>
          <cell r="JJ18">
            <v>31.6</v>
          </cell>
          <cell r="JT18">
            <v>14.5</v>
          </cell>
          <cell r="JU18">
            <v>20.8</v>
          </cell>
          <cell r="KE18">
            <v>34.4</v>
          </cell>
          <cell r="KF18">
            <v>36.6</v>
          </cell>
          <cell r="KP18">
            <v>13.5</v>
          </cell>
          <cell r="KQ18">
            <v>11.6</v>
          </cell>
          <cell r="LE18">
            <v>14.3</v>
          </cell>
          <cell r="LF18">
            <v>20.8</v>
          </cell>
          <cell r="LL18">
            <v>5.8</v>
          </cell>
          <cell r="LM18">
            <v>8.6</v>
          </cell>
          <cell r="LW18">
            <v>3.7</v>
          </cell>
          <cell r="LX18">
            <v>4.2</v>
          </cell>
          <cell r="ML18">
            <v>17.5</v>
          </cell>
          <cell r="MM18">
            <v>18.600000000000001</v>
          </cell>
          <cell r="MW18">
            <v>16.399999999999999</v>
          </cell>
          <cell r="MX18">
            <v>16</v>
          </cell>
          <cell r="NH18">
            <v>17.7</v>
          </cell>
          <cell r="NI18">
            <v>20.399999999999999</v>
          </cell>
          <cell r="NS18">
            <v>43.7</v>
          </cell>
          <cell r="NT18">
            <v>36.4</v>
          </cell>
          <cell r="OD18">
            <v>87.5</v>
          </cell>
          <cell r="OE18">
            <v>89.1</v>
          </cell>
          <cell r="OV18">
            <v>1</v>
          </cell>
          <cell r="OW18">
            <v>-0.4</v>
          </cell>
        </row>
        <row r="19">
          <cell r="F19">
            <v>16.7</v>
          </cell>
          <cell r="G19">
            <v>15.9</v>
          </cell>
          <cell r="P19">
            <v>3803.1</v>
          </cell>
          <cell r="Q19">
            <v>3916.4</v>
          </cell>
          <cell r="AE19">
            <v>548.29999999999995</v>
          </cell>
          <cell r="AF19">
            <v>571.20000000000005</v>
          </cell>
          <cell r="BS19">
            <v>613.90000000000009</v>
          </cell>
          <cell r="BT19">
            <v>594.40000000000009</v>
          </cell>
          <cell r="CD19">
            <v>328.4</v>
          </cell>
          <cell r="CE19">
            <v>328.2</v>
          </cell>
          <cell r="CS19">
            <v>768.1</v>
          </cell>
          <cell r="CT19">
            <v>745.4</v>
          </cell>
          <cell r="DD19">
            <v>1836.5</v>
          </cell>
          <cell r="DE19">
            <v>1903</v>
          </cell>
          <cell r="DO19">
            <v>1208.5999999999999</v>
          </cell>
          <cell r="DP19">
            <v>1260.4000000000001</v>
          </cell>
          <cell r="EG19">
            <v>58.8</v>
          </cell>
          <cell r="EH19">
            <v>53.5</v>
          </cell>
          <cell r="EV19">
            <v>483.3</v>
          </cell>
          <cell r="EW19">
            <v>451.1</v>
          </cell>
          <cell r="FG19">
            <v>688.7</v>
          </cell>
          <cell r="FH19">
            <v>654.79999999999995</v>
          </cell>
          <cell r="FR19">
            <v>333.9</v>
          </cell>
          <cell r="FS19">
            <v>360.8</v>
          </cell>
          <cell r="GC19">
            <v>668.7</v>
          </cell>
          <cell r="GD19">
            <v>708.5</v>
          </cell>
          <cell r="GN19">
            <v>157.69999999999999</v>
          </cell>
          <cell r="GO19">
            <v>159.69999999999999</v>
          </cell>
          <cell r="GY19">
            <v>409.9</v>
          </cell>
          <cell r="GZ19">
            <v>403.6</v>
          </cell>
          <cell r="HJ19">
            <v>379.6</v>
          </cell>
          <cell r="HK19">
            <v>423.1</v>
          </cell>
          <cell r="HU19">
            <v>622.6</v>
          </cell>
          <cell r="HV19">
            <v>676.4</v>
          </cell>
          <cell r="IF19">
            <v>23.1</v>
          </cell>
          <cell r="IG19">
            <v>21.5</v>
          </cell>
          <cell r="JB19">
            <v>97.2</v>
          </cell>
          <cell r="JC19">
            <v>107.3</v>
          </cell>
          <cell r="JI19">
            <v>465.8</v>
          </cell>
          <cell r="JJ19">
            <v>484</v>
          </cell>
          <cell r="JT19">
            <v>211.9</v>
          </cell>
          <cell r="JU19">
            <v>230.2</v>
          </cell>
          <cell r="KE19">
            <v>364.7</v>
          </cell>
          <cell r="KF19">
            <v>432.6</v>
          </cell>
          <cell r="KP19">
            <v>131</v>
          </cell>
          <cell r="KQ19">
            <v>157.9</v>
          </cell>
          <cell r="LE19">
            <v>189</v>
          </cell>
          <cell r="LF19">
            <v>228.1</v>
          </cell>
          <cell r="LL19">
            <v>73.599999999999994</v>
          </cell>
          <cell r="LM19">
            <v>87.3</v>
          </cell>
          <cell r="LW19">
            <v>61.2</v>
          </cell>
          <cell r="LX19">
            <v>68.2</v>
          </cell>
          <cell r="ML19">
            <v>149.9</v>
          </cell>
          <cell r="MM19">
            <v>136.80000000000001</v>
          </cell>
          <cell r="MW19">
            <v>179.6</v>
          </cell>
          <cell r="MX19">
            <v>200.4</v>
          </cell>
          <cell r="NH19">
            <v>356.9</v>
          </cell>
          <cell r="NI19">
            <v>364.5</v>
          </cell>
          <cell r="NS19">
            <v>388.5</v>
          </cell>
          <cell r="NT19">
            <v>327.2</v>
          </cell>
          <cell r="OD19">
            <v>574.1</v>
          </cell>
          <cell r="OE19">
            <v>582.4</v>
          </cell>
          <cell r="OV19">
            <v>0</v>
          </cell>
          <cell r="OW19">
            <v>0.4</v>
          </cell>
        </row>
        <row r="20">
          <cell r="F20">
            <v>13.2</v>
          </cell>
          <cell r="G20">
            <v>13.4</v>
          </cell>
          <cell r="P20">
            <v>4527.2</v>
          </cell>
          <cell r="Q20">
            <v>4648.2</v>
          </cell>
          <cell r="AE20"/>
          <cell r="AF20"/>
          <cell r="BS20">
            <v>661.30000000000007</v>
          </cell>
          <cell r="BT20">
            <v>710.1</v>
          </cell>
          <cell r="CD20">
            <v>1726.3000000000002</v>
          </cell>
          <cell r="CE20">
            <v>1728.6999999999998</v>
          </cell>
          <cell r="CS20">
            <v>1395.7</v>
          </cell>
          <cell r="CT20">
            <v>1397.8</v>
          </cell>
          <cell r="DD20">
            <v>2315.4</v>
          </cell>
          <cell r="DE20">
            <v>2332.5</v>
          </cell>
          <cell r="DO20">
            <v>989.6</v>
          </cell>
          <cell r="DP20">
            <v>1043.7</v>
          </cell>
          <cell r="EG20">
            <v>48.1</v>
          </cell>
          <cell r="EH20">
            <v>49.9</v>
          </cell>
          <cell r="EV20">
            <v>769.6</v>
          </cell>
          <cell r="EW20">
            <v>800.8</v>
          </cell>
          <cell r="FG20">
            <v>1005.9</v>
          </cell>
          <cell r="FH20">
            <v>992.8</v>
          </cell>
          <cell r="FR20">
            <v>619.20000000000005</v>
          </cell>
          <cell r="FS20">
            <v>615.9</v>
          </cell>
          <cell r="GC20">
            <v>831.2</v>
          </cell>
          <cell r="GD20">
            <v>818.1</v>
          </cell>
          <cell r="GN20">
            <v>43.9</v>
          </cell>
          <cell r="GO20">
            <v>43.8</v>
          </cell>
          <cell r="GY20">
            <v>626.29999999999995</v>
          </cell>
          <cell r="GZ20">
            <v>665.5</v>
          </cell>
          <cell r="HJ20">
            <v>222.6</v>
          </cell>
          <cell r="HK20">
            <v>244.9</v>
          </cell>
          <cell r="HU20">
            <v>434</v>
          </cell>
          <cell r="HV20">
            <v>443.1</v>
          </cell>
          <cell r="IF20">
            <v>92</v>
          </cell>
          <cell r="IG20">
            <v>86.9</v>
          </cell>
          <cell r="JB20">
            <v>32.1</v>
          </cell>
          <cell r="JC20">
            <v>37.4</v>
          </cell>
          <cell r="JI20">
            <v>730.3</v>
          </cell>
          <cell r="JJ20">
            <v>803.1</v>
          </cell>
          <cell r="JT20">
            <v>228.9</v>
          </cell>
          <cell r="JU20">
            <v>231.2</v>
          </cell>
          <cell r="KE20">
            <v>622.9</v>
          </cell>
          <cell r="KF20">
            <v>630.29999999999995</v>
          </cell>
          <cell r="KP20">
            <v>194.1</v>
          </cell>
          <cell r="KQ20">
            <v>185.6</v>
          </cell>
          <cell r="LE20">
            <v>238.7</v>
          </cell>
          <cell r="LF20">
            <v>229.5</v>
          </cell>
          <cell r="LL20">
            <v>105.5</v>
          </cell>
          <cell r="LM20">
            <v>96.3</v>
          </cell>
          <cell r="LW20">
            <v>79.900000000000006</v>
          </cell>
          <cell r="LX20">
            <v>89.2</v>
          </cell>
          <cell r="ML20">
            <v>222.5</v>
          </cell>
          <cell r="MM20">
            <v>243.9</v>
          </cell>
          <cell r="MW20">
            <v>246.6</v>
          </cell>
          <cell r="MX20">
            <v>262</v>
          </cell>
          <cell r="NH20">
            <v>358.8</v>
          </cell>
          <cell r="NI20">
            <v>350.2</v>
          </cell>
          <cell r="NS20">
            <v>521.6</v>
          </cell>
          <cell r="NT20">
            <v>486</v>
          </cell>
          <cell r="OD20">
            <v>779.8</v>
          </cell>
          <cell r="OE20">
            <v>746</v>
          </cell>
          <cell r="OV20">
            <v>0.5</v>
          </cell>
          <cell r="OW20">
            <v>0.2</v>
          </cell>
        </row>
        <row r="21">
          <cell r="F21">
            <v>13</v>
          </cell>
          <cell r="G21">
            <v>11.6</v>
          </cell>
          <cell r="P21">
            <v>287.10000000000002</v>
          </cell>
          <cell r="Q21">
            <v>310.7</v>
          </cell>
          <cell r="AE21">
            <v>6.8</v>
          </cell>
          <cell r="AF21">
            <v>6.5</v>
          </cell>
          <cell r="BS21">
            <v>22.200000000000003</v>
          </cell>
          <cell r="BT21">
            <v>27.400000000000002</v>
          </cell>
          <cell r="CD21">
            <v>37.5</v>
          </cell>
          <cell r="CE21">
            <v>34.5</v>
          </cell>
          <cell r="CS21">
            <v>69.099999999999994</v>
          </cell>
          <cell r="CT21">
            <v>76.599999999999994</v>
          </cell>
          <cell r="DD21">
            <v>136.6</v>
          </cell>
          <cell r="DE21">
            <v>144</v>
          </cell>
          <cell r="DO21">
            <v>87.4</v>
          </cell>
          <cell r="DP21">
            <v>77.8</v>
          </cell>
          <cell r="EG21"/>
          <cell r="EH21"/>
          <cell r="EV21">
            <v>50.7</v>
          </cell>
          <cell r="EW21">
            <v>36.299999999999997</v>
          </cell>
          <cell r="FG21">
            <v>17.600000000000001</v>
          </cell>
          <cell r="FH21">
            <v>16.899999999999999</v>
          </cell>
          <cell r="FR21">
            <v>33.4</v>
          </cell>
          <cell r="FS21">
            <v>33</v>
          </cell>
          <cell r="GC21">
            <v>80.099999999999994</v>
          </cell>
          <cell r="GD21">
            <v>93.2</v>
          </cell>
          <cell r="GN21">
            <v>3.4</v>
          </cell>
          <cell r="GO21">
            <v>2.2999999999999998</v>
          </cell>
          <cell r="GY21">
            <v>31.4</v>
          </cell>
          <cell r="GZ21">
            <v>30.4</v>
          </cell>
          <cell r="HJ21">
            <v>14.6</v>
          </cell>
          <cell r="HK21">
            <v>18.2</v>
          </cell>
          <cell r="HU21">
            <v>61.1</v>
          </cell>
          <cell r="HV21">
            <v>66.3</v>
          </cell>
          <cell r="IF21"/>
          <cell r="IG21"/>
          <cell r="JB21">
            <v>14.4</v>
          </cell>
          <cell r="JC21">
            <v>13.3</v>
          </cell>
          <cell r="JI21">
            <v>13.4</v>
          </cell>
          <cell r="JJ21">
            <v>15.2</v>
          </cell>
          <cell r="JT21">
            <v>21.2</v>
          </cell>
          <cell r="JU21">
            <v>21.9</v>
          </cell>
          <cell r="KE21">
            <v>29.3</v>
          </cell>
          <cell r="KF21">
            <v>32.6</v>
          </cell>
          <cell r="KP21">
            <v>10.6</v>
          </cell>
          <cell r="KQ21">
            <v>9.9</v>
          </cell>
          <cell r="LE21">
            <v>73.7</v>
          </cell>
          <cell r="LF21">
            <v>93.4</v>
          </cell>
          <cell r="LL21">
            <v>6.1</v>
          </cell>
          <cell r="LM21">
            <v>4.5999999999999996</v>
          </cell>
          <cell r="LW21"/>
          <cell r="LX21">
            <v>2.8</v>
          </cell>
          <cell r="ML21">
            <v>8.9</v>
          </cell>
          <cell r="MM21">
            <v>8.1999999999999993</v>
          </cell>
          <cell r="MW21">
            <v>8.6999999999999993</v>
          </cell>
          <cell r="MX21">
            <v>10.9</v>
          </cell>
          <cell r="NH21">
            <v>20.6</v>
          </cell>
          <cell r="NI21">
            <v>19.8</v>
          </cell>
          <cell r="NS21">
            <v>39.1</v>
          </cell>
          <cell r="NT21">
            <v>25.7</v>
          </cell>
          <cell r="OD21">
            <v>20.399999999999999</v>
          </cell>
          <cell r="OE21">
            <v>19.600000000000001</v>
          </cell>
          <cell r="OV21">
            <v>-0.1</v>
          </cell>
          <cell r="OW21">
            <v>-1.7</v>
          </cell>
        </row>
        <row r="22">
          <cell r="F22">
            <v>12.1</v>
          </cell>
          <cell r="G22">
            <v>12</v>
          </cell>
          <cell r="P22">
            <v>421.9</v>
          </cell>
          <cell r="Q22">
            <v>457.7</v>
          </cell>
          <cell r="AE22">
            <v>19.3</v>
          </cell>
          <cell r="AF22">
            <v>23</v>
          </cell>
          <cell r="BS22">
            <v>16.8</v>
          </cell>
          <cell r="BT22">
            <v>16.8</v>
          </cell>
          <cell r="CD22">
            <v>14.5</v>
          </cell>
          <cell r="CE22">
            <v>18.899999999999999</v>
          </cell>
          <cell r="CS22">
            <v>164.1</v>
          </cell>
          <cell r="CT22">
            <v>165.5</v>
          </cell>
          <cell r="DD22">
            <v>186.9</v>
          </cell>
          <cell r="DE22">
            <v>201.3</v>
          </cell>
          <cell r="DO22">
            <v>36.700000000000003</v>
          </cell>
          <cell r="DP22">
            <v>28</v>
          </cell>
          <cell r="EG22">
            <v>3.4</v>
          </cell>
          <cell r="EH22">
            <v>2.7</v>
          </cell>
          <cell r="EV22">
            <v>16.600000000000001</v>
          </cell>
          <cell r="EW22">
            <v>12.7</v>
          </cell>
          <cell r="FG22">
            <v>21.5</v>
          </cell>
          <cell r="FH22">
            <v>21.4</v>
          </cell>
          <cell r="FR22">
            <v>24.3</v>
          </cell>
          <cell r="FS22">
            <v>24.4</v>
          </cell>
          <cell r="GC22">
            <v>32.799999999999997</v>
          </cell>
          <cell r="GD22">
            <v>39.799999999999997</v>
          </cell>
          <cell r="GN22">
            <v>9.5</v>
          </cell>
          <cell r="GO22">
            <v>9.5</v>
          </cell>
          <cell r="GY22">
            <v>33.4</v>
          </cell>
          <cell r="GZ22">
            <v>40.200000000000003</v>
          </cell>
          <cell r="HJ22">
            <v>37.200000000000003</v>
          </cell>
          <cell r="HK22">
            <v>37.299999999999997</v>
          </cell>
          <cell r="HU22">
            <v>208.3</v>
          </cell>
          <cell r="HV22">
            <v>203.6</v>
          </cell>
          <cell r="IF22"/>
          <cell r="IG22">
            <v>3.2</v>
          </cell>
          <cell r="JB22">
            <v>30.9</v>
          </cell>
          <cell r="JC22">
            <v>27.3</v>
          </cell>
          <cell r="JI22">
            <v>57.5</v>
          </cell>
          <cell r="JJ22">
            <v>60.8</v>
          </cell>
          <cell r="JT22">
            <v>28</v>
          </cell>
          <cell r="JU22">
            <v>29.7</v>
          </cell>
          <cell r="KE22">
            <v>19.899999999999999</v>
          </cell>
          <cell r="KF22">
            <v>21.4</v>
          </cell>
          <cell r="KP22">
            <v>8.1999999999999993</v>
          </cell>
          <cell r="KQ22">
            <v>9.8000000000000007</v>
          </cell>
          <cell r="LE22">
            <v>13.1</v>
          </cell>
          <cell r="LF22">
            <v>17.2</v>
          </cell>
          <cell r="LL22">
            <v>2.9</v>
          </cell>
          <cell r="LM22">
            <v>4.3</v>
          </cell>
          <cell r="LW22">
            <v>3</v>
          </cell>
          <cell r="LX22">
            <v>3.4</v>
          </cell>
          <cell r="ML22">
            <v>3.1</v>
          </cell>
          <cell r="MM22">
            <v>3.7</v>
          </cell>
          <cell r="MW22">
            <v>21.6</v>
          </cell>
          <cell r="MX22">
            <v>22.2</v>
          </cell>
          <cell r="NH22">
            <v>172.6</v>
          </cell>
          <cell r="NI22">
            <v>168.1</v>
          </cell>
          <cell r="NS22">
            <v>19</v>
          </cell>
          <cell r="NT22">
            <v>19.5</v>
          </cell>
          <cell r="OD22">
            <v>12</v>
          </cell>
          <cell r="OE22">
            <v>10.7</v>
          </cell>
          <cell r="OV22">
            <v>0.1</v>
          </cell>
          <cell r="OW22">
            <v>0.6</v>
          </cell>
        </row>
        <row r="23">
          <cell r="F23">
            <v>15.9</v>
          </cell>
          <cell r="G23">
            <v>10.6</v>
          </cell>
          <cell r="P23">
            <v>23.6</v>
          </cell>
          <cell r="Q23">
            <v>24.4</v>
          </cell>
          <cell r="AE23"/>
          <cell r="AF23"/>
          <cell r="BS23"/>
          <cell r="BT23"/>
          <cell r="CD23"/>
          <cell r="CE23"/>
          <cell r="CS23">
            <v>7.3</v>
          </cell>
          <cell r="CT23">
            <v>6.9</v>
          </cell>
          <cell r="DD23">
            <v>7.4</v>
          </cell>
          <cell r="DE23">
            <v>7.7</v>
          </cell>
          <cell r="DO23">
            <v>7.7</v>
          </cell>
          <cell r="DP23">
            <v>8</v>
          </cell>
          <cell r="EG23"/>
          <cell r="EH23"/>
          <cell r="EV23">
            <v>5.2</v>
          </cell>
          <cell r="EW23">
            <v>4.4000000000000004</v>
          </cell>
          <cell r="FG23">
            <v>2.7</v>
          </cell>
          <cell r="FH23">
            <v>2.5</v>
          </cell>
          <cell r="FR23">
            <v>1.5</v>
          </cell>
          <cell r="FS23">
            <v>1.4</v>
          </cell>
          <cell r="GC23">
            <v>5.8</v>
          </cell>
          <cell r="GD23">
            <v>7.2</v>
          </cell>
          <cell r="GN23"/>
          <cell r="GO23"/>
          <cell r="GY23">
            <v>1.1000000000000001</v>
          </cell>
          <cell r="GZ23"/>
          <cell r="HJ23"/>
          <cell r="HK23">
            <v>1.4</v>
          </cell>
          <cell r="HU23">
            <v>4.3</v>
          </cell>
          <cell r="HV23">
            <v>3.9</v>
          </cell>
          <cell r="IF23"/>
          <cell r="IG23"/>
          <cell r="JB23"/>
          <cell r="JC23"/>
          <cell r="JI23">
            <v>2</v>
          </cell>
          <cell r="JJ23">
            <v>2.1</v>
          </cell>
          <cell r="JT23"/>
          <cell r="JU23">
            <v>1.5</v>
          </cell>
          <cell r="KE23">
            <v>1.4</v>
          </cell>
          <cell r="KF23">
            <v>2.7</v>
          </cell>
          <cell r="KP23"/>
          <cell r="KQ23">
            <v>1.5</v>
          </cell>
          <cell r="LE23">
            <v>2.5</v>
          </cell>
          <cell r="LF23">
            <v>2.2999999999999998</v>
          </cell>
          <cell r="LL23"/>
          <cell r="LM23"/>
          <cell r="LW23"/>
          <cell r="LX23"/>
          <cell r="ML23"/>
          <cell r="MM23">
            <v>1</v>
          </cell>
          <cell r="MW23"/>
          <cell r="MX23"/>
          <cell r="NH23">
            <v>1.4</v>
          </cell>
          <cell r="NI23"/>
          <cell r="NS23">
            <v>3.7</v>
          </cell>
          <cell r="NT23">
            <v>3.2</v>
          </cell>
          <cell r="OD23">
            <v>2.5</v>
          </cell>
          <cell r="OE23">
            <v>2.7</v>
          </cell>
          <cell r="OV23"/>
          <cell r="OW23"/>
        </row>
        <row r="24">
          <cell r="F24">
            <v>9.1999999999999993</v>
          </cell>
          <cell r="G24">
            <v>8.1</v>
          </cell>
          <cell r="P24">
            <v>140.5</v>
          </cell>
          <cell r="Q24">
            <v>147.80000000000001</v>
          </cell>
          <cell r="AE24"/>
          <cell r="AF24">
            <v>3.6</v>
          </cell>
          <cell r="BS24">
            <v>9.6999999999999993</v>
          </cell>
          <cell r="BT24">
            <v>13.100000000000001</v>
          </cell>
          <cell r="CD24">
            <v>20.100000000000001</v>
          </cell>
          <cell r="CE24">
            <v>18.7</v>
          </cell>
          <cell r="CS24">
            <v>24.2</v>
          </cell>
          <cell r="CT24">
            <v>26.8</v>
          </cell>
          <cell r="DD24">
            <v>60.3</v>
          </cell>
          <cell r="DE24">
            <v>56.8</v>
          </cell>
          <cell r="DO24">
            <v>52.2</v>
          </cell>
          <cell r="DP24">
            <v>56.1</v>
          </cell>
          <cell r="EG24"/>
          <cell r="EH24"/>
          <cell r="EV24">
            <v>26.6</v>
          </cell>
          <cell r="EW24">
            <v>27.4</v>
          </cell>
          <cell r="FG24">
            <v>10.7</v>
          </cell>
          <cell r="FH24">
            <v>11.8</v>
          </cell>
          <cell r="FR24">
            <v>14.9</v>
          </cell>
          <cell r="FS24">
            <v>14</v>
          </cell>
          <cell r="GC24">
            <v>45.2</v>
          </cell>
          <cell r="GD24">
            <v>44</v>
          </cell>
          <cell r="GN24">
            <v>2.8</v>
          </cell>
          <cell r="GO24"/>
          <cell r="GY24">
            <v>9</v>
          </cell>
          <cell r="GZ24">
            <v>10.9</v>
          </cell>
          <cell r="HJ24">
            <v>6.2</v>
          </cell>
          <cell r="HK24">
            <v>6.2</v>
          </cell>
          <cell r="HU24">
            <v>20.9</v>
          </cell>
          <cell r="HV24">
            <v>21.7</v>
          </cell>
          <cell r="IF24"/>
          <cell r="IG24"/>
          <cell r="JB24">
            <v>3</v>
          </cell>
          <cell r="JC24">
            <v>3.3</v>
          </cell>
          <cell r="JI24">
            <v>13.7</v>
          </cell>
          <cell r="JJ24">
            <v>15.5</v>
          </cell>
          <cell r="JT24">
            <v>10.3</v>
          </cell>
          <cell r="JU24">
            <v>11.4</v>
          </cell>
          <cell r="KE24">
            <v>21.6</v>
          </cell>
          <cell r="KF24">
            <v>23.2</v>
          </cell>
          <cell r="KP24">
            <v>3.8</v>
          </cell>
          <cell r="KQ24">
            <v>3.9</v>
          </cell>
          <cell r="LE24">
            <v>19.600000000000001</v>
          </cell>
          <cell r="LF24">
            <v>19.3</v>
          </cell>
          <cell r="LL24">
            <v>3.8</v>
          </cell>
          <cell r="LM24">
            <v>3.7</v>
          </cell>
          <cell r="LW24">
            <v>3.5</v>
          </cell>
          <cell r="LX24">
            <v>3.7</v>
          </cell>
          <cell r="ML24">
            <v>6.3</v>
          </cell>
          <cell r="MM24">
            <v>7.2</v>
          </cell>
          <cell r="MW24">
            <v>7.5</v>
          </cell>
          <cell r="MX24">
            <v>6.8</v>
          </cell>
          <cell r="NH24">
            <v>5.0999999999999996</v>
          </cell>
          <cell r="NI24">
            <v>4.7</v>
          </cell>
          <cell r="NS24">
            <v>16.8</v>
          </cell>
          <cell r="NT24">
            <v>17</v>
          </cell>
          <cell r="OD24">
            <v>15.9</v>
          </cell>
          <cell r="OE24">
            <v>17.2</v>
          </cell>
          <cell r="OV24">
            <v>1</v>
          </cell>
          <cell r="OW24">
            <v>1.6</v>
          </cell>
        </row>
        <row r="25">
          <cell r="F25">
            <v>14.9</v>
          </cell>
          <cell r="G25">
            <v>14.1</v>
          </cell>
          <cell r="P25">
            <v>2390.8000000000002</v>
          </cell>
          <cell r="Q25">
            <v>2551.6999999999998</v>
          </cell>
          <cell r="AE25">
            <v>88.7</v>
          </cell>
          <cell r="AF25">
            <v>77.8</v>
          </cell>
          <cell r="BS25">
            <v>81.8</v>
          </cell>
          <cell r="BT25">
            <v>86.199999999999989</v>
          </cell>
          <cell r="CD25">
            <v>287.60000000000002</v>
          </cell>
          <cell r="CE25">
            <v>338.20000000000005</v>
          </cell>
          <cell r="CS25">
            <v>825.5</v>
          </cell>
          <cell r="CT25">
            <v>905.7</v>
          </cell>
          <cell r="DD25">
            <v>1169.3</v>
          </cell>
          <cell r="DE25">
            <v>1228.7</v>
          </cell>
          <cell r="DO25">
            <v>469.3</v>
          </cell>
          <cell r="DP25">
            <v>414.7</v>
          </cell>
          <cell r="EG25">
            <v>13.8</v>
          </cell>
          <cell r="EH25">
            <v>12.1</v>
          </cell>
          <cell r="EV25">
            <v>289.7</v>
          </cell>
          <cell r="EW25">
            <v>205.8</v>
          </cell>
          <cell r="FG25">
            <v>260.39999999999998</v>
          </cell>
          <cell r="FH25">
            <v>239.1</v>
          </cell>
          <cell r="FR25">
            <v>240.9</v>
          </cell>
          <cell r="FS25">
            <v>286.60000000000002</v>
          </cell>
          <cell r="GC25">
            <v>635.1</v>
          </cell>
          <cell r="GD25">
            <v>707.2</v>
          </cell>
          <cell r="GN25">
            <v>56.9</v>
          </cell>
          <cell r="GO25">
            <v>47.8</v>
          </cell>
          <cell r="GY25">
            <v>282</v>
          </cell>
          <cell r="GZ25">
            <v>289.3</v>
          </cell>
          <cell r="HJ25">
            <v>189.6</v>
          </cell>
          <cell r="HK25">
            <v>195.2</v>
          </cell>
          <cell r="HU25">
            <v>495.9</v>
          </cell>
          <cell r="HV25">
            <v>558.29999999999995</v>
          </cell>
          <cell r="IF25">
            <v>3.6</v>
          </cell>
          <cell r="IG25">
            <v>7.3</v>
          </cell>
          <cell r="JB25">
            <v>261</v>
          </cell>
          <cell r="JC25">
            <v>288.7</v>
          </cell>
          <cell r="JI25">
            <v>389.9</v>
          </cell>
          <cell r="JJ25">
            <v>404.7</v>
          </cell>
          <cell r="JT25">
            <v>137.19999999999999</v>
          </cell>
          <cell r="JU25">
            <v>141.4</v>
          </cell>
          <cell r="KE25">
            <v>265.60000000000002</v>
          </cell>
          <cell r="KF25">
            <v>280.5</v>
          </cell>
          <cell r="KP25">
            <v>98.3</v>
          </cell>
          <cell r="KQ25">
            <v>105.3</v>
          </cell>
          <cell r="LE25">
            <v>354.1</v>
          </cell>
          <cell r="LF25">
            <v>420.2</v>
          </cell>
          <cell r="LL25">
            <v>36.4</v>
          </cell>
          <cell r="LM25">
            <v>44.3</v>
          </cell>
          <cell r="LW25">
            <v>15.2</v>
          </cell>
          <cell r="LX25">
            <v>12.9</v>
          </cell>
          <cell r="ML25">
            <v>74.2</v>
          </cell>
          <cell r="MM25">
            <v>72.2</v>
          </cell>
          <cell r="MW25">
            <v>138.80000000000001</v>
          </cell>
          <cell r="MX25">
            <v>161.19999999999999</v>
          </cell>
          <cell r="NH25">
            <v>54.6</v>
          </cell>
          <cell r="NI25">
            <v>66.599999999999994</v>
          </cell>
          <cell r="NS25">
            <v>244.5</v>
          </cell>
          <cell r="NT25">
            <v>127.5</v>
          </cell>
          <cell r="OD25">
            <v>171.4</v>
          </cell>
          <cell r="OE25">
            <v>167.5</v>
          </cell>
          <cell r="OV25">
            <v>0.4</v>
          </cell>
          <cell r="OW25">
            <v>0.1</v>
          </cell>
        </row>
        <row r="26">
          <cell r="F26">
            <v>4</v>
          </cell>
          <cell r="G26">
            <v>4.5</v>
          </cell>
          <cell r="P26">
            <v>28.5</v>
          </cell>
          <cell r="Q26">
            <v>30.2</v>
          </cell>
          <cell r="AE26"/>
          <cell r="AF26"/>
          <cell r="BS26"/>
          <cell r="BT26"/>
          <cell r="CD26"/>
          <cell r="CE26"/>
          <cell r="CS26">
            <v>5.4</v>
          </cell>
          <cell r="CT26">
            <v>4.7</v>
          </cell>
          <cell r="DD26">
            <v>15.9</v>
          </cell>
          <cell r="DE26">
            <v>19</v>
          </cell>
          <cell r="DO26">
            <v>8</v>
          </cell>
          <cell r="DP26">
            <v>3.7</v>
          </cell>
          <cell r="EG26"/>
          <cell r="EH26"/>
          <cell r="EV26"/>
          <cell r="EW26"/>
          <cell r="FG26"/>
          <cell r="FH26"/>
          <cell r="FR26"/>
          <cell r="FS26"/>
          <cell r="GC26"/>
          <cell r="GD26">
            <v>4</v>
          </cell>
          <cell r="GN26"/>
          <cell r="GO26"/>
          <cell r="GY26"/>
          <cell r="GZ26"/>
          <cell r="HJ26"/>
          <cell r="HK26"/>
          <cell r="HU26">
            <v>11.6</v>
          </cell>
          <cell r="HV26">
            <v>8.6999999999999993</v>
          </cell>
          <cell r="IF26"/>
          <cell r="IG26"/>
          <cell r="JB26"/>
          <cell r="JC26"/>
          <cell r="JI26"/>
          <cell r="JJ26"/>
          <cell r="JT26"/>
          <cell r="JU26"/>
          <cell r="KE26"/>
          <cell r="KF26"/>
          <cell r="KP26"/>
          <cell r="KQ26"/>
          <cell r="LE26"/>
          <cell r="LF26"/>
          <cell r="LL26"/>
          <cell r="LM26"/>
          <cell r="LW26"/>
          <cell r="LX26"/>
          <cell r="ML26"/>
          <cell r="MM26"/>
          <cell r="MW26"/>
          <cell r="MX26"/>
          <cell r="NH26"/>
          <cell r="NI26"/>
          <cell r="NS26"/>
          <cell r="NT26"/>
          <cell r="OD26"/>
          <cell r="OE26"/>
          <cell r="OV26">
            <v>1.1000000000000001</v>
          </cell>
          <cell r="OW26">
            <v>0.8</v>
          </cell>
        </row>
        <row r="27">
          <cell r="F27">
            <v>2.6</v>
          </cell>
          <cell r="G27">
            <v>2.1</v>
          </cell>
          <cell r="P27">
            <v>23.9</v>
          </cell>
          <cell r="Q27">
            <v>29.9</v>
          </cell>
          <cell r="AE27"/>
          <cell r="AF27"/>
          <cell r="BS27"/>
          <cell r="BT27"/>
          <cell r="CD27"/>
          <cell r="CE27"/>
          <cell r="CS27">
            <v>5.6</v>
          </cell>
          <cell r="CT27"/>
          <cell r="DD27">
            <v>17.3</v>
          </cell>
          <cell r="DE27">
            <v>19.399999999999999</v>
          </cell>
          <cell r="DO27">
            <v>5.7</v>
          </cell>
          <cell r="DP27">
            <v>5.0999999999999996</v>
          </cell>
          <cell r="EG27"/>
          <cell r="EH27"/>
          <cell r="EV27"/>
          <cell r="EW27"/>
          <cell r="FG27"/>
          <cell r="FH27"/>
          <cell r="FR27"/>
          <cell r="FS27"/>
          <cell r="GC27"/>
          <cell r="GD27"/>
          <cell r="GN27"/>
          <cell r="GO27"/>
          <cell r="GY27"/>
          <cell r="GZ27"/>
          <cell r="HJ27"/>
          <cell r="HK27"/>
          <cell r="HU27">
            <v>11</v>
          </cell>
          <cell r="HV27">
            <v>10.4</v>
          </cell>
          <cell r="IF27"/>
          <cell r="IG27"/>
          <cell r="JB27"/>
          <cell r="JC27"/>
          <cell r="JI27"/>
          <cell r="JJ27"/>
          <cell r="JT27"/>
          <cell r="JU27"/>
          <cell r="KE27"/>
          <cell r="KF27"/>
          <cell r="KP27"/>
          <cell r="KQ27"/>
          <cell r="LE27"/>
          <cell r="LF27"/>
          <cell r="LL27"/>
          <cell r="LM27"/>
          <cell r="LW27"/>
          <cell r="LX27"/>
          <cell r="ML27"/>
          <cell r="MM27"/>
          <cell r="MW27"/>
          <cell r="MX27"/>
          <cell r="NH27"/>
          <cell r="NI27"/>
          <cell r="NS27"/>
          <cell r="NT27"/>
          <cell r="OD27"/>
          <cell r="OE27"/>
          <cell r="OV27">
            <v>0.5</v>
          </cell>
          <cell r="OW27">
            <v>0.7</v>
          </cell>
        </row>
        <row r="28">
          <cell r="F28">
            <v>11.7</v>
          </cell>
          <cell r="G28">
            <v>10.4</v>
          </cell>
          <cell r="P28">
            <v>23.1</v>
          </cell>
          <cell r="Q28">
            <v>26.4</v>
          </cell>
          <cell r="AE28"/>
          <cell r="AF28"/>
          <cell r="BS28"/>
          <cell r="BT28"/>
          <cell r="CD28">
            <v>5.6999999999999993</v>
          </cell>
          <cell r="CE28">
            <v>5.0999999999999996</v>
          </cell>
          <cell r="CS28">
            <v>4.0999999999999996</v>
          </cell>
          <cell r="CT28">
            <v>6</v>
          </cell>
          <cell r="DD28">
            <v>5.3</v>
          </cell>
          <cell r="DE28">
            <v>7.1</v>
          </cell>
          <cell r="DO28">
            <v>8.1999999999999993</v>
          </cell>
          <cell r="DP28">
            <v>7.8</v>
          </cell>
          <cell r="EG28"/>
          <cell r="EH28"/>
          <cell r="EV28">
            <v>6.4</v>
          </cell>
          <cell r="EW28">
            <v>7</v>
          </cell>
          <cell r="FG28">
            <v>2.4</v>
          </cell>
          <cell r="FH28">
            <v>2.9</v>
          </cell>
          <cell r="FR28"/>
          <cell r="FS28">
            <v>2.2999999999999998</v>
          </cell>
          <cell r="GC28">
            <v>3.3</v>
          </cell>
          <cell r="GD28">
            <v>4</v>
          </cell>
          <cell r="GN28"/>
          <cell r="GO28"/>
          <cell r="GY28"/>
          <cell r="GZ28"/>
          <cell r="HJ28"/>
          <cell r="HK28"/>
          <cell r="HU28">
            <v>2.7</v>
          </cell>
          <cell r="HV28">
            <v>3.2</v>
          </cell>
          <cell r="IF28"/>
          <cell r="IG28"/>
          <cell r="JB28"/>
          <cell r="JC28"/>
          <cell r="JI28"/>
          <cell r="JJ28"/>
          <cell r="JT28"/>
          <cell r="JU28"/>
          <cell r="KE28"/>
          <cell r="KF28"/>
          <cell r="KP28"/>
          <cell r="KQ28"/>
          <cell r="LE28"/>
          <cell r="LF28"/>
          <cell r="LL28"/>
          <cell r="LM28"/>
          <cell r="LW28"/>
          <cell r="LX28"/>
          <cell r="ML28"/>
          <cell r="MM28"/>
          <cell r="MW28"/>
          <cell r="MX28"/>
          <cell r="NH28"/>
          <cell r="NI28"/>
          <cell r="NS28">
            <v>3.4</v>
          </cell>
          <cell r="NT28">
            <v>2.5</v>
          </cell>
          <cell r="OD28">
            <v>2.6</v>
          </cell>
          <cell r="OE28">
            <v>2.6</v>
          </cell>
          <cell r="OV28">
            <v>0.1</v>
          </cell>
          <cell r="OW28">
            <v>0.2</v>
          </cell>
        </row>
        <row r="29">
          <cell r="F29">
            <v>11.4</v>
          </cell>
          <cell r="G29">
            <v>12.1</v>
          </cell>
          <cell r="P29">
            <v>73.5</v>
          </cell>
          <cell r="Q29">
            <v>59.8</v>
          </cell>
          <cell r="AE29">
            <v>4</v>
          </cell>
          <cell r="AF29">
            <v>3.8</v>
          </cell>
          <cell r="BS29">
            <v>5.5</v>
          </cell>
          <cell r="BT29">
            <v>4</v>
          </cell>
          <cell r="CD29">
            <v>13.9</v>
          </cell>
          <cell r="CE29">
            <v>12.100000000000001</v>
          </cell>
          <cell r="CS29">
            <v>19.100000000000001</v>
          </cell>
          <cell r="CT29">
            <v>15.3</v>
          </cell>
          <cell r="DD29">
            <v>44.4</v>
          </cell>
          <cell r="DE29">
            <v>44.8</v>
          </cell>
          <cell r="DO29">
            <v>14.9</v>
          </cell>
          <cell r="DP29">
            <v>16.3</v>
          </cell>
          <cell r="EG29"/>
          <cell r="EH29"/>
          <cell r="EV29">
            <v>8</v>
          </cell>
          <cell r="EW29">
            <v>8.1</v>
          </cell>
          <cell r="FG29">
            <v>4.7</v>
          </cell>
          <cell r="FH29">
            <v>5.7</v>
          </cell>
          <cell r="FR29">
            <v>4</v>
          </cell>
          <cell r="FS29">
            <v>5.6</v>
          </cell>
          <cell r="GC29">
            <v>13.3</v>
          </cell>
          <cell r="GD29">
            <v>14.2</v>
          </cell>
          <cell r="GN29"/>
          <cell r="GO29"/>
          <cell r="GY29">
            <v>15.5</v>
          </cell>
          <cell r="GZ29">
            <v>13</v>
          </cell>
          <cell r="HJ29">
            <v>16</v>
          </cell>
          <cell r="HK29">
            <v>12.1</v>
          </cell>
          <cell r="HU29">
            <v>13</v>
          </cell>
          <cell r="HV29">
            <v>14.3</v>
          </cell>
          <cell r="IF29"/>
          <cell r="IG29"/>
          <cell r="JB29">
            <v>4.5999999999999996</v>
          </cell>
          <cell r="JC29">
            <v>6.5</v>
          </cell>
          <cell r="JI29">
            <v>18.600000000000001</v>
          </cell>
          <cell r="JJ29">
            <v>15.3</v>
          </cell>
          <cell r="JT29">
            <v>11.4</v>
          </cell>
          <cell r="JU29">
            <v>9.1</v>
          </cell>
          <cell r="KE29">
            <v>8.1999999999999993</v>
          </cell>
          <cell r="KF29">
            <v>7.2</v>
          </cell>
          <cell r="KP29">
            <v>3.7</v>
          </cell>
          <cell r="KQ29">
            <v>3.8</v>
          </cell>
          <cell r="LE29">
            <v>6.7</v>
          </cell>
          <cell r="LF29">
            <v>6.5</v>
          </cell>
          <cell r="LL29">
            <v>2.2000000000000002</v>
          </cell>
          <cell r="LM29"/>
          <cell r="LW29"/>
          <cell r="LX29"/>
          <cell r="ML29"/>
          <cell r="MM29"/>
          <cell r="MW29">
            <v>2.2000000000000002</v>
          </cell>
          <cell r="MX29">
            <v>1.7</v>
          </cell>
          <cell r="NH29">
            <v>3.1</v>
          </cell>
          <cell r="NI29">
            <v>3</v>
          </cell>
          <cell r="NS29">
            <v>3.2</v>
          </cell>
          <cell r="NT29">
            <v>3.6</v>
          </cell>
          <cell r="OD29">
            <v>2.7</v>
          </cell>
          <cell r="OE29">
            <v>2.8</v>
          </cell>
          <cell r="OV29"/>
          <cell r="OW29"/>
        </row>
        <row r="30">
          <cell r="F30">
            <v>8.3000000000000007</v>
          </cell>
          <cell r="G30">
            <v>7.5</v>
          </cell>
          <cell r="P30">
            <v>11.2</v>
          </cell>
          <cell r="Q30">
            <v>13.5</v>
          </cell>
          <cell r="AE30"/>
          <cell r="AF30"/>
          <cell r="BS30"/>
          <cell r="BT30"/>
          <cell r="CD30"/>
          <cell r="CE30"/>
          <cell r="CS30">
            <v>4.5999999999999996</v>
          </cell>
          <cell r="CT30">
            <v>3.7</v>
          </cell>
          <cell r="DD30">
            <v>4.2</v>
          </cell>
          <cell r="DE30">
            <v>6</v>
          </cell>
          <cell r="DO30">
            <v>2.9</v>
          </cell>
          <cell r="DP30">
            <v>3.2</v>
          </cell>
          <cell r="EG30"/>
          <cell r="EH30"/>
          <cell r="EV30"/>
          <cell r="EW30"/>
          <cell r="FG30"/>
          <cell r="FH30"/>
          <cell r="FR30"/>
          <cell r="FS30">
            <v>2.1</v>
          </cell>
          <cell r="GC30">
            <v>2.7</v>
          </cell>
          <cell r="GD30">
            <v>3.4</v>
          </cell>
          <cell r="GN30"/>
          <cell r="GO30"/>
          <cell r="GY30"/>
          <cell r="GZ30"/>
          <cell r="HJ30"/>
          <cell r="HK30"/>
          <cell r="HU30">
            <v>2</v>
          </cell>
          <cell r="HV30"/>
          <cell r="IF30"/>
          <cell r="IG30"/>
          <cell r="JB30"/>
          <cell r="JC30"/>
          <cell r="JI30"/>
          <cell r="JJ30"/>
          <cell r="JT30"/>
          <cell r="JU30"/>
          <cell r="KE30"/>
          <cell r="KF30"/>
          <cell r="KP30"/>
          <cell r="KQ30"/>
          <cell r="LE30"/>
          <cell r="LF30"/>
          <cell r="LL30"/>
          <cell r="LM30"/>
          <cell r="LW30"/>
          <cell r="LX30"/>
          <cell r="ML30"/>
          <cell r="MM30"/>
          <cell r="MW30"/>
          <cell r="MX30"/>
          <cell r="NH30"/>
          <cell r="NI30"/>
          <cell r="NS30"/>
          <cell r="NT30"/>
          <cell r="OD30"/>
          <cell r="OE30"/>
          <cell r="OV30">
            <v>2.1</v>
          </cell>
          <cell r="OW30">
            <v>1.3</v>
          </cell>
        </row>
        <row r="31">
          <cell r="F31">
            <v>20.7</v>
          </cell>
          <cell r="G31">
            <v>20.2</v>
          </cell>
          <cell r="P31">
            <v>1350.3</v>
          </cell>
          <cell r="Q31">
            <v>1412.2</v>
          </cell>
          <cell r="AE31">
            <v>5.4</v>
          </cell>
          <cell r="AF31">
            <v>9.6999999999999993</v>
          </cell>
          <cell r="BS31">
            <v>48.3</v>
          </cell>
          <cell r="BT31">
            <v>50.6</v>
          </cell>
          <cell r="CD31">
            <v>32.5</v>
          </cell>
          <cell r="CE31">
            <v>36</v>
          </cell>
          <cell r="CS31">
            <v>452.3</v>
          </cell>
          <cell r="CT31">
            <v>458</v>
          </cell>
          <cell r="DD31">
            <v>571.9</v>
          </cell>
          <cell r="DE31">
            <v>618.9</v>
          </cell>
          <cell r="DO31">
            <v>357.6</v>
          </cell>
          <cell r="DP31">
            <v>363.4</v>
          </cell>
          <cell r="EG31">
            <v>19</v>
          </cell>
          <cell r="EH31">
            <v>19.3</v>
          </cell>
          <cell r="EV31">
            <v>235.4</v>
          </cell>
          <cell r="EW31">
            <v>229.6</v>
          </cell>
          <cell r="FG31">
            <v>143.30000000000001</v>
          </cell>
          <cell r="FH31">
            <v>159.5</v>
          </cell>
          <cell r="FR31">
            <v>136.6</v>
          </cell>
          <cell r="FS31">
            <v>145.30000000000001</v>
          </cell>
          <cell r="GC31">
            <v>383.1</v>
          </cell>
          <cell r="GD31">
            <v>388.1</v>
          </cell>
          <cell r="GN31">
            <v>20.100000000000001</v>
          </cell>
          <cell r="GO31">
            <v>19.100000000000001</v>
          </cell>
          <cell r="GY31">
            <v>109.2</v>
          </cell>
          <cell r="GZ31">
            <v>114.9</v>
          </cell>
          <cell r="HJ31">
            <v>70.900000000000006</v>
          </cell>
          <cell r="HK31">
            <v>75</v>
          </cell>
          <cell r="HU31">
            <v>256.39999999999998</v>
          </cell>
          <cell r="HV31">
            <v>281.8</v>
          </cell>
          <cell r="IF31"/>
          <cell r="IG31"/>
          <cell r="JB31">
            <v>21.2</v>
          </cell>
          <cell r="JC31">
            <v>21.7</v>
          </cell>
          <cell r="JI31">
            <v>109.5</v>
          </cell>
          <cell r="JJ31">
            <v>119.1</v>
          </cell>
          <cell r="JT31">
            <v>43.4</v>
          </cell>
          <cell r="JU31">
            <v>44.6</v>
          </cell>
          <cell r="KE31">
            <v>245.8</v>
          </cell>
          <cell r="KF31">
            <v>248.5</v>
          </cell>
          <cell r="KP31">
            <v>60.5</v>
          </cell>
          <cell r="KQ31">
            <v>64.5</v>
          </cell>
          <cell r="LE31">
            <v>141.30000000000001</v>
          </cell>
          <cell r="LF31">
            <v>144.6</v>
          </cell>
          <cell r="LL31">
            <v>26.4</v>
          </cell>
          <cell r="LM31">
            <v>27.8</v>
          </cell>
          <cell r="LW31">
            <v>19.2</v>
          </cell>
          <cell r="LX31">
            <v>21.4</v>
          </cell>
          <cell r="ML31">
            <v>50.1</v>
          </cell>
          <cell r="MM31">
            <v>51.2</v>
          </cell>
          <cell r="MW31">
            <v>115.1</v>
          </cell>
          <cell r="MX31">
            <v>124.3</v>
          </cell>
          <cell r="NH31">
            <v>37.700000000000003</v>
          </cell>
          <cell r="NI31">
            <v>39.299999999999997</v>
          </cell>
          <cell r="NS31">
            <v>79.400000000000006</v>
          </cell>
          <cell r="NT31">
            <v>72.099999999999994</v>
          </cell>
          <cell r="OD31">
            <v>167.1</v>
          </cell>
          <cell r="OE31">
            <v>183.5</v>
          </cell>
          <cell r="OV31">
            <v>0.1</v>
          </cell>
          <cell r="OW31">
            <v>0.2</v>
          </cell>
        </row>
        <row r="32">
          <cell r="F32">
            <v>8.5</v>
          </cell>
          <cell r="G32">
            <v>8.1999999999999993</v>
          </cell>
          <cell r="P32">
            <v>193.3</v>
          </cell>
          <cell r="Q32">
            <v>202.3</v>
          </cell>
          <cell r="AE32">
            <v>2.5</v>
          </cell>
          <cell r="AF32">
            <v>5.6</v>
          </cell>
          <cell r="BS32">
            <v>22.6</v>
          </cell>
          <cell r="BT32">
            <v>27</v>
          </cell>
          <cell r="CD32">
            <v>38.1</v>
          </cell>
          <cell r="CE32">
            <v>33.4</v>
          </cell>
          <cell r="CS32">
            <v>63.5</v>
          </cell>
          <cell r="CT32">
            <v>67</v>
          </cell>
          <cell r="DD32">
            <v>64.5</v>
          </cell>
          <cell r="DE32">
            <v>74.900000000000006</v>
          </cell>
          <cell r="DO32">
            <v>84.3</v>
          </cell>
          <cell r="DP32">
            <v>84.3</v>
          </cell>
          <cell r="EG32"/>
          <cell r="EH32"/>
          <cell r="EV32">
            <v>55.3</v>
          </cell>
          <cell r="EW32">
            <v>55.4</v>
          </cell>
          <cell r="FG32">
            <v>22.3</v>
          </cell>
          <cell r="FH32">
            <v>23</v>
          </cell>
          <cell r="FR32">
            <v>15.2</v>
          </cell>
          <cell r="FS32">
            <v>15.4</v>
          </cell>
          <cell r="GC32">
            <v>75.400000000000006</v>
          </cell>
          <cell r="GD32">
            <v>82.3</v>
          </cell>
          <cell r="GN32">
            <v>2.6</v>
          </cell>
          <cell r="GO32">
            <v>3.3</v>
          </cell>
          <cell r="GY32">
            <v>14</v>
          </cell>
          <cell r="GZ32">
            <v>13.5</v>
          </cell>
          <cell r="HJ32">
            <v>9.1</v>
          </cell>
          <cell r="HK32">
            <v>12</v>
          </cell>
          <cell r="HU32">
            <v>14.5</v>
          </cell>
          <cell r="HV32">
            <v>17.3</v>
          </cell>
          <cell r="IF32">
            <v>2.7</v>
          </cell>
          <cell r="IG32">
            <v>2.7</v>
          </cell>
          <cell r="JB32">
            <v>2.8</v>
          </cell>
          <cell r="JC32">
            <v>4.0999999999999996</v>
          </cell>
          <cell r="JI32">
            <v>10.9</v>
          </cell>
          <cell r="JJ32">
            <v>8.3000000000000007</v>
          </cell>
          <cell r="JT32">
            <v>6.7</v>
          </cell>
          <cell r="JU32">
            <v>10.6</v>
          </cell>
          <cell r="KE32">
            <v>22.2</v>
          </cell>
          <cell r="KF32">
            <v>25.3</v>
          </cell>
          <cell r="KP32">
            <v>6.4</v>
          </cell>
          <cell r="KQ32">
            <v>11.5</v>
          </cell>
          <cell r="LE32">
            <v>9.9</v>
          </cell>
          <cell r="LF32">
            <v>11.5</v>
          </cell>
          <cell r="LL32">
            <v>4.9000000000000004</v>
          </cell>
          <cell r="LM32">
            <v>4.7</v>
          </cell>
          <cell r="LW32"/>
          <cell r="LX32"/>
          <cell r="ML32">
            <v>7.2</v>
          </cell>
          <cell r="MM32">
            <v>5.0999999999999996</v>
          </cell>
          <cell r="MW32">
            <v>12.4</v>
          </cell>
          <cell r="MX32">
            <v>13.2</v>
          </cell>
          <cell r="NH32">
            <v>12.2</v>
          </cell>
          <cell r="NI32">
            <v>14.6</v>
          </cell>
          <cell r="NS32">
            <v>29.9</v>
          </cell>
          <cell r="NT32">
            <v>25.4</v>
          </cell>
          <cell r="OD32">
            <v>65.900000000000006</v>
          </cell>
          <cell r="OE32">
            <v>66.5</v>
          </cell>
          <cell r="OV32">
            <v>0.5</v>
          </cell>
          <cell r="OW32">
            <v>1.5</v>
          </cell>
        </row>
        <row r="33">
          <cell r="F33">
            <v>27.9</v>
          </cell>
          <cell r="G33">
            <v>27.8</v>
          </cell>
          <cell r="P33">
            <v>3516</v>
          </cell>
          <cell r="Q33">
            <v>3516.1</v>
          </cell>
          <cell r="AE33">
            <v>75</v>
          </cell>
          <cell r="AF33">
            <v>67.099999999999994</v>
          </cell>
          <cell r="BS33">
            <v>670.40000000000009</v>
          </cell>
          <cell r="BT33">
            <v>634.70000000000005</v>
          </cell>
          <cell r="CD33">
            <v>804.9</v>
          </cell>
          <cell r="CE33">
            <v>788.6</v>
          </cell>
          <cell r="CS33">
            <v>279.10000000000002</v>
          </cell>
          <cell r="CT33">
            <v>268.5</v>
          </cell>
          <cell r="DD33">
            <v>2384.9</v>
          </cell>
          <cell r="DE33">
            <v>2350.1999999999998</v>
          </cell>
          <cell r="DO33">
            <v>905</v>
          </cell>
          <cell r="DP33">
            <v>861.3</v>
          </cell>
          <cell r="EG33">
            <v>58.7</v>
          </cell>
          <cell r="EH33">
            <v>62.8</v>
          </cell>
          <cell r="EV33">
            <v>440.6</v>
          </cell>
          <cell r="EW33">
            <v>375.8</v>
          </cell>
          <cell r="FG33">
            <v>359.9</v>
          </cell>
          <cell r="FH33">
            <v>380.2</v>
          </cell>
          <cell r="FR33">
            <v>277.2</v>
          </cell>
          <cell r="FS33">
            <v>297.8</v>
          </cell>
          <cell r="GC33">
            <v>718.2</v>
          </cell>
          <cell r="GD33">
            <v>719</v>
          </cell>
          <cell r="GN33">
            <v>21.7</v>
          </cell>
          <cell r="GO33">
            <v>23.2</v>
          </cell>
          <cell r="GY33">
            <v>670.9</v>
          </cell>
          <cell r="GZ33">
            <v>649.29999999999995</v>
          </cell>
          <cell r="HJ33">
            <v>461.6</v>
          </cell>
          <cell r="HK33">
            <v>436.7</v>
          </cell>
          <cell r="HU33">
            <v>503</v>
          </cell>
          <cell r="HV33">
            <v>479.6</v>
          </cell>
          <cell r="IF33">
            <v>26.8</v>
          </cell>
          <cell r="IG33">
            <v>20.8</v>
          </cell>
          <cell r="JB33">
            <v>80.3</v>
          </cell>
          <cell r="JC33">
            <v>76.7</v>
          </cell>
          <cell r="JI33">
            <v>906.9</v>
          </cell>
          <cell r="JJ33">
            <v>873.1</v>
          </cell>
          <cell r="JT33">
            <v>356.3</v>
          </cell>
          <cell r="JU33">
            <v>396.1</v>
          </cell>
          <cell r="KE33">
            <v>670.9</v>
          </cell>
          <cell r="KF33">
            <v>658.1</v>
          </cell>
          <cell r="KP33">
            <v>183.1</v>
          </cell>
          <cell r="KQ33">
            <v>201.4</v>
          </cell>
          <cell r="LE33">
            <v>164.8</v>
          </cell>
          <cell r="LF33">
            <v>176.9</v>
          </cell>
          <cell r="LL33">
            <v>79.099999999999994</v>
          </cell>
          <cell r="LM33">
            <v>73</v>
          </cell>
          <cell r="LW33">
            <v>82.9</v>
          </cell>
          <cell r="LX33">
            <v>73.7</v>
          </cell>
          <cell r="ML33">
            <v>94.5</v>
          </cell>
          <cell r="MM33">
            <v>92.9</v>
          </cell>
          <cell r="MW33">
            <v>210.1</v>
          </cell>
          <cell r="MX33">
            <v>211.7</v>
          </cell>
          <cell r="NH33">
            <v>129.30000000000001</v>
          </cell>
          <cell r="NI33">
            <v>136.30000000000001</v>
          </cell>
          <cell r="NS33">
            <v>171.3</v>
          </cell>
          <cell r="NT33">
            <v>143.80000000000001</v>
          </cell>
          <cell r="OD33">
            <v>169.8</v>
          </cell>
          <cell r="OE33">
            <v>159.80000000000001</v>
          </cell>
          <cell r="OV33">
            <v>0.5</v>
          </cell>
          <cell r="OW33">
            <v>1.2</v>
          </cell>
        </row>
        <row r="34">
          <cell r="F34">
            <v>22.3</v>
          </cell>
          <cell r="G34">
            <v>22.1</v>
          </cell>
          <cell r="P34">
            <v>816.4</v>
          </cell>
          <cell r="Q34">
            <v>823.1</v>
          </cell>
          <cell r="AE34">
            <v>57.2</v>
          </cell>
          <cell r="AF34">
            <v>66.7</v>
          </cell>
          <cell r="BS34">
            <v>25.8</v>
          </cell>
          <cell r="BT34">
            <v>35.1</v>
          </cell>
          <cell r="CD34">
            <v>43.2</v>
          </cell>
          <cell r="CE34">
            <v>44.1</v>
          </cell>
          <cell r="CS34">
            <v>343.4</v>
          </cell>
          <cell r="CT34">
            <v>337</v>
          </cell>
          <cell r="DD34">
            <v>259.2</v>
          </cell>
          <cell r="DE34">
            <v>272.7</v>
          </cell>
          <cell r="DO34">
            <v>240</v>
          </cell>
          <cell r="DP34">
            <v>235.5</v>
          </cell>
          <cell r="EG34">
            <v>12.3</v>
          </cell>
          <cell r="EH34">
            <v>8.6999999999999993</v>
          </cell>
          <cell r="EV34">
            <v>149.9</v>
          </cell>
          <cell r="EW34">
            <v>149.19999999999999</v>
          </cell>
          <cell r="FG34">
            <v>84</v>
          </cell>
          <cell r="FH34">
            <v>80.599999999999994</v>
          </cell>
          <cell r="FR34">
            <v>68.400000000000006</v>
          </cell>
          <cell r="FS34">
            <v>74.8</v>
          </cell>
          <cell r="GC34">
            <v>179.4</v>
          </cell>
          <cell r="GD34">
            <v>181.7</v>
          </cell>
          <cell r="GN34">
            <v>22.3</v>
          </cell>
          <cell r="GO34">
            <v>19.600000000000001</v>
          </cell>
          <cell r="GY34">
            <v>89.6</v>
          </cell>
          <cell r="GZ34">
            <v>100.2</v>
          </cell>
          <cell r="HJ34">
            <v>72.599999999999994</v>
          </cell>
          <cell r="HK34">
            <v>74.2</v>
          </cell>
          <cell r="HU34">
            <v>151</v>
          </cell>
          <cell r="HV34">
            <v>144.19999999999999</v>
          </cell>
          <cell r="IF34">
            <v>11.7</v>
          </cell>
          <cell r="IG34">
            <v>7.9</v>
          </cell>
          <cell r="JB34">
            <v>25.8</v>
          </cell>
          <cell r="JC34">
            <v>32.4</v>
          </cell>
          <cell r="JI34">
            <v>132.80000000000001</v>
          </cell>
          <cell r="JJ34">
            <v>136.1</v>
          </cell>
          <cell r="JT34">
            <v>65</v>
          </cell>
          <cell r="JU34">
            <v>58.4</v>
          </cell>
          <cell r="KE34">
            <v>108.1</v>
          </cell>
          <cell r="KF34">
            <v>114.9</v>
          </cell>
          <cell r="KP34">
            <v>33.4</v>
          </cell>
          <cell r="KQ34">
            <v>33</v>
          </cell>
          <cell r="LE34">
            <v>78.599999999999994</v>
          </cell>
          <cell r="LF34">
            <v>83.6</v>
          </cell>
          <cell r="LL34">
            <v>20.2</v>
          </cell>
          <cell r="LM34">
            <v>18.899999999999999</v>
          </cell>
          <cell r="LW34">
            <v>10.199999999999999</v>
          </cell>
          <cell r="LX34"/>
          <cell r="ML34">
            <v>37.4</v>
          </cell>
          <cell r="MM34">
            <v>34.700000000000003</v>
          </cell>
          <cell r="MW34">
            <v>48.9</v>
          </cell>
          <cell r="MX34">
            <v>41.8</v>
          </cell>
          <cell r="NH34">
            <v>43.5</v>
          </cell>
          <cell r="NI34">
            <v>40.299999999999997</v>
          </cell>
          <cell r="NS34">
            <v>82.4</v>
          </cell>
          <cell r="NT34">
            <v>72.099999999999994</v>
          </cell>
          <cell r="OD34">
            <v>80.900000000000006</v>
          </cell>
          <cell r="OE34">
            <v>76.8</v>
          </cell>
          <cell r="OV34">
            <v>0.3</v>
          </cell>
          <cell r="OW34">
            <v>0.1</v>
          </cell>
        </row>
        <row r="35">
          <cell r="F35">
            <v>1.3</v>
          </cell>
          <cell r="G35">
            <v>1.2</v>
          </cell>
          <cell r="P35">
            <v>101.8</v>
          </cell>
          <cell r="Q35">
            <v>77.900000000000006</v>
          </cell>
          <cell r="AE35"/>
          <cell r="AF35"/>
          <cell r="BS35"/>
          <cell r="BT35"/>
          <cell r="CD35"/>
          <cell r="CE35"/>
          <cell r="CS35">
            <v>28</v>
          </cell>
          <cell r="CT35">
            <v>23.5</v>
          </cell>
          <cell r="DD35">
            <v>52.1</v>
          </cell>
          <cell r="DE35">
            <v>57.8</v>
          </cell>
          <cell r="DO35">
            <v>7.2</v>
          </cell>
          <cell r="DP35">
            <v>6.7</v>
          </cell>
          <cell r="EG35"/>
          <cell r="EH35"/>
          <cell r="EV35"/>
          <cell r="EW35"/>
          <cell r="FG35"/>
          <cell r="FH35"/>
          <cell r="FR35"/>
          <cell r="FS35"/>
          <cell r="GC35">
            <v>13.5</v>
          </cell>
          <cell r="GD35">
            <v>9.9</v>
          </cell>
          <cell r="GN35">
            <v>14.8</v>
          </cell>
          <cell r="GO35">
            <v>15.3</v>
          </cell>
          <cell r="GY35">
            <v>21.7</v>
          </cell>
          <cell r="GZ35">
            <v>21.7</v>
          </cell>
          <cell r="HJ35">
            <v>6.9</v>
          </cell>
          <cell r="HK35"/>
          <cell r="HU35">
            <v>23.4</v>
          </cell>
          <cell r="HV35">
            <v>27.2</v>
          </cell>
          <cell r="IF35"/>
          <cell r="IG35"/>
          <cell r="JB35">
            <v>15.3</v>
          </cell>
          <cell r="JC35">
            <v>19.399999999999999</v>
          </cell>
          <cell r="JI35">
            <v>16.399999999999999</v>
          </cell>
          <cell r="JJ35">
            <v>7.9</v>
          </cell>
          <cell r="JT35">
            <v>24.7</v>
          </cell>
          <cell r="JU35">
            <v>19.3</v>
          </cell>
          <cell r="KE35"/>
          <cell r="KF35"/>
          <cell r="KP35"/>
          <cell r="KQ35"/>
          <cell r="LE35"/>
          <cell r="LF35"/>
          <cell r="LL35"/>
          <cell r="LM35"/>
          <cell r="LW35"/>
          <cell r="LX35"/>
          <cell r="ML35"/>
          <cell r="MM35"/>
          <cell r="MW35"/>
          <cell r="MX35"/>
          <cell r="NH35"/>
          <cell r="NI35"/>
          <cell r="NS35"/>
          <cell r="NT35"/>
          <cell r="OD35"/>
          <cell r="OE35"/>
          <cell r="OV35">
            <v>0</v>
          </cell>
          <cell r="OW35">
            <v>1.9</v>
          </cell>
        </row>
        <row r="36">
          <cell r="F36">
            <v>11</v>
          </cell>
          <cell r="G36">
            <v>10.1</v>
          </cell>
          <cell r="P36">
            <v>222</v>
          </cell>
          <cell r="Q36">
            <v>225.9</v>
          </cell>
          <cell r="AE36">
            <v>16.600000000000001</v>
          </cell>
          <cell r="AF36">
            <v>19.5</v>
          </cell>
          <cell r="BS36">
            <v>12.899999999999999</v>
          </cell>
          <cell r="BT36">
            <v>15.3</v>
          </cell>
          <cell r="CD36">
            <v>7.5</v>
          </cell>
          <cell r="CE36">
            <v>6.1999999999999993</v>
          </cell>
          <cell r="CS36">
            <v>43.9</v>
          </cell>
          <cell r="CT36">
            <v>48.7</v>
          </cell>
          <cell r="DD36">
            <v>139.4</v>
          </cell>
          <cell r="DE36">
            <v>137.4</v>
          </cell>
          <cell r="DO36">
            <v>25.7</v>
          </cell>
          <cell r="DP36">
            <v>24.9</v>
          </cell>
          <cell r="EG36"/>
          <cell r="EH36"/>
          <cell r="EV36">
            <v>7</v>
          </cell>
          <cell r="EW36">
            <v>6.3</v>
          </cell>
          <cell r="FG36">
            <v>12.4</v>
          </cell>
          <cell r="FH36">
            <v>13.1</v>
          </cell>
          <cell r="FR36">
            <v>13.9</v>
          </cell>
          <cell r="FS36">
            <v>13.7</v>
          </cell>
          <cell r="GC36">
            <v>40.200000000000003</v>
          </cell>
          <cell r="GD36">
            <v>36.9</v>
          </cell>
          <cell r="GN36"/>
          <cell r="GO36"/>
          <cell r="GY36">
            <v>17.100000000000001</v>
          </cell>
          <cell r="GZ36">
            <v>20.399999999999999</v>
          </cell>
          <cell r="HJ36">
            <v>24</v>
          </cell>
          <cell r="HK36">
            <v>21.4</v>
          </cell>
          <cell r="HU36">
            <v>90.1</v>
          </cell>
          <cell r="HV36">
            <v>95</v>
          </cell>
          <cell r="IF36"/>
          <cell r="IG36"/>
          <cell r="JB36">
            <v>6.9</v>
          </cell>
          <cell r="JC36">
            <v>5.5</v>
          </cell>
          <cell r="JI36">
            <v>44.3</v>
          </cell>
          <cell r="JJ36">
            <v>44.7</v>
          </cell>
          <cell r="JT36">
            <v>15.4</v>
          </cell>
          <cell r="JU36">
            <v>15</v>
          </cell>
          <cell r="KE36">
            <v>25.4</v>
          </cell>
          <cell r="KF36">
            <v>28.3</v>
          </cell>
          <cell r="KP36">
            <v>6.1</v>
          </cell>
          <cell r="KQ36">
            <v>6.2</v>
          </cell>
          <cell r="LE36">
            <v>16.5</v>
          </cell>
          <cell r="LF36">
            <v>17.8</v>
          </cell>
          <cell r="LL36"/>
          <cell r="LM36"/>
          <cell r="LW36"/>
          <cell r="LX36"/>
          <cell r="ML36"/>
          <cell r="MM36">
            <v>2.9</v>
          </cell>
          <cell r="MW36">
            <v>15.7</v>
          </cell>
          <cell r="MX36">
            <v>16.5</v>
          </cell>
          <cell r="NH36">
            <v>56.5</v>
          </cell>
          <cell r="NI36">
            <v>56.4</v>
          </cell>
          <cell r="NS36">
            <v>10.7</v>
          </cell>
          <cell r="NT36">
            <v>7.6</v>
          </cell>
          <cell r="OD36">
            <v>7.3</v>
          </cell>
          <cell r="OE36">
            <v>8.1999999999999993</v>
          </cell>
          <cell r="OV36"/>
          <cell r="OW36"/>
        </row>
        <row r="37">
          <cell r="F37">
            <v>19.600000000000001</v>
          </cell>
          <cell r="G37">
            <v>17.600000000000001</v>
          </cell>
          <cell r="P37">
            <v>135</v>
          </cell>
          <cell r="Q37">
            <v>153.1</v>
          </cell>
          <cell r="AE37">
            <v>1.6</v>
          </cell>
          <cell r="AF37">
            <v>5.9</v>
          </cell>
          <cell r="BS37">
            <v>14.7</v>
          </cell>
          <cell r="BT37">
            <v>17.399999999999999</v>
          </cell>
          <cell r="CD37">
            <v>11.600000000000001</v>
          </cell>
          <cell r="CE37">
            <v>12.5</v>
          </cell>
          <cell r="CS37">
            <v>11.1</v>
          </cell>
          <cell r="CT37">
            <v>13.5</v>
          </cell>
          <cell r="DD37">
            <v>80.099999999999994</v>
          </cell>
          <cell r="DE37">
            <v>83.5</v>
          </cell>
          <cell r="DO37">
            <v>44.1</v>
          </cell>
          <cell r="DP37">
            <v>38.299999999999997</v>
          </cell>
          <cell r="EG37">
            <v>2.6</v>
          </cell>
          <cell r="EH37">
            <v>2.4</v>
          </cell>
          <cell r="EV37">
            <v>24</v>
          </cell>
          <cell r="EW37">
            <v>20.5</v>
          </cell>
          <cell r="FG37">
            <v>12.4</v>
          </cell>
          <cell r="FH37">
            <v>13.5</v>
          </cell>
          <cell r="FR37">
            <v>11</v>
          </cell>
          <cell r="FS37">
            <v>13</v>
          </cell>
          <cell r="GC37">
            <v>33.5</v>
          </cell>
          <cell r="GD37">
            <v>34.1</v>
          </cell>
          <cell r="GN37">
            <v>2.1</v>
          </cell>
          <cell r="GO37">
            <v>1.2</v>
          </cell>
          <cell r="GY37">
            <v>18.3</v>
          </cell>
          <cell r="GZ37">
            <v>18.5</v>
          </cell>
          <cell r="HJ37">
            <v>16.2</v>
          </cell>
          <cell r="HK37">
            <v>15.4</v>
          </cell>
          <cell r="HU37">
            <v>9</v>
          </cell>
          <cell r="HV37">
            <v>12.6</v>
          </cell>
          <cell r="IF37">
            <v>2.6</v>
          </cell>
          <cell r="IG37">
            <v>1.4</v>
          </cell>
          <cell r="JB37">
            <v>1.5</v>
          </cell>
          <cell r="JC37"/>
          <cell r="JI37">
            <v>26.7</v>
          </cell>
          <cell r="JJ37">
            <v>34.200000000000003</v>
          </cell>
          <cell r="JT37">
            <v>9.9</v>
          </cell>
          <cell r="JU37">
            <v>12.7</v>
          </cell>
          <cell r="KE37">
            <v>15.9</v>
          </cell>
          <cell r="KF37">
            <v>18.600000000000001</v>
          </cell>
          <cell r="KP37">
            <v>4</v>
          </cell>
          <cell r="KQ37">
            <v>5.8</v>
          </cell>
          <cell r="LE37">
            <v>14.8</v>
          </cell>
          <cell r="LF37">
            <v>17.2</v>
          </cell>
          <cell r="LL37">
            <v>6.6</v>
          </cell>
          <cell r="LM37">
            <v>4.3</v>
          </cell>
          <cell r="LW37">
            <v>2.8</v>
          </cell>
          <cell r="LX37">
            <v>1.7</v>
          </cell>
          <cell r="ML37">
            <v>5.3</v>
          </cell>
          <cell r="MM37">
            <v>4.7</v>
          </cell>
          <cell r="MW37">
            <v>5.6</v>
          </cell>
          <cell r="MX37">
            <v>6.9</v>
          </cell>
          <cell r="NH37">
            <v>9</v>
          </cell>
          <cell r="NI37">
            <v>6.1</v>
          </cell>
          <cell r="NS37">
            <v>11.5</v>
          </cell>
          <cell r="NT37">
            <v>9.6</v>
          </cell>
          <cell r="OD37">
            <v>8.6999999999999993</v>
          </cell>
          <cell r="OE37">
            <v>9.1</v>
          </cell>
          <cell r="OV37">
            <v>0.6</v>
          </cell>
          <cell r="OW37">
            <v>0.2</v>
          </cell>
        </row>
        <row r="38">
          <cell r="F38">
            <v>26.2</v>
          </cell>
          <cell r="G38">
            <v>25.7</v>
          </cell>
          <cell r="P38">
            <v>3696.8</v>
          </cell>
          <cell r="Q38">
            <v>3901.2</v>
          </cell>
          <cell r="AE38">
            <v>193.6</v>
          </cell>
          <cell r="AF38">
            <v>184.7</v>
          </cell>
          <cell r="BS38">
            <v>45.4</v>
          </cell>
          <cell r="BT38">
            <v>51.1</v>
          </cell>
          <cell r="CD38">
            <v>155.80000000000001</v>
          </cell>
          <cell r="CE38">
            <v>156.19999999999999</v>
          </cell>
          <cell r="CS38">
            <v>1549.9</v>
          </cell>
          <cell r="CT38">
            <v>1669.8</v>
          </cell>
          <cell r="DD38">
            <v>932.7</v>
          </cell>
          <cell r="DE38">
            <v>1025.5999999999999</v>
          </cell>
          <cell r="DO38">
            <v>1416.5</v>
          </cell>
          <cell r="DP38">
            <v>1450</v>
          </cell>
          <cell r="EG38">
            <v>21.4</v>
          </cell>
          <cell r="EH38">
            <v>24.8</v>
          </cell>
          <cell r="EV38">
            <v>634.79999999999995</v>
          </cell>
          <cell r="EW38">
            <v>582.79999999999995</v>
          </cell>
          <cell r="FG38">
            <v>312.3</v>
          </cell>
          <cell r="FH38">
            <v>305.10000000000002</v>
          </cell>
          <cell r="FR38">
            <v>301.60000000000002</v>
          </cell>
          <cell r="FS38">
            <v>324.3</v>
          </cell>
          <cell r="GC38">
            <v>889.5</v>
          </cell>
          <cell r="GD38">
            <v>1051.7</v>
          </cell>
          <cell r="GN38">
            <v>44.4</v>
          </cell>
          <cell r="GO38">
            <v>49.9</v>
          </cell>
          <cell r="GY38">
            <v>496.5</v>
          </cell>
          <cell r="GZ38">
            <v>524.9</v>
          </cell>
          <cell r="HJ38">
            <v>275.89999999999998</v>
          </cell>
          <cell r="HK38">
            <v>306</v>
          </cell>
          <cell r="HU38">
            <v>912.8</v>
          </cell>
          <cell r="HV38">
            <v>968.7</v>
          </cell>
          <cell r="IF38">
            <v>7.7</v>
          </cell>
          <cell r="IG38">
            <v>9.1</v>
          </cell>
          <cell r="JB38">
            <v>294</v>
          </cell>
          <cell r="JC38">
            <v>269.8</v>
          </cell>
          <cell r="JI38">
            <v>405.8</v>
          </cell>
          <cell r="JJ38">
            <v>409.5</v>
          </cell>
          <cell r="JT38">
            <v>313.89999999999998</v>
          </cell>
          <cell r="JU38">
            <v>314.60000000000002</v>
          </cell>
          <cell r="KE38">
            <v>430.8</v>
          </cell>
          <cell r="KF38">
            <v>504.2</v>
          </cell>
          <cell r="KP38">
            <v>140.69999999999999</v>
          </cell>
          <cell r="KQ38">
            <v>143.6</v>
          </cell>
          <cell r="LE38">
            <v>499.8</v>
          </cell>
          <cell r="LF38">
            <v>583</v>
          </cell>
          <cell r="LL38">
            <v>77.3</v>
          </cell>
          <cell r="LM38">
            <v>77.599999999999994</v>
          </cell>
          <cell r="LW38">
            <v>35.799999999999997</v>
          </cell>
          <cell r="LX38">
            <v>38.5</v>
          </cell>
          <cell r="ML38">
            <v>124.6</v>
          </cell>
          <cell r="MM38">
            <v>128.30000000000001</v>
          </cell>
          <cell r="MW38">
            <v>209.8</v>
          </cell>
          <cell r="MX38">
            <v>234.8</v>
          </cell>
          <cell r="NH38">
            <v>199.1</v>
          </cell>
          <cell r="NI38">
            <v>220.8</v>
          </cell>
          <cell r="NS38">
            <v>329.7</v>
          </cell>
          <cell r="NT38">
            <v>235.8</v>
          </cell>
          <cell r="OD38">
            <v>392</v>
          </cell>
          <cell r="OE38">
            <v>458.5</v>
          </cell>
          <cell r="OV38">
            <v>0.8</v>
          </cell>
          <cell r="OW38">
            <v>0.9</v>
          </cell>
        </row>
        <row r="39">
          <cell r="F39">
            <v>18</v>
          </cell>
          <cell r="G39">
            <v>16.100000000000001</v>
          </cell>
          <cell r="P39">
            <v>708.2</v>
          </cell>
          <cell r="Q39">
            <v>779.3</v>
          </cell>
          <cell r="AE39">
            <v>99.1</v>
          </cell>
          <cell r="AF39">
            <v>86.9</v>
          </cell>
          <cell r="BS39">
            <v>91.4</v>
          </cell>
          <cell r="BT39">
            <v>92.1</v>
          </cell>
          <cell r="CD39">
            <v>91.699999999999989</v>
          </cell>
          <cell r="CE39">
            <v>94.300000000000011</v>
          </cell>
          <cell r="CS39">
            <v>167.9</v>
          </cell>
          <cell r="CT39">
            <v>174.8</v>
          </cell>
          <cell r="DD39">
            <v>327.60000000000002</v>
          </cell>
          <cell r="DE39">
            <v>326.60000000000002</v>
          </cell>
          <cell r="DO39">
            <v>217.4</v>
          </cell>
          <cell r="DP39">
            <v>244.9</v>
          </cell>
          <cell r="EG39">
            <v>6.2</v>
          </cell>
          <cell r="EH39">
            <v>6.4</v>
          </cell>
          <cell r="EV39">
            <v>139.6</v>
          </cell>
          <cell r="EW39">
            <v>132.80000000000001</v>
          </cell>
          <cell r="FG39">
            <v>78.400000000000006</v>
          </cell>
          <cell r="FH39">
            <v>81.2</v>
          </cell>
          <cell r="FR39">
            <v>54.6</v>
          </cell>
          <cell r="FS39">
            <v>54.9</v>
          </cell>
          <cell r="GC39">
            <v>255.2</v>
          </cell>
          <cell r="GD39">
            <v>278.7</v>
          </cell>
          <cell r="GN39">
            <v>13.1</v>
          </cell>
          <cell r="GO39">
            <v>16.899999999999999</v>
          </cell>
          <cell r="GY39">
            <v>41.1</v>
          </cell>
          <cell r="GZ39">
            <v>40.5</v>
          </cell>
          <cell r="HJ39">
            <v>43</v>
          </cell>
          <cell r="HK39">
            <v>43.6</v>
          </cell>
          <cell r="HU39">
            <v>79.099999999999994</v>
          </cell>
          <cell r="HV39">
            <v>87.5</v>
          </cell>
          <cell r="IF39"/>
          <cell r="IG39"/>
          <cell r="JB39">
            <v>6.8</v>
          </cell>
          <cell r="JC39">
            <v>7.8</v>
          </cell>
          <cell r="JI39">
            <v>37.299999999999997</v>
          </cell>
          <cell r="JJ39">
            <v>49.3</v>
          </cell>
          <cell r="JT39">
            <v>22.1</v>
          </cell>
          <cell r="JU39">
            <v>27.3</v>
          </cell>
          <cell r="KE39">
            <v>81.099999999999994</v>
          </cell>
          <cell r="KF39">
            <v>91.7</v>
          </cell>
          <cell r="KP39">
            <v>32.1</v>
          </cell>
          <cell r="KQ39">
            <v>38.5</v>
          </cell>
          <cell r="LE39">
            <v>54.5</v>
          </cell>
          <cell r="LF39">
            <v>65.599999999999994</v>
          </cell>
          <cell r="LL39">
            <v>15.1</v>
          </cell>
          <cell r="LM39">
            <v>15.9</v>
          </cell>
          <cell r="LW39">
            <v>8.1</v>
          </cell>
          <cell r="LX39">
            <v>8.9</v>
          </cell>
          <cell r="ML39">
            <v>32.6</v>
          </cell>
          <cell r="MM39">
            <v>32.700000000000003</v>
          </cell>
          <cell r="MW39">
            <v>64.7</v>
          </cell>
          <cell r="MX39">
            <v>64.5</v>
          </cell>
          <cell r="NH39">
            <v>33.700000000000003</v>
          </cell>
          <cell r="NI39">
            <v>37.5</v>
          </cell>
          <cell r="NS39">
            <v>99.7</v>
          </cell>
          <cell r="NT39">
            <v>85.3</v>
          </cell>
          <cell r="OD39">
            <v>143.4</v>
          </cell>
          <cell r="OE39">
            <v>154.30000000000001</v>
          </cell>
          <cell r="OV39">
            <v>1.1000000000000001</v>
          </cell>
          <cell r="OW39">
            <v>1.3</v>
          </cell>
        </row>
        <row r="40">
          <cell r="F40">
            <v>13.7</v>
          </cell>
          <cell r="G40">
            <v>13.8</v>
          </cell>
          <cell r="P40">
            <v>513.70000000000005</v>
          </cell>
          <cell r="Q40">
            <v>514.29999999999995</v>
          </cell>
          <cell r="AE40">
            <v>10.5</v>
          </cell>
          <cell r="AF40">
            <v>17.100000000000001</v>
          </cell>
          <cell r="BS40">
            <v>45.9</v>
          </cell>
          <cell r="BT40">
            <v>47.1</v>
          </cell>
          <cell r="CD40">
            <v>237</v>
          </cell>
          <cell r="CE40">
            <v>230.10000000000002</v>
          </cell>
          <cell r="CS40">
            <v>205.7</v>
          </cell>
          <cell r="CT40">
            <v>182.9</v>
          </cell>
          <cell r="DD40">
            <v>154.1</v>
          </cell>
          <cell r="DE40">
            <v>160.30000000000001</v>
          </cell>
          <cell r="DO40">
            <v>148.30000000000001</v>
          </cell>
          <cell r="DP40">
            <v>146.1</v>
          </cell>
          <cell r="EG40">
            <v>12.3</v>
          </cell>
          <cell r="EH40">
            <v>14.7</v>
          </cell>
          <cell r="EV40">
            <v>157.1</v>
          </cell>
          <cell r="EW40">
            <v>146.5</v>
          </cell>
          <cell r="FG40">
            <v>83.8</v>
          </cell>
          <cell r="FH40">
            <v>73.099999999999994</v>
          </cell>
          <cell r="FR40">
            <v>38.1</v>
          </cell>
          <cell r="FS40">
            <v>40.799999999999997</v>
          </cell>
          <cell r="GC40">
            <v>95.7</v>
          </cell>
          <cell r="GD40">
            <v>96</v>
          </cell>
          <cell r="GN40">
            <v>12.6</v>
          </cell>
          <cell r="GO40">
            <v>12</v>
          </cell>
          <cell r="GY40">
            <v>86.2</v>
          </cell>
          <cell r="GZ40">
            <v>87.7</v>
          </cell>
          <cell r="HJ40">
            <v>7.8</v>
          </cell>
          <cell r="HK40">
            <v>6.2</v>
          </cell>
          <cell r="HU40">
            <v>13.8</v>
          </cell>
          <cell r="HV40">
            <v>14.2</v>
          </cell>
          <cell r="IF40"/>
          <cell r="IG40"/>
          <cell r="JB40">
            <v>16.399999999999999</v>
          </cell>
          <cell r="JC40">
            <v>10.4</v>
          </cell>
          <cell r="JI40">
            <v>48.8</v>
          </cell>
          <cell r="JJ40">
            <v>45.2</v>
          </cell>
          <cell r="JT40">
            <v>35.299999999999997</v>
          </cell>
          <cell r="JU40">
            <v>41.7</v>
          </cell>
          <cell r="KE40">
            <v>57.2</v>
          </cell>
          <cell r="KF40">
            <v>57.7</v>
          </cell>
          <cell r="KP40">
            <v>17.7</v>
          </cell>
          <cell r="KQ40">
            <v>15</v>
          </cell>
          <cell r="LE40">
            <v>17.3</v>
          </cell>
          <cell r="LF40">
            <v>21.8</v>
          </cell>
          <cell r="LL40">
            <v>10.5</v>
          </cell>
          <cell r="LM40">
            <v>11.1</v>
          </cell>
          <cell r="LW40">
            <v>18.3</v>
          </cell>
          <cell r="LX40">
            <v>13.8</v>
          </cell>
          <cell r="ML40">
            <v>34.700000000000003</v>
          </cell>
          <cell r="MM40">
            <v>30.9</v>
          </cell>
          <cell r="MW40">
            <v>15.3</v>
          </cell>
          <cell r="MX40">
            <v>18.3</v>
          </cell>
          <cell r="NH40">
            <v>27.6</v>
          </cell>
          <cell r="NI40">
            <v>26.4</v>
          </cell>
          <cell r="NS40">
            <v>84.1</v>
          </cell>
          <cell r="NT40">
            <v>70.8</v>
          </cell>
          <cell r="OD40">
            <v>75.400000000000006</v>
          </cell>
          <cell r="OE40">
            <v>73.599999999999994</v>
          </cell>
          <cell r="OV40">
            <v>0</v>
          </cell>
          <cell r="OW40">
            <v>0.3</v>
          </cell>
        </row>
        <row r="41">
          <cell r="F41">
            <v>14.3</v>
          </cell>
          <cell r="G41">
            <v>13.4</v>
          </cell>
          <cell r="P41">
            <v>2488.3000000000002</v>
          </cell>
          <cell r="Q41">
            <v>2555.3000000000002</v>
          </cell>
          <cell r="AE41">
            <v>598.1</v>
          </cell>
          <cell r="AF41">
            <v>618.6</v>
          </cell>
          <cell r="BS41">
            <v>33.9</v>
          </cell>
          <cell r="BT41">
            <v>29.200000000000003</v>
          </cell>
          <cell r="CD41">
            <v>66.099999999999994</v>
          </cell>
          <cell r="CE41">
            <v>70</v>
          </cell>
          <cell r="CS41">
            <v>2166.1</v>
          </cell>
          <cell r="CT41">
            <v>1899.8</v>
          </cell>
          <cell r="DD41">
            <v>412.2</v>
          </cell>
          <cell r="DE41">
            <v>424.7</v>
          </cell>
          <cell r="DO41">
            <v>189.1</v>
          </cell>
          <cell r="DP41">
            <v>149.5</v>
          </cell>
          <cell r="EG41">
            <v>42.2</v>
          </cell>
          <cell r="EH41">
            <v>42.6</v>
          </cell>
          <cell r="EV41">
            <v>122.7</v>
          </cell>
          <cell r="EW41">
            <v>62</v>
          </cell>
          <cell r="FG41">
            <v>62.4</v>
          </cell>
          <cell r="FH41">
            <v>50.1</v>
          </cell>
          <cell r="FR41">
            <v>139.4</v>
          </cell>
          <cell r="FS41">
            <v>78.599999999999994</v>
          </cell>
          <cell r="GC41">
            <v>363.9</v>
          </cell>
          <cell r="GD41">
            <v>361.6</v>
          </cell>
          <cell r="GN41">
            <v>83.8</v>
          </cell>
          <cell r="GO41">
            <v>89</v>
          </cell>
          <cell r="GY41">
            <v>728.1</v>
          </cell>
          <cell r="GZ41">
            <v>652.5</v>
          </cell>
          <cell r="HJ41">
            <v>167.2</v>
          </cell>
          <cell r="HK41">
            <v>150.69999999999999</v>
          </cell>
          <cell r="HU41">
            <v>1059.5999999999999</v>
          </cell>
          <cell r="HV41">
            <v>982.5</v>
          </cell>
          <cell r="IF41"/>
          <cell r="IG41"/>
          <cell r="JB41">
            <v>470.7</v>
          </cell>
          <cell r="JC41">
            <v>525.20000000000005</v>
          </cell>
          <cell r="JI41">
            <v>238.4</v>
          </cell>
          <cell r="JJ41">
            <v>197.4</v>
          </cell>
          <cell r="JT41">
            <v>837.2</v>
          </cell>
          <cell r="JU41">
            <v>880.5</v>
          </cell>
          <cell r="KE41">
            <v>120.8</v>
          </cell>
          <cell r="KF41">
            <v>154.69999999999999</v>
          </cell>
          <cell r="KP41">
            <v>76.7</v>
          </cell>
          <cell r="KQ41">
            <v>87.4</v>
          </cell>
          <cell r="LE41">
            <v>173.9</v>
          </cell>
          <cell r="LF41">
            <v>205.8</v>
          </cell>
          <cell r="LL41">
            <v>7.6</v>
          </cell>
          <cell r="LM41">
            <v>11.8</v>
          </cell>
          <cell r="LW41">
            <v>6</v>
          </cell>
          <cell r="LX41">
            <v>4.9000000000000004</v>
          </cell>
          <cell r="ML41">
            <v>46.5</v>
          </cell>
          <cell r="MM41">
            <v>25.6</v>
          </cell>
          <cell r="MW41">
            <v>98.8</v>
          </cell>
          <cell r="MX41">
            <v>81.7</v>
          </cell>
          <cell r="NH41">
            <v>120.1</v>
          </cell>
          <cell r="NI41">
            <v>91.1</v>
          </cell>
          <cell r="NS41">
            <v>236.4</v>
          </cell>
          <cell r="NT41">
            <v>55</v>
          </cell>
          <cell r="OD41">
            <v>76.400000000000006</v>
          </cell>
          <cell r="OE41">
            <v>42.5</v>
          </cell>
          <cell r="OV41"/>
          <cell r="OW41"/>
        </row>
      </sheetData>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trlProp" Target="../ctrlProps/ctrlProp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hyperlink" Target="http://ec.europa.eu/eurostat/statistics-explained/index.php/Glossary:European_Neighbourhood_Policy_(ENP)" TargetMode="External"/><Relationship Id="rId2" Type="http://schemas.openxmlformats.org/officeDocument/2006/relationships/hyperlink" Target="http://ec.europa.eu/eurostat/statistics-explained/index.php/Glossary:Country_codes" TargetMode="External"/><Relationship Id="rId1" Type="http://schemas.openxmlformats.org/officeDocument/2006/relationships/hyperlink" Target="http://ec.europa.eu/eurostat/statistics-explained/index.php/Glossary:Country_codes" TargetMode="External"/><Relationship Id="rId4"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appsso.eurostat.ec.europa.eu/nui/submitViewTableAction.do" TargetMode="External"/><Relationship Id="rId7" Type="http://schemas.openxmlformats.org/officeDocument/2006/relationships/hyperlink" Target="http://www.weceurope.org/uploads/media/AWBI_MA_17.pdf" TargetMode="External"/><Relationship Id="rId2" Type="http://schemas.openxmlformats.org/officeDocument/2006/relationships/hyperlink" Target="http://appsso.eurostat.ec.europa.eu/nui/submitViewTableAction.do" TargetMode="External"/><Relationship Id="rId1" Type="http://schemas.openxmlformats.org/officeDocument/2006/relationships/hyperlink" Target="http://appsso.eurostat.ec.europa.eu/nui/show.do?dataset=lfsq_egan&amp;lang=en%20;" TargetMode="External"/><Relationship Id="rId6" Type="http://schemas.openxmlformats.org/officeDocument/2006/relationships/hyperlink" Target="http://appsso.eurostat.ec.europa.eu/nui/show.do?dataset=namq_10_gdp&amp;lang=en" TargetMode="External"/><Relationship Id="rId5" Type="http://schemas.openxmlformats.org/officeDocument/2006/relationships/hyperlink" Target="http://www.weceurope.org/uploads/media/AWBI_MA_17.pdf" TargetMode="External"/><Relationship Id="rId4" Type="http://schemas.openxmlformats.org/officeDocument/2006/relationships/hyperlink" Target="http://appsso.eurostat.ec.europa.eu/nui/show.do?dataset=lfsi_long_q&amp;lang=en"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E18"/>
  <sheetViews>
    <sheetView zoomScale="80" zoomScaleNormal="80" workbookViewId="0">
      <selection activeCell="E6" sqref="E6"/>
    </sheetView>
  </sheetViews>
  <sheetFormatPr defaultColWidth="9.140625" defaultRowHeight="15"/>
  <cols>
    <col min="1" max="1" width="2.42578125" style="26" customWidth="1"/>
    <col min="2" max="2" width="49.85546875" style="26" customWidth="1"/>
    <col min="3" max="3" width="54.85546875" style="26" customWidth="1"/>
    <col min="4" max="4" width="49.85546875" style="26" customWidth="1"/>
    <col min="5" max="16384" width="9.140625" style="26"/>
  </cols>
  <sheetData>
    <row r="1" spans="2:5" ht="5.25" customHeight="1"/>
    <row r="2" spans="2:5" ht="107.25" customHeight="1">
      <c r="B2" s="361" t="s">
        <v>574</v>
      </c>
      <c r="C2" s="362"/>
      <c r="D2" s="181"/>
    </row>
    <row r="3" spans="2:5" ht="9" customHeight="1">
      <c r="B3" s="172"/>
      <c r="C3" s="172"/>
    </row>
    <row r="4" spans="2:5" ht="28.5" customHeight="1">
      <c r="B4" s="359" t="s">
        <v>565</v>
      </c>
      <c r="C4" s="359"/>
      <c r="D4" s="360"/>
      <c r="E4"/>
    </row>
    <row r="5" spans="2:5" s="169" customFormat="1" ht="19.5" customHeight="1">
      <c r="B5" s="164" t="s">
        <v>50</v>
      </c>
      <c r="C5" s="165" t="s">
        <v>168</v>
      </c>
      <c r="D5" s="165" t="s">
        <v>460</v>
      </c>
    </row>
    <row r="6" spans="2:5" s="169" customFormat="1" ht="19.5" customHeight="1">
      <c r="B6" s="166" t="s">
        <v>154</v>
      </c>
      <c r="C6" s="166" t="s">
        <v>161</v>
      </c>
      <c r="D6" s="166" t="s">
        <v>220</v>
      </c>
    </row>
    <row r="7" spans="2:5" s="169" customFormat="1" ht="19.5" customHeight="1">
      <c r="B7" s="166" t="s">
        <v>143</v>
      </c>
      <c r="C7" s="166" t="s">
        <v>146</v>
      </c>
      <c r="D7" s="166" t="s">
        <v>226</v>
      </c>
    </row>
    <row r="8" spans="2:5" s="169" customFormat="1" ht="19.5" customHeight="1">
      <c r="B8" s="166" t="s">
        <v>540</v>
      </c>
      <c r="C8" s="166" t="s">
        <v>147</v>
      </c>
      <c r="D8" s="167" t="s">
        <v>348</v>
      </c>
    </row>
    <row r="9" spans="2:5" s="169" customFormat="1" ht="19.5" customHeight="1">
      <c r="B9" s="166" t="s">
        <v>145</v>
      </c>
      <c r="C9" s="166" t="s">
        <v>148</v>
      </c>
      <c r="D9" s="47"/>
    </row>
    <row r="10" spans="2:5" s="169" customFormat="1" ht="19.5" customHeight="1">
      <c r="B10" s="166" t="s">
        <v>172</v>
      </c>
      <c r="C10" s="166" t="s">
        <v>149</v>
      </c>
      <c r="D10" s="47"/>
    </row>
    <row r="11" spans="2:5" s="169" customFormat="1" ht="19.5" customHeight="1">
      <c r="B11" s="166" t="s">
        <v>53</v>
      </c>
      <c r="C11" s="166" t="s">
        <v>150</v>
      </c>
      <c r="D11" s="168" t="s">
        <v>199</v>
      </c>
    </row>
    <row r="12" spans="2:5" s="169" customFormat="1" ht="9.75" customHeight="1">
      <c r="C12" s="170"/>
      <c r="D12" s="171"/>
    </row>
    <row r="13" spans="2:5" ht="18.75" customHeight="1">
      <c r="B13" s="27" t="s">
        <v>548</v>
      </c>
    </row>
    <row r="14" spans="2:5" ht="12.75" customHeight="1">
      <c r="B14" s="27" t="s">
        <v>538</v>
      </c>
    </row>
    <row r="15" spans="2:5" ht="21.75" customHeight="1">
      <c r="B15" s="358" t="s">
        <v>539</v>
      </c>
      <c r="C15" s="358"/>
      <c r="D15" s="358"/>
    </row>
    <row r="16" spans="2:5" ht="16.5" customHeight="1">
      <c r="B16" s="358" t="s">
        <v>151</v>
      </c>
      <c r="C16" s="358"/>
    </row>
    <row r="17" spans="2:2">
      <c r="B17" s="111"/>
    </row>
    <row r="18" spans="2:2">
      <c r="B18" s="111"/>
    </row>
  </sheetData>
  <mergeCells count="4">
    <mergeCell ref="B16:C16"/>
    <mergeCell ref="B4:D4"/>
    <mergeCell ref="B2:C2"/>
    <mergeCell ref="B15:D15"/>
  </mergeCells>
  <hyperlinks>
    <hyperlink ref="B6" location="'Total Employment'!A1" display="Total employment"/>
    <hyperlink ref="B7" location="'Total Employment'!A1" display="Y/Y Change in total employment"/>
    <hyperlink ref="B8" location="'Total Employment'!A1" display="Part time workers as percentage of total employment"/>
    <hyperlink ref="B9" location="'Total Employment'!A1" display="Employment rate"/>
    <hyperlink ref="B10" location="'Total Employment'!A1" display="Unemployment-to-employment transition"/>
    <hyperlink ref="B11" location="'Total Employment'!A1" display="Employees with temporary contracts"/>
    <hyperlink ref="C6" location="'Temporary Employment'!A1" display="Temporary employees"/>
    <hyperlink ref="C7" location="'Temporary Employment'!A1" display="Temporary employees as a percentage of total employees"/>
    <hyperlink ref="C8" location="'Temporary Employment'!A1" display="Temporary employees by length of contracts"/>
    <hyperlink ref="C9" location="'Temporary Employment'!A1" display="Temporary employees by education"/>
    <hyperlink ref="C10" location="'Temporary Employment'!A1" display="Temporary employees by occupation"/>
    <hyperlink ref="C11" location="'Temporary Employment'!A1" display="Temporary employees by economic activity"/>
    <hyperlink ref="D6" location="'Agency Work'!A1" display="Temporary agency work - hours worked"/>
    <hyperlink ref="D7" location="'Agency Work'!A1" display="Temporary agency work - sales revenues"/>
    <hyperlink ref="D8" location="'Agency Work Correlations'!A1" display="Temporary agency work vs. other economic factors"/>
    <hyperlink ref="D11" location="Notes!A1" display="Not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29AB9"/>
  </sheetPr>
  <dimension ref="A1:RQ85"/>
  <sheetViews>
    <sheetView zoomScale="70" zoomScaleNormal="70" workbookViewId="0">
      <selection activeCell="L83" sqref="L83"/>
    </sheetView>
  </sheetViews>
  <sheetFormatPr defaultColWidth="11.140625" defaultRowHeight="12.75"/>
  <cols>
    <col min="1" max="1" width="11.140625" style="269"/>
    <col min="2" max="2" width="18.140625" style="269" customWidth="1"/>
    <col min="3" max="34" width="11.140625" style="269"/>
    <col min="35" max="35" width="13.140625" style="269" customWidth="1"/>
    <col min="36" max="287" width="11.140625" style="269"/>
    <col min="288" max="288" width="12" style="269" customWidth="1"/>
    <col min="289" max="397" width="11.140625" style="269"/>
    <col min="398" max="398" width="21.85546875" style="271" customWidth="1"/>
    <col min="399" max="408" width="11.140625" style="271"/>
    <col min="409" max="409" width="21.85546875" style="269" customWidth="1"/>
    <col min="410" max="420" width="11.140625" style="269"/>
    <col min="421" max="485" width="11.140625" style="318"/>
    <col min="486" max="16384" width="11.140625" style="269"/>
  </cols>
  <sheetData>
    <row r="1" spans="1:484">
      <c r="B1" s="278" t="s">
        <v>0</v>
      </c>
      <c r="C1" s="278" t="s">
        <v>59</v>
      </c>
      <c r="K1" s="269" t="s">
        <v>60</v>
      </c>
      <c r="M1" s="278" t="s">
        <v>385</v>
      </c>
      <c r="X1" s="278" t="s">
        <v>326</v>
      </c>
      <c r="AI1" s="278" t="s">
        <v>61</v>
      </c>
      <c r="AT1" s="278" t="s">
        <v>62</v>
      </c>
      <c r="BE1" s="278" t="s">
        <v>63</v>
      </c>
      <c r="BP1" s="278" t="s">
        <v>109</v>
      </c>
      <c r="BZ1" s="271"/>
      <c r="CA1" s="278" t="s">
        <v>110</v>
      </c>
      <c r="CL1" s="278" t="s">
        <v>64</v>
      </c>
      <c r="CW1" s="278" t="s">
        <v>65</v>
      </c>
      <c r="DH1" s="278" t="s">
        <v>66</v>
      </c>
      <c r="DS1" s="278" t="s">
        <v>67</v>
      </c>
      <c r="EC1" s="277"/>
      <c r="ED1" s="278" t="s">
        <v>327</v>
      </c>
      <c r="EO1" s="278" t="s">
        <v>68</v>
      </c>
      <c r="EZ1" s="278" t="s">
        <v>69</v>
      </c>
      <c r="FK1" s="278" t="s">
        <v>70</v>
      </c>
      <c r="FV1" s="278" t="s">
        <v>71</v>
      </c>
      <c r="GG1" s="278" t="s">
        <v>72</v>
      </c>
      <c r="GR1" s="278" t="s">
        <v>73</v>
      </c>
      <c r="HC1" s="278" t="s">
        <v>74</v>
      </c>
      <c r="HN1" s="278" t="s">
        <v>75</v>
      </c>
      <c r="HY1" s="278" t="s">
        <v>76</v>
      </c>
      <c r="IJ1" s="278" t="s">
        <v>77</v>
      </c>
      <c r="IT1" s="277"/>
      <c r="IU1" s="278" t="s">
        <v>551</v>
      </c>
      <c r="JF1" s="278" t="s">
        <v>78</v>
      </c>
      <c r="JQ1" s="278" t="s">
        <v>79</v>
      </c>
      <c r="KB1" s="278" t="s">
        <v>80</v>
      </c>
      <c r="KM1" s="278" t="s">
        <v>81</v>
      </c>
      <c r="KX1" s="278" t="s">
        <v>82</v>
      </c>
      <c r="LI1" s="278" t="s">
        <v>83</v>
      </c>
      <c r="LT1" s="278" t="s">
        <v>84</v>
      </c>
      <c r="ME1" s="278" t="s">
        <v>85</v>
      </c>
      <c r="MP1" s="278" t="s">
        <v>86</v>
      </c>
      <c r="NA1" s="278" t="s">
        <v>87</v>
      </c>
      <c r="NL1" s="278" t="s">
        <v>88</v>
      </c>
      <c r="NW1" s="278" t="s">
        <v>89</v>
      </c>
      <c r="OH1" s="278" t="s">
        <v>414</v>
      </c>
      <c r="OS1" s="277" t="s">
        <v>340</v>
      </c>
      <c r="OT1" s="277"/>
      <c r="OU1" s="277"/>
      <c r="OV1" s="277"/>
      <c r="OW1" s="277"/>
      <c r="OX1" s="277" t="s">
        <v>415</v>
      </c>
      <c r="OY1" s="277"/>
      <c r="OZ1" s="277"/>
      <c r="PA1" s="277"/>
      <c r="PB1" s="277"/>
      <c r="PC1" s="277"/>
      <c r="PD1" s="277"/>
    </row>
    <row r="2" spans="1:484">
      <c r="A2" s="269">
        <v>1</v>
      </c>
      <c r="B2" s="269">
        <v>2</v>
      </c>
      <c r="C2" s="269">
        <v>3</v>
      </c>
      <c r="D2" s="269">
        <v>4</v>
      </c>
      <c r="E2" s="269">
        <v>5</v>
      </c>
      <c r="F2" s="269">
        <v>6</v>
      </c>
      <c r="G2" s="269">
        <v>7</v>
      </c>
      <c r="H2" s="269">
        <v>8</v>
      </c>
      <c r="I2" s="269">
        <v>9</v>
      </c>
      <c r="J2" s="269">
        <v>10</v>
      </c>
      <c r="K2" s="269">
        <v>11</v>
      </c>
      <c r="L2" s="269">
        <v>12</v>
      </c>
      <c r="M2" s="269">
        <v>13</v>
      </c>
      <c r="N2" s="269">
        <v>14</v>
      </c>
      <c r="O2" s="269">
        <v>15</v>
      </c>
      <c r="P2" s="269">
        <v>16</v>
      </c>
      <c r="Q2" s="269">
        <v>17</v>
      </c>
      <c r="R2" s="269">
        <v>18</v>
      </c>
      <c r="S2" s="269">
        <v>19</v>
      </c>
      <c r="T2" s="269">
        <v>20</v>
      </c>
      <c r="U2" s="269">
        <v>21</v>
      </c>
      <c r="V2" s="269">
        <v>22</v>
      </c>
      <c r="W2" s="269">
        <v>23</v>
      </c>
      <c r="X2" s="269">
        <v>24</v>
      </c>
      <c r="Y2" s="269">
        <v>25</v>
      </c>
      <c r="Z2" s="269">
        <v>26</v>
      </c>
      <c r="AA2" s="269">
        <v>27</v>
      </c>
      <c r="AB2" s="269">
        <v>28</v>
      </c>
      <c r="AC2" s="269">
        <v>29</v>
      </c>
      <c r="AD2" s="269">
        <v>30</v>
      </c>
      <c r="AE2" s="269">
        <v>31</v>
      </c>
      <c r="AF2" s="269">
        <v>32</v>
      </c>
      <c r="AG2" s="269">
        <v>33</v>
      </c>
      <c r="AH2" s="269">
        <v>34</v>
      </c>
      <c r="AI2" s="269">
        <v>35</v>
      </c>
      <c r="AJ2" s="269">
        <v>36</v>
      </c>
      <c r="AK2" s="269">
        <v>37</v>
      </c>
      <c r="AL2" s="269">
        <v>38</v>
      </c>
      <c r="AM2" s="269">
        <v>39</v>
      </c>
      <c r="AN2" s="269">
        <v>40</v>
      </c>
      <c r="AO2" s="269">
        <v>41</v>
      </c>
      <c r="AP2" s="269">
        <v>42</v>
      </c>
      <c r="AQ2" s="269">
        <v>43</v>
      </c>
      <c r="AR2" s="269">
        <v>44</v>
      </c>
      <c r="AS2" s="269">
        <v>45</v>
      </c>
      <c r="AT2" s="269">
        <v>46</v>
      </c>
      <c r="AU2" s="269">
        <v>47</v>
      </c>
      <c r="AV2" s="269">
        <v>48</v>
      </c>
      <c r="AW2" s="269">
        <v>49</v>
      </c>
      <c r="AX2" s="269">
        <v>50</v>
      </c>
      <c r="AY2" s="269">
        <v>51</v>
      </c>
      <c r="AZ2" s="269">
        <v>52</v>
      </c>
      <c r="BA2" s="269">
        <v>53</v>
      </c>
      <c r="BB2" s="269">
        <v>54</v>
      </c>
      <c r="BC2" s="269">
        <v>55</v>
      </c>
      <c r="BD2" s="269">
        <v>56</v>
      </c>
      <c r="BE2" s="269">
        <v>57</v>
      </c>
      <c r="BF2" s="269">
        <v>58</v>
      </c>
      <c r="BG2" s="269">
        <v>59</v>
      </c>
      <c r="BH2" s="269">
        <v>60</v>
      </c>
      <c r="BI2" s="269">
        <v>61</v>
      </c>
      <c r="BJ2" s="269">
        <v>62</v>
      </c>
      <c r="BK2" s="269">
        <v>63</v>
      </c>
      <c r="BL2" s="269">
        <v>64</v>
      </c>
      <c r="BM2" s="269">
        <v>65</v>
      </c>
      <c r="BN2" s="269">
        <v>66</v>
      </c>
      <c r="BO2" s="269">
        <v>67</v>
      </c>
      <c r="BP2" s="269">
        <v>68</v>
      </c>
      <c r="BQ2" s="269">
        <v>69</v>
      </c>
      <c r="BR2" s="269">
        <v>70</v>
      </c>
      <c r="BS2" s="269">
        <v>71</v>
      </c>
      <c r="BT2" s="269">
        <v>72</v>
      </c>
      <c r="BU2" s="269">
        <v>73</v>
      </c>
      <c r="BV2" s="269">
        <v>74</v>
      </c>
      <c r="BW2" s="269">
        <v>75</v>
      </c>
      <c r="BX2" s="269">
        <v>76</v>
      </c>
      <c r="BY2" s="269">
        <v>77</v>
      </c>
      <c r="BZ2" s="269">
        <v>78</v>
      </c>
      <c r="CA2" s="269">
        <v>79</v>
      </c>
      <c r="CB2" s="269">
        <v>80</v>
      </c>
      <c r="CC2" s="269">
        <v>81</v>
      </c>
      <c r="CD2" s="269">
        <v>82</v>
      </c>
      <c r="CE2" s="269">
        <v>83</v>
      </c>
      <c r="CF2" s="269">
        <v>84</v>
      </c>
      <c r="CG2" s="269">
        <v>85</v>
      </c>
      <c r="CH2" s="269">
        <v>86</v>
      </c>
      <c r="CI2" s="269">
        <v>87</v>
      </c>
      <c r="CJ2" s="269">
        <v>88</v>
      </c>
      <c r="CK2" s="269">
        <v>89</v>
      </c>
      <c r="CL2" s="269">
        <v>90</v>
      </c>
      <c r="CM2" s="269">
        <v>91</v>
      </c>
      <c r="CN2" s="269">
        <v>92</v>
      </c>
      <c r="CO2" s="269">
        <v>93</v>
      </c>
      <c r="CP2" s="269">
        <v>94</v>
      </c>
      <c r="CQ2" s="269">
        <v>95</v>
      </c>
      <c r="CR2" s="269">
        <v>96</v>
      </c>
      <c r="CS2" s="269">
        <v>97</v>
      </c>
      <c r="CT2" s="269">
        <v>98</v>
      </c>
      <c r="CU2" s="269">
        <v>99</v>
      </c>
      <c r="CV2" s="269">
        <v>100</v>
      </c>
      <c r="CW2" s="269">
        <v>101</v>
      </c>
      <c r="CX2" s="269">
        <v>102</v>
      </c>
      <c r="CY2" s="269">
        <v>103</v>
      </c>
      <c r="CZ2" s="269">
        <v>104</v>
      </c>
      <c r="DA2" s="269">
        <v>105</v>
      </c>
      <c r="DB2" s="269">
        <v>106</v>
      </c>
      <c r="DC2" s="269">
        <v>107</v>
      </c>
      <c r="DD2" s="269">
        <v>108</v>
      </c>
      <c r="DE2" s="269">
        <v>109</v>
      </c>
      <c r="DF2" s="269">
        <v>110</v>
      </c>
      <c r="DG2" s="269">
        <v>111</v>
      </c>
      <c r="DH2" s="269">
        <v>112</v>
      </c>
      <c r="DI2" s="269">
        <v>113</v>
      </c>
      <c r="DJ2" s="269">
        <v>114</v>
      </c>
      <c r="DK2" s="269">
        <v>115</v>
      </c>
      <c r="DL2" s="269">
        <v>116</v>
      </c>
      <c r="DM2" s="269">
        <v>117</v>
      </c>
      <c r="DN2" s="269">
        <v>118</v>
      </c>
      <c r="DO2" s="269">
        <v>119</v>
      </c>
      <c r="DP2" s="269">
        <v>120</v>
      </c>
      <c r="DQ2" s="269">
        <v>121</v>
      </c>
      <c r="DR2" s="269">
        <v>122</v>
      </c>
      <c r="DS2" s="269">
        <v>123</v>
      </c>
      <c r="DT2" s="269">
        <v>124</v>
      </c>
      <c r="DU2" s="269">
        <v>125</v>
      </c>
      <c r="DV2" s="269">
        <v>126</v>
      </c>
      <c r="DW2" s="269">
        <v>127</v>
      </c>
      <c r="DX2" s="269">
        <v>128</v>
      </c>
      <c r="DY2" s="269">
        <v>129</v>
      </c>
      <c r="DZ2" s="269">
        <v>130</v>
      </c>
      <c r="EA2" s="269">
        <v>131</v>
      </c>
      <c r="EB2" s="269">
        <v>132</v>
      </c>
      <c r="EC2" s="269">
        <v>133</v>
      </c>
      <c r="ED2" s="269">
        <v>134</v>
      </c>
      <c r="EE2" s="269">
        <v>135</v>
      </c>
      <c r="EF2" s="269">
        <v>136</v>
      </c>
      <c r="EG2" s="269">
        <v>137</v>
      </c>
      <c r="EH2" s="269">
        <v>138</v>
      </c>
      <c r="EI2" s="269">
        <v>139</v>
      </c>
      <c r="EJ2" s="269">
        <v>140</v>
      </c>
      <c r="EK2" s="269">
        <v>141</v>
      </c>
      <c r="EL2" s="269">
        <v>142</v>
      </c>
      <c r="EM2" s="269">
        <v>143</v>
      </c>
      <c r="EN2" s="269">
        <v>144</v>
      </c>
      <c r="EO2" s="269">
        <v>145</v>
      </c>
      <c r="EP2" s="269">
        <v>146</v>
      </c>
      <c r="EQ2" s="269">
        <v>147</v>
      </c>
      <c r="ER2" s="269">
        <v>148</v>
      </c>
      <c r="ES2" s="269">
        <v>149</v>
      </c>
      <c r="ET2" s="269">
        <v>150</v>
      </c>
      <c r="EU2" s="269">
        <v>151</v>
      </c>
      <c r="EV2" s="269">
        <v>152</v>
      </c>
      <c r="EW2" s="269">
        <v>153</v>
      </c>
      <c r="EX2" s="269">
        <v>154</v>
      </c>
      <c r="EY2" s="269">
        <v>155</v>
      </c>
      <c r="EZ2" s="269">
        <v>156</v>
      </c>
      <c r="FA2" s="269">
        <v>157</v>
      </c>
      <c r="FB2" s="269">
        <v>158</v>
      </c>
      <c r="FC2" s="269">
        <v>159</v>
      </c>
      <c r="FD2" s="269">
        <v>160</v>
      </c>
      <c r="FE2" s="269">
        <v>161</v>
      </c>
      <c r="FF2" s="269">
        <v>162</v>
      </c>
      <c r="FG2" s="269">
        <v>163</v>
      </c>
      <c r="FH2" s="269">
        <v>164</v>
      </c>
      <c r="FI2" s="269">
        <v>165</v>
      </c>
      <c r="FJ2" s="269">
        <v>166</v>
      </c>
      <c r="FK2" s="269">
        <v>167</v>
      </c>
      <c r="FL2" s="269">
        <v>168</v>
      </c>
      <c r="FM2" s="269">
        <v>169</v>
      </c>
      <c r="FN2" s="269">
        <v>170</v>
      </c>
      <c r="FO2" s="269">
        <v>171</v>
      </c>
      <c r="FP2" s="269">
        <v>172</v>
      </c>
      <c r="FQ2" s="269">
        <v>173</v>
      </c>
      <c r="FR2" s="269">
        <v>174</v>
      </c>
      <c r="FS2" s="269">
        <v>175</v>
      </c>
      <c r="FT2" s="269">
        <v>176</v>
      </c>
      <c r="FU2" s="269">
        <v>177</v>
      </c>
      <c r="FV2" s="269">
        <v>178</v>
      </c>
      <c r="FW2" s="269">
        <v>179</v>
      </c>
      <c r="FX2" s="269">
        <v>180</v>
      </c>
      <c r="FY2" s="269">
        <v>181</v>
      </c>
      <c r="FZ2" s="269">
        <v>182</v>
      </c>
      <c r="GA2" s="269">
        <v>183</v>
      </c>
      <c r="GB2" s="269">
        <v>184</v>
      </c>
      <c r="GC2" s="269">
        <v>185</v>
      </c>
      <c r="GD2" s="269">
        <v>186</v>
      </c>
      <c r="GE2" s="269">
        <v>187</v>
      </c>
      <c r="GF2" s="269">
        <v>188</v>
      </c>
      <c r="GG2" s="269">
        <v>189</v>
      </c>
      <c r="GH2" s="269">
        <v>190</v>
      </c>
      <c r="GI2" s="269">
        <v>191</v>
      </c>
      <c r="GJ2" s="269">
        <v>192</v>
      </c>
      <c r="GK2" s="269">
        <v>193</v>
      </c>
      <c r="GL2" s="269">
        <v>194</v>
      </c>
      <c r="GM2" s="269">
        <v>195</v>
      </c>
      <c r="GN2" s="269">
        <v>196</v>
      </c>
      <c r="GO2" s="269">
        <v>197</v>
      </c>
      <c r="GP2" s="269">
        <v>198</v>
      </c>
      <c r="GQ2" s="269">
        <v>199</v>
      </c>
      <c r="GR2" s="269">
        <v>200</v>
      </c>
      <c r="GS2" s="269">
        <v>201</v>
      </c>
      <c r="GT2" s="269">
        <v>202</v>
      </c>
      <c r="GU2" s="269">
        <v>203</v>
      </c>
      <c r="GV2" s="269">
        <v>204</v>
      </c>
      <c r="GW2" s="269">
        <v>205</v>
      </c>
      <c r="GX2" s="269">
        <v>206</v>
      </c>
      <c r="GY2" s="269">
        <v>207</v>
      </c>
      <c r="GZ2" s="269">
        <v>208</v>
      </c>
      <c r="HA2" s="269">
        <v>209</v>
      </c>
      <c r="HB2" s="269">
        <v>210</v>
      </c>
      <c r="HC2" s="269">
        <v>211</v>
      </c>
      <c r="HD2" s="269">
        <v>212</v>
      </c>
      <c r="HE2" s="269">
        <v>213</v>
      </c>
      <c r="HF2" s="269">
        <v>214</v>
      </c>
      <c r="HG2" s="269">
        <v>215</v>
      </c>
      <c r="HH2" s="269">
        <v>216</v>
      </c>
      <c r="HI2" s="269">
        <v>217</v>
      </c>
      <c r="HJ2" s="269">
        <v>218</v>
      </c>
      <c r="HK2" s="269">
        <v>219</v>
      </c>
      <c r="HL2" s="269">
        <v>220</v>
      </c>
      <c r="HM2" s="269">
        <v>221</v>
      </c>
      <c r="HN2" s="269">
        <v>222</v>
      </c>
      <c r="HO2" s="269">
        <v>223</v>
      </c>
      <c r="HP2" s="269">
        <v>224</v>
      </c>
      <c r="HQ2" s="269">
        <v>225</v>
      </c>
      <c r="HR2" s="269">
        <v>226</v>
      </c>
      <c r="HS2" s="269">
        <v>227</v>
      </c>
      <c r="HT2" s="269">
        <v>228</v>
      </c>
      <c r="HU2" s="269">
        <v>229</v>
      </c>
      <c r="HV2" s="269">
        <v>230</v>
      </c>
      <c r="HW2" s="269">
        <v>231</v>
      </c>
      <c r="HX2" s="269">
        <v>232</v>
      </c>
      <c r="HY2" s="269">
        <v>233</v>
      </c>
      <c r="HZ2" s="269">
        <v>234</v>
      </c>
      <c r="IA2" s="269">
        <v>235</v>
      </c>
      <c r="IB2" s="269">
        <v>236</v>
      </c>
      <c r="IC2" s="269">
        <v>237</v>
      </c>
      <c r="ID2" s="269">
        <v>238</v>
      </c>
      <c r="IE2" s="269">
        <v>239</v>
      </c>
      <c r="IF2" s="269">
        <v>240</v>
      </c>
      <c r="IG2" s="269">
        <v>241</v>
      </c>
      <c r="IH2" s="269">
        <v>242</v>
      </c>
      <c r="II2" s="269">
        <v>243</v>
      </c>
      <c r="IJ2" s="269">
        <v>244</v>
      </c>
      <c r="IK2" s="269">
        <v>245</v>
      </c>
      <c r="IL2" s="269">
        <v>246</v>
      </c>
      <c r="IM2" s="269">
        <v>247</v>
      </c>
      <c r="IN2" s="269">
        <v>248</v>
      </c>
      <c r="IO2" s="269">
        <v>249</v>
      </c>
      <c r="IP2" s="269">
        <v>250</v>
      </c>
      <c r="IQ2" s="269">
        <v>251</v>
      </c>
      <c r="IR2" s="269">
        <v>252</v>
      </c>
      <c r="IS2" s="269">
        <v>253</v>
      </c>
      <c r="IT2" s="269">
        <v>254</v>
      </c>
      <c r="IU2" s="269">
        <v>255</v>
      </c>
      <c r="IV2" s="269">
        <v>256</v>
      </c>
      <c r="IW2" s="269">
        <v>257</v>
      </c>
      <c r="IX2" s="269">
        <v>258</v>
      </c>
      <c r="IY2" s="269">
        <v>259</v>
      </c>
      <c r="IZ2" s="269">
        <v>260</v>
      </c>
      <c r="JA2" s="269">
        <v>261</v>
      </c>
      <c r="JB2" s="269">
        <v>262</v>
      </c>
      <c r="JC2" s="269">
        <v>263</v>
      </c>
      <c r="JD2" s="269">
        <v>264</v>
      </c>
      <c r="JE2" s="269">
        <v>265</v>
      </c>
      <c r="JF2" s="269">
        <v>266</v>
      </c>
      <c r="JG2" s="269">
        <v>267</v>
      </c>
      <c r="JH2" s="269">
        <v>268</v>
      </c>
      <c r="JI2" s="269">
        <v>269</v>
      </c>
      <c r="JJ2" s="269">
        <v>270</v>
      </c>
      <c r="JK2" s="269">
        <v>271</v>
      </c>
      <c r="JL2" s="269">
        <v>272</v>
      </c>
      <c r="JM2" s="269">
        <v>273</v>
      </c>
      <c r="JN2" s="269">
        <v>274</v>
      </c>
      <c r="JO2" s="269">
        <v>275</v>
      </c>
      <c r="JP2" s="269">
        <v>276</v>
      </c>
      <c r="JQ2" s="269">
        <v>277</v>
      </c>
      <c r="JR2" s="269">
        <v>278</v>
      </c>
      <c r="JS2" s="269">
        <v>279</v>
      </c>
      <c r="JT2" s="269">
        <v>280</v>
      </c>
      <c r="JU2" s="269">
        <v>281</v>
      </c>
      <c r="JV2" s="269">
        <v>282</v>
      </c>
      <c r="JW2" s="269">
        <v>283</v>
      </c>
      <c r="JX2" s="269">
        <v>284</v>
      </c>
      <c r="JY2" s="269">
        <v>285</v>
      </c>
      <c r="JZ2" s="269">
        <v>286</v>
      </c>
      <c r="KA2" s="269">
        <v>287</v>
      </c>
      <c r="KB2" s="269">
        <v>288</v>
      </c>
      <c r="KC2" s="269">
        <v>289</v>
      </c>
      <c r="KD2" s="269">
        <v>290</v>
      </c>
      <c r="KE2" s="269">
        <v>291</v>
      </c>
      <c r="KF2" s="269">
        <v>292</v>
      </c>
      <c r="KG2" s="269">
        <v>293</v>
      </c>
      <c r="KH2" s="269">
        <v>294</v>
      </c>
      <c r="KI2" s="269">
        <v>295</v>
      </c>
      <c r="KJ2" s="269">
        <v>296</v>
      </c>
      <c r="KK2" s="269">
        <v>297</v>
      </c>
      <c r="KL2" s="269">
        <v>298</v>
      </c>
      <c r="KM2" s="269">
        <v>299</v>
      </c>
      <c r="KN2" s="269">
        <v>300</v>
      </c>
      <c r="KO2" s="269">
        <v>301</v>
      </c>
      <c r="KP2" s="269">
        <v>302</v>
      </c>
      <c r="KQ2" s="269">
        <v>303</v>
      </c>
      <c r="KR2" s="269">
        <v>304</v>
      </c>
      <c r="KS2" s="269">
        <v>305</v>
      </c>
      <c r="KT2" s="269">
        <v>306</v>
      </c>
      <c r="KU2" s="269">
        <v>307</v>
      </c>
      <c r="KV2" s="269">
        <v>308</v>
      </c>
      <c r="KW2" s="269">
        <v>309</v>
      </c>
      <c r="KX2" s="269">
        <v>310</v>
      </c>
      <c r="KY2" s="269">
        <v>311</v>
      </c>
      <c r="KZ2" s="269">
        <v>312</v>
      </c>
      <c r="LA2" s="269">
        <v>313</v>
      </c>
      <c r="LB2" s="269">
        <v>314</v>
      </c>
      <c r="LC2" s="269">
        <v>315</v>
      </c>
      <c r="LD2" s="269">
        <v>316</v>
      </c>
      <c r="LE2" s="269">
        <v>317</v>
      </c>
      <c r="LF2" s="269">
        <v>318</v>
      </c>
      <c r="LG2" s="269">
        <v>319</v>
      </c>
      <c r="LH2" s="269">
        <v>320</v>
      </c>
      <c r="LI2" s="269">
        <v>321</v>
      </c>
      <c r="LJ2" s="269">
        <v>322</v>
      </c>
      <c r="LK2" s="269">
        <v>323</v>
      </c>
      <c r="LL2" s="269">
        <v>324</v>
      </c>
      <c r="LM2" s="269">
        <v>325</v>
      </c>
      <c r="LN2" s="269">
        <v>326</v>
      </c>
      <c r="LO2" s="269">
        <v>327</v>
      </c>
      <c r="LP2" s="269">
        <v>328</v>
      </c>
      <c r="LQ2" s="269">
        <v>329</v>
      </c>
      <c r="LR2" s="269">
        <v>330</v>
      </c>
      <c r="LS2" s="269">
        <v>331</v>
      </c>
      <c r="LT2" s="269">
        <v>332</v>
      </c>
      <c r="LU2" s="269">
        <v>333</v>
      </c>
      <c r="LV2" s="269">
        <v>334</v>
      </c>
      <c r="LW2" s="269">
        <v>335</v>
      </c>
      <c r="LX2" s="269">
        <v>336</v>
      </c>
      <c r="LY2" s="269">
        <v>337</v>
      </c>
      <c r="LZ2" s="269">
        <v>338</v>
      </c>
      <c r="MA2" s="269">
        <v>339</v>
      </c>
      <c r="MB2" s="269">
        <v>340</v>
      </c>
      <c r="MC2" s="269">
        <v>341</v>
      </c>
      <c r="MD2" s="269">
        <v>342</v>
      </c>
      <c r="ME2" s="269">
        <v>343</v>
      </c>
      <c r="MF2" s="269">
        <v>344</v>
      </c>
      <c r="MG2" s="269">
        <v>345</v>
      </c>
      <c r="MH2" s="269">
        <v>346</v>
      </c>
      <c r="MI2" s="269">
        <v>347</v>
      </c>
      <c r="MJ2" s="269">
        <v>348</v>
      </c>
      <c r="MK2" s="269">
        <v>349</v>
      </c>
      <c r="ML2" s="269">
        <v>350</v>
      </c>
      <c r="MM2" s="269">
        <v>351</v>
      </c>
      <c r="MN2" s="269">
        <v>352</v>
      </c>
      <c r="MO2" s="269">
        <v>353</v>
      </c>
      <c r="MP2" s="269">
        <v>354</v>
      </c>
      <c r="MQ2" s="269">
        <v>355</v>
      </c>
      <c r="MR2" s="269">
        <v>356</v>
      </c>
      <c r="MS2" s="269">
        <v>357</v>
      </c>
      <c r="MT2" s="269">
        <v>358</v>
      </c>
      <c r="MU2" s="269">
        <v>359</v>
      </c>
      <c r="MV2" s="269">
        <v>360</v>
      </c>
      <c r="MW2" s="269">
        <v>361</v>
      </c>
      <c r="MX2" s="269">
        <v>362</v>
      </c>
      <c r="MY2" s="269">
        <v>363</v>
      </c>
      <c r="MZ2" s="269">
        <v>364</v>
      </c>
      <c r="NA2" s="269">
        <v>365</v>
      </c>
      <c r="NB2" s="269">
        <v>366</v>
      </c>
      <c r="NC2" s="269">
        <v>367</v>
      </c>
      <c r="ND2" s="269">
        <v>368</v>
      </c>
      <c r="NE2" s="269">
        <v>369</v>
      </c>
      <c r="NF2" s="269">
        <v>370</v>
      </c>
      <c r="NG2" s="269">
        <v>371</v>
      </c>
      <c r="NH2" s="269">
        <v>372</v>
      </c>
      <c r="NI2" s="269">
        <v>373</v>
      </c>
      <c r="NJ2" s="269">
        <v>374</v>
      </c>
      <c r="NK2" s="269">
        <v>375</v>
      </c>
      <c r="NL2" s="269">
        <v>376</v>
      </c>
      <c r="NM2" s="269">
        <v>377</v>
      </c>
      <c r="NN2" s="269">
        <v>378</v>
      </c>
      <c r="NO2" s="269">
        <v>379</v>
      </c>
      <c r="NP2" s="269">
        <v>380</v>
      </c>
      <c r="NQ2" s="269">
        <v>381</v>
      </c>
      <c r="NR2" s="269">
        <v>382</v>
      </c>
      <c r="NS2" s="269">
        <v>383</v>
      </c>
      <c r="NT2" s="269">
        <v>384</v>
      </c>
      <c r="NU2" s="269">
        <v>385</v>
      </c>
      <c r="NV2" s="269">
        <v>386</v>
      </c>
      <c r="NW2" s="269">
        <v>387</v>
      </c>
      <c r="NX2" s="269">
        <v>388</v>
      </c>
      <c r="NY2" s="269">
        <v>389</v>
      </c>
      <c r="NZ2" s="269">
        <v>390</v>
      </c>
      <c r="OA2" s="269">
        <v>391</v>
      </c>
      <c r="OB2" s="269">
        <v>392</v>
      </c>
      <c r="OC2" s="269">
        <v>393</v>
      </c>
      <c r="OD2" s="269">
        <v>394</v>
      </c>
      <c r="OE2" s="269">
        <v>395</v>
      </c>
      <c r="OF2" s="269">
        <v>396</v>
      </c>
      <c r="OG2" s="269">
        <v>397</v>
      </c>
      <c r="OH2" s="271">
        <v>398</v>
      </c>
      <c r="OI2" s="271">
        <v>399</v>
      </c>
      <c r="OJ2" s="271">
        <v>400</v>
      </c>
      <c r="OK2" s="271">
        <v>401</v>
      </c>
      <c r="OL2" s="271">
        <v>402</v>
      </c>
      <c r="OM2" s="271">
        <v>403</v>
      </c>
      <c r="ON2" s="271">
        <v>404</v>
      </c>
      <c r="OO2" s="271">
        <v>405</v>
      </c>
      <c r="OP2" s="271">
        <v>406</v>
      </c>
      <c r="OQ2" s="271">
        <v>407</v>
      </c>
      <c r="OR2" s="271">
        <v>408</v>
      </c>
      <c r="OS2" s="269">
        <v>409</v>
      </c>
      <c r="OT2" s="269">
        <v>410</v>
      </c>
      <c r="OU2" s="269">
        <v>411</v>
      </c>
      <c r="OV2" s="269">
        <v>412</v>
      </c>
      <c r="OW2" s="269">
        <v>413</v>
      </c>
      <c r="OX2" s="269">
        <v>414</v>
      </c>
      <c r="OY2" s="269">
        <v>415</v>
      </c>
      <c r="OZ2" s="269">
        <v>416</v>
      </c>
      <c r="PA2" s="269">
        <v>417</v>
      </c>
      <c r="PB2" s="269">
        <v>418</v>
      </c>
      <c r="PC2" s="269">
        <v>419</v>
      </c>
    </row>
    <row r="3" spans="1:484">
      <c r="B3" s="206" t="s">
        <v>1</v>
      </c>
      <c r="C3" s="285" t="str">
        <f>'Data-temp_employment'!C3</f>
        <v>2016Q1</v>
      </c>
      <c r="D3" s="285" t="str">
        <f>'Data-temp_employment'!D3</f>
        <v>2016Q2</v>
      </c>
      <c r="E3" s="285" t="str">
        <f>'Data-temp_employment'!E3</f>
        <v>2016Q3</v>
      </c>
      <c r="F3" s="285" t="str">
        <f>'Data-temp_employment'!F3</f>
        <v>2016Q4</v>
      </c>
      <c r="G3" s="285" t="str">
        <f>'Data-temp_employment'!G3</f>
        <v>2017Q1</v>
      </c>
      <c r="H3" s="285" t="str">
        <f>'Data-temp_employment'!H3</f>
        <v>2017Q2</v>
      </c>
      <c r="I3" s="285" t="str">
        <f>'Data-temp_employment'!I3</f>
        <v>2017Q3</v>
      </c>
      <c r="J3" s="285" t="str">
        <f>'Data-temp_employment'!J3</f>
        <v>2017Q4</v>
      </c>
      <c r="K3" s="285" t="str">
        <f>'Data-temp_employment'!K3</f>
        <v>2018Q1</v>
      </c>
      <c r="L3" s="285" t="str">
        <f>'Data-temp_employment'!L3</f>
        <v>2018Q2</v>
      </c>
      <c r="M3" s="285" t="str">
        <f>'Data-temp_employment'!M3</f>
        <v>GEO/TIME</v>
      </c>
      <c r="N3" s="285" t="str">
        <f>'Data-temp_employment'!N3</f>
        <v>2016Q1</v>
      </c>
      <c r="O3" s="285" t="str">
        <f>'Data-temp_employment'!O3</f>
        <v>2016Q2</v>
      </c>
      <c r="P3" s="285" t="str">
        <f>'Data-temp_employment'!P3</f>
        <v>2016Q3</v>
      </c>
      <c r="Q3" s="285" t="str">
        <f>'Data-temp_employment'!Q3</f>
        <v>2016Q4</v>
      </c>
      <c r="R3" s="285" t="str">
        <f>'Data-temp_employment'!R3</f>
        <v>2017Q1</v>
      </c>
      <c r="S3" s="285" t="str">
        <f>'Data-temp_employment'!S3</f>
        <v>2017Q2</v>
      </c>
      <c r="T3" s="285" t="str">
        <f>'Data-temp_employment'!T3</f>
        <v>2017Q3</v>
      </c>
      <c r="U3" s="285" t="str">
        <f>'Data-temp_employment'!U3</f>
        <v>2017Q4</v>
      </c>
      <c r="V3" s="285" t="str">
        <f>'Data-temp_employment'!V3</f>
        <v>2018Q1</v>
      </c>
      <c r="W3" s="285" t="str">
        <f>'Data-temp_employment'!W3</f>
        <v>2018Q2</v>
      </c>
      <c r="X3" s="285" t="str">
        <f>'Data-temp_employment'!X3</f>
        <v>GEO/TIME</v>
      </c>
      <c r="Y3" s="285" t="str">
        <f>'Data-temp_employment'!Y3</f>
        <v>2016Q1</v>
      </c>
      <c r="Z3" s="285" t="str">
        <f>'Data-temp_employment'!Z3</f>
        <v>2016Q2</v>
      </c>
      <c r="AA3" s="285" t="str">
        <f>'Data-temp_employment'!AA3</f>
        <v>2016Q3</v>
      </c>
      <c r="AB3" s="285" t="str">
        <f>'Data-temp_employment'!AB3</f>
        <v>2016Q4</v>
      </c>
      <c r="AC3" s="285" t="str">
        <f>'Data-temp_employment'!AC3</f>
        <v>2017Q1</v>
      </c>
      <c r="AD3" s="285" t="str">
        <f>'Data-temp_employment'!AD3</f>
        <v>2017Q2</v>
      </c>
      <c r="AE3" s="285" t="str">
        <f>'Data-temp_employment'!AE3</f>
        <v>2017Q3</v>
      </c>
      <c r="AF3" s="285" t="str">
        <f>'Data-temp_employment'!AF3</f>
        <v>2017Q4</v>
      </c>
      <c r="AG3" s="285" t="str">
        <f>'Data-temp_employment'!AG3</f>
        <v>2018Q1</v>
      </c>
      <c r="AH3" s="285" t="str">
        <f>'Data-temp_employment'!AH3</f>
        <v>2018Q2</v>
      </c>
      <c r="AI3" s="285" t="str">
        <f>'Data-temp_employment'!AI3</f>
        <v>GEO/TIME</v>
      </c>
      <c r="AJ3" s="285" t="str">
        <f>'Data-temp_employment'!AJ3</f>
        <v>2016Q1</v>
      </c>
      <c r="AK3" s="285" t="str">
        <f>'Data-temp_employment'!AK3</f>
        <v>2016Q2</v>
      </c>
      <c r="AL3" s="285" t="str">
        <f>'Data-temp_employment'!AL3</f>
        <v>2016Q3</v>
      </c>
      <c r="AM3" s="285" t="str">
        <f>'Data-temp_employment'!AM3</f>
        <v>2016Q4</v>
      </c>
      <c r="AN3" s="285" t="str">
        <f>'Data-temp_employment'!AN3</f>
        <v>2017Q1</v>
      </c>
      <c r="AO3" s="285" t="str">
        <f>'Data-temp_employment'!AO3</f>
        <v>2017Q2</v>
      </c>
      <c r="AP3" s="285" t="str">
        <f>'Data-temp_employment'!AP3</f>
        <v>2017Q3</v>
      </c>
      <c r="AQ3" s="285" t="str">
        <f>'Data-temp_employment'!AQ3</f>
        <v>2017Q4</v>
      </c>
      <c r="AR3" s="285" t="str">
        <f>'Data-temp_employment'!AR3</f>
        <v>2018Q1</v>
      </c>
      <c r="AS3" s="285" t="str">
        <f>'Data-temp_employment'!AS3</f>
        <v>2018Q2</v>
      </c>
      <c r="AT3" s="285" t="str">
        <f>'Data-temp_employment'!AT3</f>
        <v>GEO/TIME</v>
      </c>
      <c r="AU3" s="285" t="str">
        <f>'Data-temp_employment'!AU3</f>
        <v>2016Q1</v>
      </c>
      <c r="AV3" s="285" t="str">
        <f>'Data-temp_employment'!AV3</f>
        <v>2016Q2</v>
      </c>
      <c r="AW3" s="285" t="str">
        <f>'Data-temp_employment'!AW3</f>
        <v>2016Q3</v>
      </c>
      <c r="AX3" s="285" t="str">
        <f>'Data-temp_employment'!AX3</f>
        <v>2016Q4</v>
      </c>
      <c r="AY3" s="285" t="str">
        <f>'Data-temp_employment'!AY3</f>
        <v>2017Q1</v>
      </c>
      <c r="AZ3" s="285" t="str">
        <f>'Data-temp_employment'!AZ3</f>
        <v>2017Q2</v>
      </c>
      <c r="BA3" s="285" t="str">
        <f>'Data-temp_employment'!BA3</f>
        <v>2017Q3</v>
      </c>
      <c r="BB3" s="285" t="str">
        <f>'Data-temp_employment'!BB3</f>
        <v>2017Q4</v>
      </c>
      <c r="BC3" s="285" t="str">
        <f>'Data-temp_employment'!BC3</f>
        <v>2018Q1</v>
      </c>
      <c r="BD3" s="285" t="str">
        <f>'Data-temp_employment'!BD3</f>
        <v>2018Q2</v>
      </c>
      <c r="BE3" s="285" t="str">
        <f>'Data-temp_employment'!BE3</f>
        <v>GEO/TIME</v>
      </c>
      <c r="BF3" s="285" t="str">
        <f>'Data-temp_employment'!BF3</f>
        <v>2016Q1</v>
      </c>
      <c r="BG3" s="285" t="str">
        <f>'Data-temp_employment'!BG3</f>
        <v>2016Q2</v>
      </c>
      <c r="BH3" s="285" t="str">
        <f>'Data-temp_employment'!BH3</f>
        <v>2016Q3</v>
      </c>
      <c r="BI3" s="285" t="str">
        <f>'Data-temp_employment'!BI3</f>
        <v>2016Q4</v>
      </c>
      <c r="BJ3" s="285" t="str">
        <f>'Data-temp_employment'!BJ3</f>
        <v>2017Q1</v>
      </c>
      <c r="BK3" s="285" t="str">
        <f>'Data-temp_employment'!BK3</f>
        <v>2017Q2</v>
      </c>
      <c r="BL3" s="285" t="str">
        <f>'Data-temp_employment'!BL3</f>
        <v>2017Q3</v>
      </c>
      <c r="BM3" s="285" t="str">
        <f>'Data-temp_employment'!BM3</f>
        <v>2017Q4</v>
      </c>
      <c r="BN3" s="285" t="str">
        <f>'Data-temp_employment'!BN3</f>
        <v>2018Q1</v>
      </c>
      <c r="BO3" s="285" t="str">
        <f>'Data-temp_employment'!BO3</f>
        <v>2018Q2</v>
      </c>
      <c r="BP3" s="285" t="str">
        <f>'Data-temp_employment'!BP3</f>
        <v>GEO/TIME</v>
      </c>
      <c r="BQ3" s="285" t="str">
        <f>'Data-temp_employment'!BQ3</f>
        <v>2016Q1</v>
      </c>
      <c r="BR3" s="285" t="str">
        <f>'Data-temp_employment'!BR3</f>
        <v>2016Q2</v>
      </c>
      <c r="BS3" s="285" t="str">
        <f>'Data-temp_employment'!BS3</f>
        <v>2016Q3</v>
      </c>
      <c r="BT3" s="285" t="str">
        <f>'Data-temp_employment'!BT3</f>
        <v>2016Q4</v>
      </c>
      <c r="BU3" s="285" t="str">
        <f>'Data-temp_employment'!BU3</f>
        <v>2017Q1</v>
      </c>
      <c r="BV3" s="285" t="str">
        <f>'Data-temp_employment'!BV3</f>
        <v>2017Q2</v>
      </c>
      <c r="BW3" s="285" t="str">
        <f>'Data-temp_employment'!BW3</f>
        <v>2017Q3</v>
      </c>
      <c r="BX3" s="285" t="str">
        <f>'Data-temp_employment'!BX3</f>
        <v>2017Q4</v>
      </c>
      <c r="BY3" s="285" t="str">
        <f>'Data-temp_employment'!BY3</f>
        <v>2018Q1</v>
      </c>
      <c r="BZ3" s="285" t="str">
        <f>'Data-temp_employment'!BZ3</f>
        <v>2018Q2</v>
      </c>
      <c r="CA3" s="285" t="str">
        <f>'Data-temp_employment'!CA3</f>
        <v>GEO/TIME</v>
      </c>
      <c r="CB3" s="285" t="str">
        <f>'Data-temp_employment'!CB3</f>
        <v>2016Q1</v>
      </c>
      <c r="CC3" s="285" t="str">
        <f>'Data-temp_employment'!CC3</f>
        <v>2016Q2</v>
      </c>
      <c r="CD3" s="285" t="str">
        <f>'Data-temp_employment'!CD3</f>
        <v>2016Q3</v>
      </c>
      <c r="CE3" s="285" t="str">
        <f>'Data-temp_employment'!CE3</f>
        <v>2016Q4</v>
      </c>
      <c r="CF3" s="285" t="str">
        <f>'Data-temp_employment'!CF3</f>
        <v>2017Q1</v>
      </c>
      <c r="CG3" s="285" t="str">
        <f>'Data-temp_employment'!CG3</f>
        <v>2017Q2</v>
      </c>
      <c r="CH3" s="285" t="str">
        <f>'Data-temp_employment'!CH3</f>
        <v>2017Q3</v>
      </c>
      <c r="CI3" s="285" t="str">
        <f>'Data-temp_employment'!CI3</f>
        <v>2017Q4</v>
      </c>
      <c r="CJ3" s="285" t="str">
        <f>'Data-temp_employment'!CJ3</f>
        <v>2018Q1</v>
      </c>
      <c r="CK3" s="285" t="str">
        <f>'Data-temp_employment'!CK3</f>
        <v>2018Q2</v>
      </c>
      <c r="CL3" s="285" t="str">
        <f>'Data-temp_employment'!CL3</f>
        <v>GEO/TIME</v>
      </c>
      <c r="CM3" s="285" t="str">
        <f>'Data-temp_employment'!CM3</f>
        <v>2016Q1</v>
      </c>
      <c r="CN3" s="285" t="str">
        <f>'Data-temp_employment'!CN3</f>
        <v>2016Q2</v>
      </c>
      <c r="CO3" s="285" t="str">
        <f>'Data-temp_employment'!CO3</f>
        <v>2016Q3</v>
      </c>
      <c r="CP3" s="285" t="str">
        <f>'Data-temp_employment'!CP3</f>
        <v>2016Q4</v>
      </c>
      <c r="CQ3" s="285" t="str">
        <f>'Data-temp_employment'!CQ3</f>
        <v>2017Q1</v>
      </c>
      <c r="CR3" s="285" t="str">
        <f>'Data-temp_employment'!CR3</f>
        <v>2017Q2</v>
      </c>
      <c r="CS3" s="285" t="str">
        <f>'Data-temp_employment'!CS3</f>
        <v>2017Q3</v>
      </c>
      <c r="CT3" s="285" t="str">
        <f>'Data-temp_employment'!CT3</f>
        <v>2017Q4</v>
      </c>
      <c r="CU3" s="285" t="str">
        <f>'Data-temp_employment'!CU3</f>
        <v>2018Q1</v>
      </c>
      <c r="CV3" s="285" t="str">
        <f>'Data-temp_employment'!CV3</f>
        <v>2018Q2</v>
      </c>
      <c r="CW3" s="285" t="str">
        <f>'Data-temp_employment'!CW3</f>
        <v>GEO/TIME</v>
      </c>
      <c r="CX3" s="285" t="str">
        <f>'Data-temp_employment'!CX3</f>
        <v>2016Q1</v>
      </c>
      <c r="CY3" s="285" t="str">
        <f>'Data-temp_employment'!CY3</f>
        <v>2016Q2</v>
      </c>
      <c r="CZ3" s="285" t="str">
        <f>'Data-temp_employment'!CZ3</f>
        <v>2016Q3</v>
      </c>
      <c r="DA3" s="285" t="str">
        <f>'Data-temp_employment'!DA3</f>
        <v>2016Q4</v>
      </c>
      <c r="DB3" s="285" t="str">
        <f>'Data-temp_employment'!DB3</f>
        <v>2017Q1</v>
      </c>
      <c r="DC3" s="285" t="str">
        <f>'Data-temp_employment'!DC3</f>
        <v>2017Q2</v>
      </c>
      <c r="DD3" s="285" t="str">
        <f>'Data-temp_employment'!DD3</f>
        <v>2017Q3</v>
      </c>
      <c r="DE3" s="285" t="str">
        <f>'Data-temp_employment'!DE3</f>
        <v>2017Q4</v>
      </c>
      <c r="DF3" s="285" t="str">
        <f>'Data-temp_employment'!DF3</f>
        <v>2018Q1</v>
      </c>
      <c r="DG3" s="285" t="str">
        <f>'Data-temp_employment'!DG3</f>
        <v>2018Q2</v>
      </c>
      <c r="DH3" s="285" t="str">
        <f>'Data-temp_employment'!DH3</f>
        <v>GEO/TIME</v>
      </c>
      <c r="DI3" s="285" t="str">
        <f>'Data-temp_employment'!DI3</f>
        <v>2016Q1</v>
      </c>
      <c r="DJ3" s="285" t="str">
        <f>'Data-temp_employment'!DJ3</f>
        <v>2016Q2</v>
      </c>
      <c r="DK3" s="285" t="str">
        <f>'Data-temp_employment'!DK3</f>
        <v>2016Q3</v>
      </c>
      <c r="DL3" s="285" t="str">
        <f>'Data-temp_employment'!DL3</f>
        <v>2016Q4</v>
      </c>
      <c r="DM3" s="285" t="str">
        <f>'Data-temp_employment'!DM3</f>
        <v>2017Q1</v>
      </c>
      <c r="DN3" s="285" t="str">
        <f>'Data-temp_employment'!DN3</f>
        <v>2017Q2</v>
      </c>
      <c r="DO3" s="285" t="str">
        <f>'Data-temp_employment'!DO3</f>
        <v>2017Q3</v>
      </c>
      <c r="DP3" s="285" t="str">
        <f>'Data-temp_employment'!DP3</f>
        <v>2017Q4</v>
      </c>
      <c r="DQ3" s="285" t="str">
        <f>'Data-temp_employment'!DQ3</f>
        <v>2018Q1</v>
      </c>
      <c r="DR3" s="285" t="str">
        <f>'Data-temp_employment'!DR3</f>
        <v>2018Q2</v>
      </c>
      <c r="DS3" s="285" t="str">
        <f>'Data-temp_employment'!DS3</f>
        <v>GEO/TIME</v>
      </c>
      <c r="DT3" s="285" t="str">
        <f>'Data-temp_employment'!DT3</f>
        <v>2016Q1</v>
      </c>
      <c r="DU3" s="285" t="str">
        <f>'Data-temp_employment'!DU3</f>
        <v>2016Q2</v>
      </c>
      <c r="DV3" s="285" t="str">
        <f>'Data-temp_employment'!DV3</f>
        <v>2016Q3</v>
      </c>
      <c r="DW3" s="285" t="str">
        <f>'Data-temp_employment'!DW3</f>
        <v>2016Q4</v>
      </c>
      <c r="DX3" s="285" t="str">
        <f>'Data-temp_employment'!DX3</f>
        <v>2017Q1</v>
      </c>
      <c r="DY3" s="285" t="str">
        <f>'Data-temp_employment'!DY3</f>
        <v>2017Q2</v>
      </c>
      <c r="DZ3" s="285" t="str">
        <f>'Data-temp_employment'!DZ3</f>
        <v>2017Q3</v>
      </c>
      <c r="EA3" s="285" t="str">
        <f>'Data-temp_employment'!EA3</f>
        <v>2017Q4</v>
      </c>
      <c r="EB3" s="285" t="str">
        <f>'Data-temp_employment'!EB3</f>
        <v>2018Q1</v>
      </c>
      <c r="EC3" s="285" t="str">
        <f>'Data-temp_employment'!EC3</f>
        <v>2018Q2</v>
      </c>
      <c r="ED3" s="285" t="str">
        <f>'Data-temp_employment'!ED3</f>
        <v>GEO/TIME</v>
      </c>
      <c r="EE3" s="285" t="str">
        <f>'Data-temp_employment'!EE3</f>
        <v>2016Q1</v>
      </c>
      <c r="EF3" s="285" t="str">
        <f>'Data-temp_employment'!EF3</f>
        <v>2016Q2</v>
      </c>
      <c r="EG3" s="285" t="str">
        <f>'Data-temp_employment'!EG3</f>
        <v>2016Q3</v>
      </c>
      <c r="EH3" s="285" t="str">
        <f>'Data-temp_employment'!EH3</f>
        <v>2016Q4</v>
      </c>
      <c r="EI3" s="285" t="str">
        <f>'Data-temp_employment'!EI3</f>
        <v>2017Q1</v>
      </c>
      <c r="EJ3" s="285" t="str">
        <f>'Data-temp_employment'!EJ3</f>
        <v>2017Q2</v>
      </c>
      <c r="EK3" s="285" t="str">
        <f>'Data-temp_employment'!EK3</f>
        <v>2017Q3</v>
      </c>
      <c r="EL3" s="285" t="str">
        <f>'Data-temp_employment'!EL3</f>
        <v>2017Q4</v>
      </c>
      <c r="EM3" s="285" t="str">
        <f>'Data-temp_employment'!EM3</f>
        <v>2018Q1</v>
      </c>
      <c r="EN3" s="285" t="str">
        <f>'Data-temp_employment'!EN3</f>
        <v>2018Q2</v>
      </c>
      <c r="EO3" s="285" t="str">
        <f>'Data-temp_employment'!EO3</f>
        <v>GEO/TIME</v>
      </c>
      <c r="EP3" s="285" t="str">
        <f>'Data-temp_employment'!EP3</f>
        <v>2016Q1</v>
      </c>
      <c r="EQ3" s="285" t="str">
        <f>'Data-temp_employment'!EQ3</f>
        <v>2016Q2</v>
      </c>
      <c r="ER3" s="285" t="str">
        <f>'Data-temp_employment'!ER3</f>
        <v>2016Q3</v>
      </c>
      <c r="ES3" s="285" t="str">
        <f>'Data-temp_employment'!ES3</f>
        <v>2016Q4</v>
      </c>
      <c r="ET3" s="285" t="str">
        <f>'Data-temp_employment'!ET3</f>
        <v>2017Q1</v>
      </c>
      <c r="EU3" s="285" t="str">
        <f>'Data-temp_employment'!EU3</f>
        <v>2017Q2</v>
      </c>
      <c r="EV3" s="285" t="str">
        <f>'Data-temp_employment'!EV3</f>
        <v>2017Q3</v>
      </c>
      <c r="EW3" s="285" t="str">
        <f>'Data-temp_employment'!EW3</f>
        <v>2017Q4</v>
      </c>
      <c r="EX3" s="285" t="str">
        <f>'Data-temp_employment'!EX3</f>
        <v>2018Q1</v>
      </c>
      <c r="EY3" s="285" t="str">
        <f>'Data-temp_employment'!EY3</f>
        <v>2018Q2</v>
      </c>
      <c r="EZ3" s="285" t="str">
        <f>'Data-temp_employment'!EZ3</f>
        <v>GEO/TIME</v>
      </c>
      <c r="FA3" s="285" t="str">
        <f>'Data-temp_employment'!FA3</f>
        <v>2016Q1</v>
      </c>
      <c r="FB3" s="285" t="str">
        <f>'Data-temp_employment'!FB3</f>
        <v>2016Q2</v>
      </c>
      <c r="FC3" s="285" t="str">
        <f>'Data-temp_employment'!FC3</f>
        <v>2016Q3</v>
      </c>
      <c r="FD3" s="285" t="str">
        <f>'Data-temp_employment'!FD3</f>
        <v>2016Q4</v>
      </c>
      <c r="FE3" s="285" t="str">
        <f>'Data-temp_employment'!FE3</f>
        <v>2017Q1</v>
      </c>
      <c r="FF3" s="285" t="str">
        <f>'Data-temp_employment'!FF3</f>
        <v>2017Q2</v>
      </c>
      <c r="FG3" s="285" t="str">
        <f>'Data-temp_employment'!FG3</f>
        <v>2017Q3</v>
      </c>
      <c r="FH3" s="285" t="str">
        <f>'Data-temp_employment'!FH3</f>
        <v>2017Q4</v>
      </c>
      <c r="FI3" s="285" t="str">
        <f>'Data-temp_employment'!FI3</f>
        <v>2018Q1</v>
      </c>
      <c r="FJ3" s="285" t="str">
        <f>'Data-temp_employment'!FJ3</f>
        <v>2018Q2</v>
      </c>
      <c r="FK3" s="285" t="str">
        <f>'Data-temp_employment'!FK3</f>
        <v>GEO/TIME</v>
      </c>
      <c r="FL3" s="285" t="str">
        <f>'Data-temp_employment'!FL3</f>
        <v>2016Q1</v>
      </c>
      <c r="FM3" s="285" t="str">
        <f>'Data-temp_employment'!FM3</f>
        <v>2016Q2</v>
      </c>
      <c r="FN3" s="285" t="str">
        <f>'Data-temp_employment'!FN3</f>
        <v>2016Q3</v>
      </c>
      <c r="FO3" s="285" t="str">
        <f>'Data-temp_employment'!FO3</f>
        <v>2016Q4</v>
      </c>
      <c r="FP3" s="285" t="str">
        <f>'Data-temp_employment'!FP3</f>
        <v>2017Q1</v>
      </c>
      <c r="FQ3" s="285" t="str">
        <f>'Data-temp_employment'!FQ3</f>
        <v>2017Q2</v>
      </c>
      <c r="FR3" s="285" t="str">
        <f>'Data-temp_employment'!FR3</f>
        <v>2017Q3</v>
      </c>
      <c r="FS3" s="285" t="str">
        <f>'Data-temp_employment'!FS3</f>
        <v>2017Q4</v>
      </c>
      <c r="FT3" s="285" t="str">
        <f>'Data-temp_employment'!FT3</f>
        <v>2018Q1</v>
      </c>
      <c r="FU3" s="285" t="str">
        <f>'Data-temp_employment'!FU3</f>
        <v>2018Q2</v>
      </c>
      <c r="FV3" s="285" t="str">
        <f>'Data-temp_employment'!FV3</f>
        <v>GEO/TIME</v>
      </c>
      <c r="FW3" s="285" t="str">
        <f>'Data-temp_employment'!FW3</f>
        <v>2016Q1</v>
      </c>
      <c r="FX3" s="285" t="str">
        <f>'Data-temp_employment'!FX3</f>
        <v>2016Q2</v>
      </c>
      <c r="FY3" s="285" t="str">
        <f>'Data-temp_employment'!FY3</f>
        <v>2016Q3</v>
      </c>
      <c r="FZ3" s="285" t="str">
        <f>'Data-temp_employment'!FZ3</f>
        <v>2016Q4</v>
      </c>
      <c r="GA3" s="285" t="str">
        <f>'Data-temp_employment'!GA3</f>
        <v>2017Q1</v>
      </c>
      <c r="GB3" s="285" t="str">
        <f>'Data-temp_employment'!GB3</f>
        <v>2017Q2</v>
      </c>
      <c r="GC3" s="285" t="str">
        <f>'Data-temp_employment'!GC3</f>
        <v>2017Q3</v>
      </c>
      <c r="GD3" s="285" t="str">
        <f>'Data-temp_employment'!GD3</f>
        <v>2017Q4</v>
      </c>
      <c r="GE3" s="285" t="str">
        <f>'Data-temp_employment'!GE3</f>
        <v>2018Q1</v>
      </c>
      <c r="GF3" s="285" t="str">
        <f>'Data-temp_employment'!GF3</f>
        <v>2018Q2</v>
      </c>
      <c r="GG3" s="285" t="str">
        <f>'Data-temp_employment'!GG3</f>
        <v>GEO/TIME</v>
      </c>
      <c r="GH3" s="285" t="str">
        <f>'Data-temp_employment'!GH3</f>
        <v>2016Q1</v>
      </c>
      <c r="GI3" s="285" t="str">
        <f>'Data-temp_employment'!GI3</f>
        <v>2016Q2</v>
      </c>
      <c r="GJ3" s="285" t="str">
        <f>'Data-temp_employment'!GJ3</f>
        <v>2016Q3</v>
      </c>
      <c r="GK3" s="285" t="str">
        <f>'Data-temp_employment'!GK3</f>
        <v>2016Q4</v>
      </c>
      <c r="GL3" s="285" t="str">
        <f>'Data-temp_employment'!GL3</f>
        <v>2017Q1</v>
      </c>
      <c r="GM3" s="285" t="str">
        <f>'Data-temp_employment'!GM3</f>
        <v>2017Q2</v>
      </c>
      <c r="GN3" s="285" t="str">
        <f>'Data-temp_employment'!GN3</f>
        <v>2017Q3</v>
      </c>
      <c r="GO3" s="285" t="str">
        <f>'Data-temp_employment'!GO3</f>
        <v>2017Q4</v>
      </c>
      <c r="GP3" s="285" t="str">
        <f>'Data-temp_employment'!GP3</f>
        <v>2018Q1</v>
      </c>
      <c r="GQ3" s="285" t="str">
        <f>'Data-temp_employment'!GQ3</f>
        <v>2018Q2</v>
      </c>
      <c r="GR3" s="285" t="str">
        <f>'Data-temp_employment'!GR3</f>
        <v>GEO/TIME</v>
      </c>
      <c r="GS3" s="285" t="str">
        <f>'Data-temp_employment'!GS3</f>
        <v>2016Q1</v>
      </c>
      <c r="GT3" s="285" t="str">
        <f>'Data-temp_employment'!GT3</f>
        <v>2016Q2</v>
      </c>
      <c r="GU3" s="285" t="str">
        <f>'Data-temp_employment'!GU3</f>
        <v>2016Q3</v>
      </c>
      <c r="GV3" s="285" t="str">
        <f>'Data-temp_employment'!GV3</f>
        <v>2016Q4</v>
      </c>
      <c r="GW3" s="285" t="str">
        <f>'Data-temp_employment'!GW3</f>
        <v>2017Q1</v>
      </c>
      <c r="GX3" s="285" t="str">
        <f>'Data-temp_employment'!GX3</f>
        <v>2017Q2</v>
      </c>
      <c r="GY3" s="285" t="str">
        <f>'Data-temp_employment'!GY3</f>
        <v>2017Q3</v>
      </c>
      <c r="GZ3" s="285" t="str">
        <f>'Data-temp_employment'!GZ3</f>
        <v>2017Q4</v>
      </c>
      <c r="HA3" s="285" t="str">
        <f>'Data-temp_employment'!HA3</f>
        <v>2018Q1</v>
      </c>
      <c r="HB3" s="285" t="str">
        <f>'Data-temp_employment'!HB3</f>
        <v>2018Q2</v>
      </c>
      <c r="HC3" s="285" t="str">
        <f>'Data-temp_employment'!HC3</f>
        <v>GEO/TIME</v>
      </c>
      <c r="HD3" s="285" t="str">
        <f>'Data-temp_employment'!HD3</f>
        <v>2016Q1</v>
      </c>
      <c r="HE3" s="285" t="str">
        <f>'Data-temp_employment'!HE3</f>
        <v>2016Q2</v>
      </c>
      <c r="HF3" s="285" t="str">
        <f>'Data-temp_employment'!HF3</f>
        <v>2016Q3</v>
      </c>
      <c r="HG3" s="285" t="str">
        <f>'Data-temp_employment'!HG3</f>
        <v>2016Q4</v>
      </c>
      <c r="HH3" s="285" t="str">
        <f>'Data-temp_employment'!HH3</f>
        <v>2017Q1</v>
      </c>
      <c r="HI3" s="285" t="str">
        <f>'Data-temp_employment'!HI3</f>
        <v>2017Q2</v>
      </c>
      <c r="HJ3" s="285" t="str">
        <f>'Data-temp_employment'!HJ3</f>
        <v>2017Q3</v>
      </c>
      <c r="HK3" s="285" t="str">
        <f>'Data-temp_employment'!HK3</f>
        <v>2017Q4</v>
      </c>
      <c r="HL3" s="285" t="str">
        <f>'Data-temp_employment'!HL3</f>
        <v>2018Q1</v>
      </c>
      <c r="HM3" s="285" t="str">
        <f>'Data-temp_employment'!HM3</f>
        <v>2018Q2</v>
      </c>
      <c r="HN3" s="285" t="str">
        <f>'Data-temp_employment'!HN3</f>
        <v>GEO/TIME</v>
      </c>
      <c r="HO3" s="285" t="str">
        <f>'Data-temp_employment'!HO3</f>
        <v>2016Q1</v>
      </c>
      <c r="HP3" s="285" t="str">
        <f>'Data-temp_employment'!HP3</f>
        <v>2016Q2</v>
      </c>
      <c r="HQ3" s="285" t="str">
        <f>'Data-temp_employment'!HQ3</f>
        <v>2016Q3</v>
      </c>
      <c r="HR3" s="285" t="str">
        <f>'Data-temp_employment'!HR3</f>
        <v>2016Q4</v>
      </c>
      <c r="HS3" s="285" t="str">
        <f>'Data-temp_employment'!HS3</f>
        <v>2017Q1</v>
      </c>
      <c r="HT3" s="285" t="str">
        <f>'Data-temp_employment'!HT3</f>
        <v>2017Q2</v>
      </c>
      <c r="HU3" s="285" t="str">
        <f>'Data-temp_employment'!HU3</f>
        <v>2017Q3</v>
      </c>
      <c r="HV3" s="285" t="str">
        <f>'Data-temp_employment'!HV3</f>
        <v>2017Q4</v>
      </c>
      <c r="HW3" s="285" t="str">
        <f>'Data-temp_employment'!HW3</f>
        <v>2018Q1</v>
      </c>
      <c r="HX3" s="285" t="str">
        <f>'Data-temp_employment'!HX3</f>
        <v>2018Q2</v>
      </c>
      <c r="HY3" s="285" t="str">
        <f>'Data-temp_employment'!HY3</f>
        <v>GEO/TIME</v>
      </c>
      <c r="HZ3" s="285" t="str">
        <f>'Data-temp_employment'!HZ3</f>
        <v>2016Q1</v>
      </c>
      <c r="IA3" s="285" t="str">
        <f>'Data-temp_employment'!IA3</f>
        <v>2016Q2</v>
      </c>
      <c r="IB3" s="285" t="str">
        <f>'Data-temp_employment'!IB3</f>
        <v>2016Q3</v>
      </c>
      <c r="IC3" s="285" t="str">
        <f>'Data-temp_employment'!IC3</f>
        <v>2016Q4</v>
      </c>
      <c r="ID3" s="285" t="str">
        <f>'Data-temp_employment'!ID3</f>
        <v>2017Q1</v>
      </c>
      <c r="IE3" s="285" t="str">
        <f>'Data-temp_employment'!IE3</f>
        <v>2017Q2</v>
      </c>
      <c r="IF3" s="285" t="str">
        <f>'Data-temp_employment'!IF3</f>
        <v>2017Q3</v>
      </c>
      <c r="IG3" s="285" t="str">
        <f>'Data-temp_employment'!IG3</f>
        <v>2017Q4</v>
      </c>
      <c r="IH3" s="285" t="str">
        <f>'Data-temp_employment'!IH3</f>
        <v>2018Q1</v>
      </c>
      <c r="II3" s="285" t="str">
        <f>'Data-temp_employment'!II3</f>
        <v>2018Q2</v>
      </c>
      <c r="IJ3" s="285" t="str">
        <f>'Data-temp_employment'!IJ3</f>
        <v>GEO/TIME</v>
      </c>
      <c r="IK3" s="285" t="str">
        <f>'Data-temp_employment'!IK3</f>
        <v>2016Q1</v>
      </c>
      <c r="IL3" s="285" t="str">
        <f>'Data-temp_employment'!IL3</f>
        <v>2016Q2</v>
      </c>
      <c r="IM3" s="285" t="str">
        <f>'Data-temp_employment'!IM3</f>
        <v>2016Q3</v>
      </c>
      <c r="IN3" s="285" t="str">
        <f>'Data-temp_employment'!IN3</f>
        <v>2016Q4</v>
      </c>
      <c r="IO3" s="285" t="str">
        <f>'Data-temp_employment'!IO3</f>
        <v>2017Q1</v>
      </c>
      <c r="IP3" s="285" t="str">
        <f>'Data-temp_employment'!IP3</f>
        <v>2017Q2</v>
      </c>
      <c r="IQ3" s="285" t="str">
        <f>'Data-temp_employment'!IQ3</f>
        <v>2017Q3</v>
      </c>
      <c r="IR3" s="285" t="str">
        <f>'Data-temp_employment'!IR3</f>
        <v>2017Q4</v>
      </c>
      <c r="IS3" s="285" t="str">
        <f>'Data-temp_employment'!IS3</f>
        <v>2018Q1</v>
      </c>
      <c r="IT3" s="285" t="str">
        <f>'Data-temp_employment'!IT3</f>
        <v>2018Q2</v>
      </c>
      <c r="IU3" s="285" t="str">
        <f>'Data-temp_employment'!IU3</f>
        <v>GEO/TIME</v>
      </c>
      <c r="IV3" s="285" t="str">
        <f>'Data-temp_employment'!IV3</f>
        <v>2016Q1</v>
      </c>
      <c r="IW3" s="285" t="str">
        <f>'Data-temp_employment'!IW3</f>
        <v>2016Q2</v>
      </c>
      <c r="IX3" s="285" t="str">
        <f>'Data-temp_employment'!IX3</f>
        <v>2016Q3</v>
      </c>
      <c r="IY3" s="285" t="str">
        <f>'Data-temp_employment'!IY3</f>
        <v>2016Q4</v>
      </c>
      <c r="IZ3" s="285" t="str">
        <f>'Data-temp_employment'!IZ3</f>
        <v>2017Q1</v>
      </c>
      <c r="JA3" s="285" t="str">
        <f>'Data-temp_employment'!JA3</f>
        <v>2017Q2</v>
      </c>
      <c r="JB3" s="285" t="str">
        <f>'Data-temp_employment'!JB3</f>
        <v>2017Q3</v>
      </c>
      <c r="JC3" s="285" t="str">
        <f>'Data-temp_employment'!JC3</f>
        <v>2017Q4</v>
      </c>
      <c r="JD3" s="285" t="str">
        <f>'Data-temp_employment'!JD3</f>
        <v>2018Q1</v>
      </c>
      <c r="JE3" s="285" t="str">
        <f>'Data-temp_employment'!JE3</f>
        <v>2018Q2</v>
      </c>
      <c r="JF3" s="285" t="str">
        <f>'Data-temp_employment'!JF3</f>
        <v>GEO/TIME</v>
      </c>
      <c r="JG3" s="285" t="str">
        <f>'Data-temp_employment'!JG3</f>
        <v>2016Q1</v>
      </c>
      <c r="JH3" s="285" t="str">
        <f>'Data-temp_employment'!JH3</f>
        <v>2016Q2</v>
      </c>
      <c r="JI3" s="285" t="str">
        <f>'Data-temp_employment'!JI3</f>
        <v>2016Q3</v>
      </c>
      <c r="JJ3" s="285" t="str">
        <f>'Data-temp_employment'!JJ3</f>
        <v>2016Q4</v>
      </c>
      <c r="JK3" s="285" t="str">
        <f>'Data-temp_employment'!JK3</f>
        <v>2017Q1</v>
      </c>
      <c r="JL3" s="285" t="str">
        <f>'Data-temp_employment'!JL3</f>
        <v>2017Q2</v>
      </c>
      <c r="JM3" s="285" t="str">
        <f>'Data-temp_employment'!JM3</f>
        <v>2017Q3</v>
      </c>
      <c r="JN3" s="285" t="str">
        <f>'Data-temp_employment'!JN3</f>
        <v>2017Q4</v>
      </c>
      <c r="JO3" s="285" t="str">
        <f>'Data-temp_employment'!JO3</f>
        <v>2018Q1</v>
      </c>
      <c r="JP3" s="285" t="str">
        <f>'Data-temp_employment'!JP3</f>
        <v>2018Q2</v>
      </c>
      <c r="JQ3" s="285" t="str">
        <f>'Data-temp_employment'!JQ3</f>
        <v>GEO/TIME</v>
      </c>
      <c r="JR3" s="285" t="str">
        <f>'Data-temp_employment'!JR3</f>
        <v>2016Q1</v>
      </c>
      <c r="JS3" s="285" t="str">
        <f>'Data-temp_employment'!JS3</f>
        <v>2016Q2</v>
      </c>
      <c r="JT3" s="285" t="str">
        <f>'Data-temp_employment'!JT3</f>
        <v>2016Q3</v>
      </c>
      <c r="JU3" s="285" t="str">
        <f>'Data-temp_employment'!JU3</f>
        <v>2016Q4</v>
      </c>
      <c r="JV3" s="285" t="str">
        <f>'Data-temp_employment'!JV3</f>
        <v>2017Q1</v>
      </c>
      <c r="JW3" s="285" t="str">
        <f>'Data-temp_employment'!JW3</f>
        <v>2017Q2</v>
      </c>
      <c r="JX3" s="285" t="str">
        <f>'Data-temp_employment'!JX3</f>
        <v>2017Q3</v>
      </c>
      <c r="JY3" s="285" t="str">
        <f>'Data-temp_employment'!JY3</f>
        <v>2017Q4</v>
      </c>
      <c r="JZ3" s="285" t="str">
        <f>'Data-temp_employment'!JZ3</f>
        <v>2018Q1</v>
      </c>
      <c r="KA3" s="285" t="str">
        <f>'Data-temp_employment'!KA3</f>
        <v>2018Q2</v>
      </c>
      <c r="KB3" s="285" t="str">
        <f>'Data-temp_employment'!KB3</f>
        <v>GEO/TIME</v>
      </c>
      <c r="KC3" s="285" t="str">
        <f>'Data-temp_employment'!KC3</f>
        <v>2016Q1</v>
      </c>
      <c r="KD3" s="285" t="str">
        <f>'Data-temp_employment'!KD3</f>
        <v>2016Q2</v>
      </c>
      <c r="KE3" s="285" t="str">
        <f>'Data-temp_employment'!KE3</f>
        <v>2016Q3</v>
      </c>
      <c r="KF3" s="285" t="str">
        <f>'Data-temp_employment'!KF3</f>
        <v>2016Q4</v>
      </c>
      <c r="KG3" s="285" t="str">
        <f>'Data-temp_employment'!KG3</f>
        <v>2017Q1</v>
      </c>
      <c r="KH3" s="285" t="str">
        <f>'Data-temp_employment'!KH3</f>
        <v>2017Q2</v>
      </c>
      <c r="KI3" s="285" t="str">
        <f>'Data-temp_employment'!KI3</f>
        <v>2017Q3</v>
      </c>
      <c r="KJ3" s="285" t="str">
        <f>'Data-temp_employment'!KJ3</f>
        <v>2017Q4</v>
      </c>
      <c r="KK3" s="285" t="str">
        <f>'Data-temp_employment'!KK3</f>
        <v>2018Q1</v>
      </c>
      <c r="KL3" s="285" t="str">
        <f>'Data-temp_employment'!KL3</f>
        <v>2018Q2</v>
      </c>
      <c r="KM3" s="285" t="str">
        <f>'Data-temp_employment'!KM3</f>
        <v>GEO/TIME</v>
      </c>
      <c r="KN3" s="285" t="str">
        <f>'Data-temp_employment'!KN3</f>
        <v>2016Q1</v>
      </c>
      <c r="KO3" s="285" t="str">
        <f>'Data-temp_employment'!KO3</f>
        <v>2016Q2</v>
      </c>
      <c r="KP3" s="285" t="str">
        <f>'Data-temp_employment'!KP3</f>
        <v>2016Q3</v>
      </c>
      <c r="KQ3" s="285" t="str">
        <f>'Data-temp_employment'!KQ3</f>
        <v>2016Q4</v>
      </c>
      <c r="KR3" s="285" t="str">
        <f>'Data-temp_employment'!KR3</f>
        <v>2017Q1</v>
      </c>
      <c r="KS3" s="285" t="str">
        <f>'Data-temp_employment'!KS3</f>
        <v>2017Q2</v>
      </c>
      <c r="KT3" s="285" t="str">
        <f>'Data-temp_employment'!KT3</f>
        <v>2017Q3</v>
      </c>
      <c r="KU3" s="285" t="str">
        <f>'Data-temp_employment'!KU3</f>
        <v>2017Q4</v>
      </c>
      <c r="KV3" s="285" t="str">
        <f>'Data-temp_employment'!KV3</f>
        <v>2018Q1</v>
      </c>
      <c r="KW3" s="285" t="str">
        <f>'Data-temp_employment'!KW3</f>
        <v>2018Q2</v>
      </c>
      <c r="KX3" s="285" t="str">
        <f>'Data-temp_employment'!KX3</f>
        <v>GEO/TIME</v>
      </c>
      <c r="KY3" s="285" t="str">
        <f>'Data-temp_employment'!KY3</f>
        <v>2016Q1</v>
      </c>
      <c r="KZ3" s="285" t="str">
        <f>'Data-temp_employment'!KZ3</f>
        <v>2016Q2</v>
      </c>
      <c r="LA3" s="285" t="str">
        <f>'Data-temp_employment'!LA3</f>
        <v>2016Q3</v>
      </c>
      <c r="LB3" s="285" t="str">
        <f>'Data-temp_employment'!LB3</f>
        <v>2016Q4</v>
      </c>
      <c r="LC3" s="285" t="str">
        <f>'Data-temp_employment'!LC3</f>
        <v>2017Q1</v>
      </c>
      <c r="LD3" s="285" t="str">
        <f>'Data-temp_employment'!LD3</f>
        <v>2017Q2</v>
      </c>
      <c r="LE3" s="285" t="str">
        <f>'Data-temp_employment'!LE3</f>
        <v>2017Q3</v>
      </c>
      <c r="LF3" s="285" t="str">
        <f>'Data-temp_employment'!LF3</f>
        <v>2017Q4</v>
      </c>
      <c r="LG3" s="285" t="str">
        <f>'Data-temp_employment'!LG3</f>
        <v>2018Q1</v>
      </c>
      <c r="LH3" s="285" t="str">
        <f>'Data-temp_employment'!LH3</f>
        <v>2018Q2</v>
      </c>
      <c r="LI3" s="285" t="str">
        <f>'Data-temp_employment'!LI3</f>
        <v>GEO/TIME</v>
      </c>
      <c r="LJ3" s="285" t="str">
        <f>'Data-temp_employment'!LJ3</f>
        <v>2016Q1</v>
      </c>
      <c r="LK3" s="285" t="str">
        <f>'Data-temp_employment'!LK3</f>
        <v>2016Q2</v>
      </c>
      <c r="LL3" s="285" t="str">
        <f>'Data-temp_employment'!LL3</f>
        <v>2016Q3</v>
      </c>
      <c r="LM3" s="285" t="str">
        <f>'Data-temp_employment'!LM3</f>
        <v>2016Q4</v>
      </c>
      <c r="LN3" s="285" t="str">
        <f>'Data-temp_employment'!LN3</f>
        <v>2017Q1</v>
      </c>
      <c r="LO3" s="285" t="str">
        <f>'Data-temp_employment'!LO3</f>
        <v>2017Q2</v>
      </c>
      <c r="LP3" s="285" t="str">
        <f>'Data-temp_employment'!LP3</f>
        <v>2017Q3</v>
      </c>
      <c r="LQ3" s="285" t="str">
        <f>'Data-temp_employment'!LQ3</f>
        <v>2017Q4</v>
      </c>
      <c r="LR3" s="285" t="str">
        <f>'Data-temp_employment'!LR3</f>
        <v>2018Q1</v>
      </c>
      <c r="LS3" s="285" t="str">
        <f>'Data-temp_employment'!LS3</f>
        <v>2018Q2</v>
      </c>
      <c r="LT3" s="285" t="str">
        <f>'Data-temp_employment'!LT3</f>
        <v>GEO/TIME</v>
      </c>
      <c r="LU3" s="285" t="str">
        <f>'Data-temp_employment'!LU3</f>
        <v>2016Q1</v>
      </c>
      <c r="LV3" s="285" t="str">
        <f>'Data-temp_employment'!LV3</f>
        <v>2016Q2</v>
      </c>
      <c r="LW3" s="285" t="str">
        <f>'Data-temp_employment'!LW3</f>
        <v>2016Q3</v>
      </c>
      <c r="LX3" s="285" t="str">
        <f>'Data-temp_employment'!LX3</f>
        <v>2016Q4</v>
      </c>
      <c r="LY3" s="285" t="str">
        <f>'Data-temp_employment'!LY3</f>
        <v>2017Q1</v>
      </c>
      <c r="LZ3" s="285" t="str">
        <f>'Data-temp_employment'!LZ3</f>
        <v>2017Q2</v>
      </c>
      <c r="MA3" s="285" t="str">
        <f>'Data-temp_employment'!MA3</f>
        <v>2017Q3</v>
      </c>
      <c r="MB3" s="285" t="str">
        <f>'Data-temp_employment'!MB3</f>
        <v>2017Q4</v>
      </c>
      <c r="MC3" s="285" t="str">
        <f>'Data-temp_employment'!MC3</f>
        <v>2018Q1</v>
      </c>
      <c r="MD3" s="285" t="str">
        <f>'Data-temp_employment'!MD3</f>
        <v>2018Q2</v>
      </c>
      <c r="ME3" s="285" t="str">
        <f>'Data-temp_employment'!ME3</f>
        <v>GEO/TIME</v>
      </c>
      <c r="MF3" s="285" t="str">
        <f>'Data-temp_employment'!MF3</f>
        <v>2016Q1</v>
      </c>
      <c r="MG3" s="285" t="str">
        <f>'Data-temp_employment'!MG3</f>
        <v>2016Q2</v>
      </c>
      <c r="MH3" s="285" t="str">
        <f>'Data-temp_employment'!MH3</f>
        <v>2016Q3</v>
      </c>
      <c r="MI3" s="285" t="str">
        <f>'Data-temp_employment'!MI3</f>
        <v>2016Q4</v>
      </c>
      <c r="MJ3" s="285" t="str">
        <f>'Data-temp_employment'!MJ3</f>
        <v>2017Q1</v>
      </c>
      <c r="MK3" s="285" t="str">
        <f>'Data-temp_employment'!MK3</f>
        <v>2017Q2</v>
      </c>
      <c r="ML3" s="285" t="str">
        <f>'Data-temp_employment'!ML3</f>
        <v>2017Q3</v>
      </c>
      <c r="MM3" s="285" t="str">
        <f>'Data-temp_employment'!MM3</f>
        <v>2017Q4</v>
      </c>
      <c r="MN3" s="285" t="str">
        <f>'Data-temp_employment'!MN3</f>
        <v>2018Q1</v>
      </c>
      <c r="MO3" s="285" t="str">
        <f>'Data-temp_employment'!MO3</f>
        <v>2018Q2</v>
      </c>
      <c r="MP3" s="285" t="str">
        <f>'Data-temp_employment'!MP3</f>
        <v>GEO/TIME</v>
      </c>
      <c r="MQ3" s="285" t="str">
        <f>'Data-temp_employment'!MQ3</f>
        <v>2016Q1</v>
      </c>
      <c r="MR3" s="285" t="str">
        <f>'Data-temp_employment'!MR3</f>
        <v>2016Q2</v>
      </c>
      <c r="MS3" s="285" t="str">
        <f>'Data-temp_employment'!MS3</f>
        <v>2016Q3</v>
      </c>
      <c r="MT3" s="285" t="str">
        <f>'Data-temp_employment'!MT3</f>
        <v>2016Q4</v>
      </c>
      <c r="MU3" s="285" t="str">
        <f>'Data-temp_employment'!MU3</f>
        <v>2017Q1</v>
      </c>
      <c r="MV3" s="285" t="str">
        <f>'Data-temp_employment'!MV3</f>
        <v>2017Q2</v>
      </c>
      <c r="MW3" s="285" t="str">
        <f>'Data-temp_employment'!MW3</f>
        <v>2017Q3</v>
      </c>
      <c r="MX3" s="285" t="str">
        <f>'Data-temp_employment'!MX3</f>
        <v>2017Q4</v>
      </c>
      <c r="MY3" s="285" t="str">
        <f>'Data-temp_employment'!MY3</f>
        <v>2018Q1</v>
      </c>
      <c r="MZ3" s="285" t="str">
        <f>'Data-temp_employment'!MZ3</f>
        <v>2018Q2</v>
      </c>
      <c r="NA3" s="285" t="str">
        <f>'Data-temp_employment'!NA3</f>
        <v>GEO/TIME</v>
      </c>
      <c r="NB3" s="285" t="str">
        <f>'Data-temp_employment'!NB3</f>
        <v>2016Q1</v>
      </c>
      <c r="NC3" s="285" t="str">
        <f>'Data-temp_employment'!NC3</f>
        <v>2016Q2</v>
      </c>
      <c r="ND3" s="285" t="str">
        <f>'Data-temp_employment'!ND3</f>
        <v>2016Q3</v>
      </c>
      <c r="NE3" s="285" t="str">
        <f>'Data-temp_employment'!NE3</f>
        <v>2016Q4</v>
      </c>
      <c r="NF3" s="285" t="str">
        <f>'Data-temp_employment'!NF3</f>
        <v>2017Q1</v>
      </c>
      <c r="NG3" s="285" t="str">
        <f>'Data-temp_employment'!NG3</f>
        <v>2017Q2</v>
      </c>
      <c r="NH3" s="285" t="str">
        <f>'Data-temp_employment'!NH3</f>
        <v>2017Q3</v>
      </c>
      <c r="NI3" s="285" t="str">
        <f>'Data-temp_employment'!NI3</f>
        <v>2017Q4</v>
      </c>
      <c r="NJ3" s="285" t="str">
        <f>'Data-temp_employment'!NJ3</f>
        <v>2018Q1</v>
      </c>
      <c r="NK3" s="285" t="str">
        <f>'Data-temp_employment'!NK3</f>
        <v>2018Q2</v>
      </c>
      <c r="NL3" s="285" t="str">
        <f>'Data-temp_employment'!NL3</f>
        <v>GEO/TIME</v>
      </c>
      <c r="NM3" s="285" t="str">
        <f>'Data-temp_employment'!NM3</f>
        <v>2016Q1</v>
      </c>
      <c r="NN3" s="285" t="str">
        <f>'Data-temp_employment'!NN3</f>
        <v>2016Q2</v>
      </c>
      <c r="NO3" s="285" t="str">
        <f>'Data-temp_employment'!NO3</f>
        <v>2016Q3</v>
      </c>
      <c r="NP3" s="285" t="str">
        <f>'Data-temp_employment'!NP3</f>
        <v>2016Q4</v>
      </c>
      <c r="NQ3" s="285" t="str">
        <f>'Data-temp_employment'!NQ3</f>
        <v>2017Q1</v>
      </c>
      <c r="NR3" s="285" t="str">
        <f>'Data-temp_employment'!NR3</f>
        <v>2017Q2</v>
      </c>
      <c r="NS3" s="285" t="str">
        <f>'Data-temp_employment'!NS3</f>
        <v>2017Q3</v>
      </c>
      <c r="NT3" s="285" t="str">
        <f>'Data-temp_employment'!NT3</f>
        <v>2017Q4</v>
      </c>
      <c r="NU3" s="285" t="str">
        <f>'Data-temp_employment'!NU3</f>
        <v>2018Q1</v>
      </c>
      <c r="NV3" s="285" t="str">
        <f>'Data-temp_employment'!NV3</f>
        <v>2018Q2</v>
      </c>
      <c r="NW3" s="285" t="str">
        <f>'Data-temp_employment'!NW3</f>
        <v>GEO/TIME</v>
      </c>
      <c r="NX3" s="285" t="str">
        <f>'Data-temp_employment'!NX3</f>
        <v>2016Q1</v>
      </c>
      <c r="NY3" s="285" t="str">
        <f>'Data-temp_employment'!NY3</f>
        <v>2016Q2</v>
      </c>
      <c r="NZ3" s="285" t="str">
        <f>'Data-temp_employment'!NZ3</f>
        <v>2016Q3</v>
      </c>
      <c r="OA3" s="285" t="str">
        <f>'Data-temp_employment'!OA3</f>
        <v>2016Q4</v>
      </c>
      <c r="OB3" s="285" t="str">
        <f>'Data-temp_employment'!OB3</f>
        <v>2017Q1</v>
      </c>
      <c r="OC3" s="285" t="str">
        <f>'Data-temp_employment'!OC3</f>
        <v>2017Q2</v>
      </c>
      <c r="OD3" s="285" t="str">
        <f>'Data-temp_employment'!OD3</f>
        <v>2017Q3</v>
      </c>
      <c r="OE3" s="285" t="str">
        <f>'Data-temp_employment'!OE3</f>
        <v>2017Q4</v>
      </c>
      <c r="OF3" s="285" t="str">
        <f>'Data-temp_employment'!OF3</f>
        <v>2018Q1</v>
      </c>
      <c r="OG3" s="285" t="str">
        <f>'Data-temp_employment'!OG3</f>
        <v>2018Q2</v>
      </c>
      <c r="OH3" s="287" t="str">
        <f>'Data-temp_employment'!OH3</f>
        <v>GEO/TIME</v>
      </c>
      <c r="OI3" s="287" t="str">
        <f>'Data-temp_employment'!OI3</f>
        <v>2014Q3</v>
      </c>
      <c r="OJ3" s="287" t="str">
        <f>'Data-temp_employment'!OJ3</f>
        <v>2014Q4</v>
      </c>
      <c r="OK3" s="287" t="str">
        <f>'Data-temp_employment'!OK3</f>
        <v>2015Q1</v>
      </c>
      <c r="OL3" s="287" t="str">
        <f>'Data-temp_employment'!OL3</f>
        <v>2015Q2</v>
      </c>
      <c r="OM3" s="287" t="str">
        <f>'Data-temp_employment'!OM3</f>
        <v>2015Q3</v>
      </c>
      <c r="ON3" s="287" t="str">
        <f>'Data-temp_employment'!ON3</f>
        <v>2015Q4</v>
      </c>
      <c r="OO3" s="287" t="str">
        <f>'Data-temp_employment'!OO3</f>
        <v>2016Q1</v>
      </c>
      <c r="OP3" s="287" t="str">
        <f>'Data-temp_employment'!OP3</f>
        <v>2016Q2</v>
      </c>
      <c r="OQ3" s="287" t="str">
        <f>'Data-temp_employment'!OQ3</f>
        <v>2016Q3</v>
      </c>
      <c r="OR3" s="287" t="str">
        <f>'Data-temp_employment'!OR3</f>
        <v>2016Q4</v>
      </c>
      <c r="OS3" s="285" t="str">
        <f>'Data-temp_employment'!OS3</f>
        <v>GEO/TIME</v>
      </c>
      <c r="OT3" s="285" t="str">
        <f>'Data-temp_employment'!OT3</f>
        <v>2016Q1</v>
      </c>
      <c r="OU3" s="285" t="str">
        <f>'Data-temp_employment'!OU3</f>
        <v>2016Q2</v>
      </c>
      <c r="OV3" s="285" t="str">
        <f>'Data-temp_employment'!OV3</f>
        <v>2016Q3</v>
      </c>
      <c r="OW3" s="285" t="str">
        <f>'Data-temp_employment'!OW3</f>
        <v>2016Q4</v>
      </c>
      <c r="OX3" s="285" t="str">
        <f>'Data-temp_employment'!OX3</f>
        <v>2017Q1</v>
      </c>
      <c r="OY3" s="285" t="str">
        <f>'Data-temp_employment'!OY3</f>
        <v>2017Q2</v>
      </c>
      <c r="OZ3" s="285" t="str">
        <f>'Data-temp_employment'!OZ3</f>
        <v>2017Q3</v>
      </c>
      <c r="PA3" s="285" t="str">
        <f>'Data-temp_employment'!PA3</f>
        <v>2017Q4</v>
      </c>
      <c r="PB3" s="285" t="str">
        <f>'Data-temp_employment'!PB3</f>
        <v>2018Q1</v>
      </c>
      <c r="PC3" s="285" t="str">
        <f>'Data-temp_employment'!PC3</f>
        <v>2018Q2</v>
      </c>
      <c r="PE3" s="278"/>
      <c r="PF3" s="278"/>
      <c r="PG3" s="278"/>
      <c r="PH3" s="278"/>
      <c r="PI3" s="278"/>
      <c r="PJ3" s="278"/>
      <c r="PK3" s="278"/>
      <c r="PL3" s="278"/>
      <c r="PM3" s="278"/>
      <c r="PN3" s="278"/>
    </row>
    <row r="4" spans="1:484">
      <c r="A4" s="269">
        <v>1</v>
      </c>
      <c r="B4" s="285" t="s">
        <v>11</v>
      </c>
      <c r="C4" s="286">
        <f>'Data-temp_employment'!C4-last_qrtr_tempemp!D4</f>
        <v>-0.5</v>
      </c>
      <c r="D4" s="286">
        <f>'Data-temp_employment'!D4-last_qrtr_tempemp!E4</f>
        <v>-0.19999999999999929</v>
      </c>
      <c r="E4" s="286">
        <f>'Data-temp_employment'!E4-last_qrtr_tempemp!F4</f>
        <v>0.5</v>
      </c>
      <c r="F4" s="286">
        <f>'Data-temp_employment'!F4-last_qrtr_tempemp!G4</f>
        <v>0.60000000000000142</v>
      </c>
      <c r="G4" s="286">
        <f>'Data-temp_employment'!G4-last_qrtr_tempemp!H4</f>
        <v>-0.59999999999999964</v>
      </c>
      <c r="H4" s="286">
        <f>'Data-temp_employment'!H4-last_qrtr_tempemp!I4</f>
        <v>-0.19999999999999929</v>
      </c>
      <c r="I4" s="286">
        <f>'Data-temp_employment'!I4-last_qrtr_tempemp!J4</f>
        <v>0.60000000000000142</v>
      </c>
      <c r="J4" s="286">
        <f>'Data-temp_employment'!J4-last_qrtr_tempemp!K4</f>
        <v>0.5</v>
      </c>
      <c r="K4" s="286">
        <f>'Data-temp_employment'!K4-last_qrtr_tempemp!L4</f>
        <v>-0.5</v>
      </c>
      <c r="L4" s="286">
        <f>'Data-temp_employment'!L4</f>
        <v>14.3</v>
      </c>
      <c r="M4" s="285" t="s">
        <v>11</v>
      </c>
      <c r="N4" s="286">
        <f>'Data-temp_employment'!N4-last_qrtr_tempemp!O4</f>
        <v>-668.40000000000146</v>
      </c>
      <c r="O4" s="286">
        <f>'Data-temp_employment'!O4-last_qrtr_tempemp!P4</f>
        <v>-209.69999999999709</v>
      </c>
      <c r="P4" s="286">
        <f>'Data-temp_employment'!P4-last_qrtr_tempemp!Q4</f>
        <v>1222.3999999999978</v>
      </c>
      <c r="Q4" s="286">
        <f>'Data-temp_employment'!Q4-last_qrtr_tempemp!R4</f>
        <v>1514.0999999999985</v>
      </c>
      <c r="R4" s="286">
        <f>'Data-temp_employment'!R4-last_qrtr_tempemp!S4</f>
        <v>-942.39999999999782</v>
      </c>
      <c r="S4" s="286">
        <f>'Data-temp_employment'!S4-last_qrtr_tempemp!T4</f>
        <v>46.599999999998545</v>
      </c>
      <c r="T4" s="286">
        <f>'Data-temp_employment'!T4-last_qrtr_tempemp!U4</f>
        <v>1492.7000000000007</v>
      </c>
      <c r="U4" s="286">
        <f>'Data-temp_employment'!U4-last_qrtr_tempemp!V4</f>
        <v>1637.4000000000015</v>
      </c>
      <c r="V4" s="286">
        <f>'Data-temp_employment'!V4-last_qrtr_tempemp!W4</f>
        <v>-930.59999999999854</v>
      </c>
      <c r="W4" s="286">
        <f>'Data-temp_employment'!W4</f>
        <v>27443.599999999999</v>
      </c>
      <c r="X4" s="285" t="s">
        <v>11</v>
      </c>
      <c r="Y4" s="286">
        <f>'Data-temp_employment'!Y4-last_qrtr_tempemp!Z4</f>
        <v>-76.700000000000045</v>
      </c>
      <c r="Z4" s="286">
        <f>'Data-temp_employment'!Z4-last_qrtr_tempemp!AA4</f>
        <v>-63.799999999999955</v>
      </c>
      <c r="AA4" s="286">
        <f>'Data-temp_employment'!AA4-last_qrtr_tempemp!AB4</f>
        <v>92.099999999999909</v>
      </c>
      <c r="AB4" s="286">
        <f>'Data-temp_employment'!AB4-last_qrtr_tempemp!AC4</f>
        <v>74</v>
      </c>
      <c r="AC4" s="286">
        <f>'Data-temp_employment'!AC4-last_qrtr_tempemp!AD4</f>
        <v>-73.699999999999818</v>
      </c>
      <c r="AD4" s="286">
        <f>'Data-temp_employment'!AD4-last_qrtr_tempemp!AE4</f>
        <v>-6.5999999999999091</v>
      </c>
      <c r="AE4" s="286">
        <f>'Data-temp_employment'!AE4-last_qrtr_tempemp!AF4</f>
        <v>123.40000000000009</v>
      </c>
      <c r="AF4" s="286">
        <f>'Data-temp_employment'!AF4-last_qrtr_tempemp!AG4</f>
        <v>63.799999999999955</v>
      </c>
      <c r="AG4" s="286">
        <f>'Data-temp_employment'!AG4-last_qrtr_tempemp!AH4</f>
        <v>-123.09999999999991</v>
      </c>
      <c r="AH4" s="286">
        <f>'Data-temp_employment'!AH4</f>
        <v>1304.3</v>
      </c>
      <c r="AI4" s="279" t="s">
        <v>11</v>
      </c>
      <c r="AJ4" s="286">
        <f>'Data-temp_employment'!AJ4-last_qrtr_tempemp!AK4</f>
        <v>-305.90000000000009</v>
      </c>
      <c r="AK4" s="286">
        <f>'Data-temp_employment'!AK4-last_qrtr_tempemp!AL4</f>
        <v>-956.40000000000009</v>
      </c>
      <c r="AL4" s="286">
        <f>'Data-temp_employment'!AL4-last_qrtr_tempemp!AM4</f>
        <v>782.5</v>
      </c>
      <c r="AM4" s="286">
        <f>'Data-temp_employment'!AM4-last_qrtr_tempemp!AN4</f>
        <v>485.5</v>
      </c>
      <c r="AN4" s="286">
        <f>'Data-temp_employment'!AN4-last_qrtr_tempemp!AO4</f>
        <v>-286</v>
      </c>
      <c r="AO4" s="286">
        <f>'Data-temp_employment'!AO4-last_qrtr_tempemp!AP4</f>
        <v>-813.59999999999991</v>
      </c>
      <c r="AP4" s="286">
        <f>'Data-temp_employment'!AP4-last_qrtr_tempemp!AQ4</f>
        <v>875.19999999999982</v>
      </c>
      <c r="AQ4" s="286">
        <f>'Data-temp_employment'!AQ4-last_qrtr_tempemp!AR4</f>
        <v>469.30000000000018</v>
      </c>
      <c r="AR4" s="286">
        <f>'Data-temp_employment'!AR4-last_qrtr_tempemp!AS4</f>
        <v>-288.69999999999982</v>
      </c>
      <c r="AS4" s="286">
        <f>'Data-temp_employment'!AS4</f>
        <v>2970.3</v>
      </c>
      <c r="AT4" s="279" t="s">
        <v>11</v>
      </c>
      <c r="AU4" s="286">
        <f>'Data-temp_employment'!AU4-last_qrtr_tempemp!AV4</f>
        <v>-521.79999999999973</v>
      </c>
      <c r="AV4" s="286">
        <f>'Data-temp_employment'!AV4-last_qrtr_tempemp!AW4</f>
        <v>-230.09999999999945</v>
      </c>
      <c r="AW4" s="286">
        <f>'Data-temp_employment'!AW4-last_qrtr_tempemp!AX4</f>
        <v>343.79999999999973</v>
      </c>
      <c r="AX4" s="286">
        <f>'Data-temp_employment'!AX4-last_qrtr_tempemp!AY4</f>
        <v>231.79999999999973</v>
      </c>
      <c r="AY4" s="286">
        <f>'Data-temp_employment'!AY4-last_qrtr_tempemp!AZ4</f>
        <v>-564</v>
      </c>
      <c r="AZ4" s="286">
        <f>'Data-temp_employment'!AZ4-last_qrtr_tempemp!BA4</f>
        <v>-105.40000000000055</v>
      </c>
      <c r="BA4" s="286">
        <f>'Data-temp_employment'!BA4-last_qrtr_tempemp!BB4</f>
        <v>756.60000000000036</v>
      </c>
      <c r="BB4" s="286">
        <f>'Data-temp_employment'!BB4-last_qrtr_tempemp!BC4</f>
        <v>529.59999999999991</v>
      </c>
      <c r="BC4" s="286">
        <f>'Data-temp_employment'!BC4-last_qrtr_tempemp!BD4</f>
        <v>-380.60000000000036</v>
      </c>
      <c r="BD4" s="286">
        <f>'Data-temp_employment'!BD4</f>
        <v>4244</v>
      </c>
      <c r="BE4" s="279" t="s">
        <v>11</v>
      </c>
      <c r="BF4" s="286">
        <f>'Data-temp_employment'!BF4-last_qrtr_tempemp!BG4</f>
        <v>13.300000000000182</v>
      </c>
      <c r="BG4" s="286">
        <f>'Data-temp_employment'!BG4-last_qrtr_tempemp!BH4</f>
        <v>497.39999999999964</v>
      </c>
      <c r="BH4" s="286">
        <f>'Data-temp_employment'!BH4-last_qrtr_tempemp!BI4</f>
        <v>-75.100000000000364</v>
      </c>
      <c r="BI4" s="286">
        <f>'Data-temp_employment'!BI4-last_qrtr_tempemp!BJ4</f>
        <v>160.30000000000018</v>
      </c>
      <c r="BJ4" s="286">
        <f>'Data-temp_employment'!BJ4-last_qrtr_tempemp!BK4</f>
        <v>-48.800000000000182</v>
      </c>
      <c r="BK4" s="286">
        <f>'Data-temp_employment'!BK4-last_qrtr_tempemp!BL4</f>
        <v>676.39999999999964</v>
      </c>
      <c r="BL4" s="286">
        <f>'Data-temp_employment'!BL4-last_qrtr_tempemp!BM4</f>
        <v>34.100000000000364</v>
      </c>
      <c r="BM4" s="286">
        <f>'Data-temp_employment'!BM4-last_qrtr_tempemp!BN4</f>
        <v>368.5</v>
      </c>
      <c r="BN4" s="286">
        <f>'Data-temp_employment'!BN4-last_qrtr_tempemp!BO4</f>
        <v>-122.40000000000055</v>
      </c>
      <c r="BO4" s="286">
        <f>'Data-temp_employment'!BO4</f>
        <v>7135.8</v>
      </c>
      <c r="BP4" s="282" t="s">
        <v>11</v>
      </c>
      <c r="BQ4" s="286">
        <f>'Data-temp_employment'!BQ4-last_qrtr_tempemp!BR4</f>
        <v>71</v>
      </c>
      <c r="BR4" s="286">
        <f>'Data-temp_employment'!BR4-last_qrtr_tempemp!BS4</f>
        <v>98</v>
      </c>
      <c r="BS4" s="286">
        <f>'Data-temp_employment'!BS4-last_qrtr_tempemp!BT4</f>
        <v>118.09999999999991</v>
      </c>
      <c r="BT4" s="286">
        <f>'Data-temp_employment'!BT4-last_qrtr_tempemp!BU4</f>
        <v>99.199999999999818</v>
      </c>
      <c r="BU4" s="286">
        <f>'Data-temp_employment'!BU4-last_qrtr_tempemp!BV4</f>
        <v>27.299999999999272</v>
      </c>
      <c r="BV4" s="286">
        <f>'Data-temp_employment'!BV4-last_qrtr_tempemp!BW4</f>
        <v>125.09999999999991</v>
      </c>
      <c r="BW4" s="286">
        <f>'Data-temp_employment'!BW4-last_qrtr_tempemp!BX4</f>
        <v>11.400000000000091</v>
      </c>
      <c r="BX4" s="286">
        <f>'Data-temp_employment'!BX4-last_qrtr_tempemp!BY4</f>
        <v>-29.699999999999818</v>
      </c>
      <c r="BY4" s="286">
        <f>'Data-temp_employment'!BY4-last_qrtr_tempemp!BZ4</f>
        <v>-131.20000000000027</v>
      </c>
      <c r="BZ4" s="286">
        <f>'Data-temp_employment'!BZ4</f>
        <v>2885.2</v>
      </c>
      <c r="CA4" s="282" t="s">
        <v>11</v>
      </c>
      <c r="CB4" s="286">
        <f>'Data-temp_employment'!CB4-last_qrtr_tempemp!CC4</f>
        <v>146.19999999999982</v>
      </c>
      <c r="CC4" s="286">
        <f>'Data-temp_employment'!CC4-last_qrtr_tempemp!CD4</f>
        <v>24.799999999999272</v>
      </c>
      <c r="CD4" s="286">
        <f>'Data-temp_employment'!CD4-last_qrtr_tempemp!CE4</f>
        <v>-213.90000000000055</v>
      </c>
      <c r="CE4" s="286">
        <f>'Data-temp_employment'!CE4-last_qrtr_tempemp!CF4</f>
        <v>77.999999999999091</v>
      </c>
      <c r="CF4" s="286">
        <f>'Data-temp_employment'!CF4-last_qrtr_tempemp!CG4</f>
        <v>23</v>
      </c>
      <c r="CG4" s="286">
        <f>'Data-temp_employment'!CG4-last_qrtr_tempemp!CH4</f>
        <v>-11</v>
      </c>
      <c r="CH4" s="286">
        <f>'Data-temp_employment'!CH4-last_qrtr_tempemp!CI4</f>
        <v>-246.10000000000036</v>
      </c>
      <c r="CI4" s="286">
        <f>'Data-temp_employment'!CI4-last_qrtr_tempemp!CJ4</f>
        <v>37.100000000000364</v>
      </c>
      <c r="CJ4" s="286">
        <f>'Data-temp_employment'!CJ4-last_qrtr_tempemp!CK4</f>
        <v>73</v>
      </c>
      <c r="CK4" s="286">
        <f>'Data-temp_employment'!CK4</f>
        <v>4054.1</v>
      </c>
      <c r="CL4" s="285" t="s">
        <v>11</v>
      </c>
      <c r="CM4" s="286">
        <f>'Data-temp_employment'!CM4-last_qrtr_tempemp!CN4</f>
        <v>-283.19999999999982</v>
      </c>
      <c r="CN4" s="286">
        <f>'Data-temp_employment'!CN4-last_qrtr_tempemp!CO4</f>
        <v>-209.70000000000073</v>
      </c>
      <c r="CO4" s="286">
        <f>'Data-temp_employment'!CO4-last_qrtr_tempemp!CP4</f>
        <v>253.5</v>
      </c>
      <c r="CP4" s="286">
        <f>'Data-temp_employment'!CP4-last_qrtr_tempemp!CQ4</f>
        <v>592.89999999999964</v>
      </c>
      <c r="CQ4" s="286">
        <f>'Data-temp_employment'!CQ4-last_qrtr_tempemp!CR4</f>
        <v>-279.59999999999945</v>
      </c>
      <c r="CR4" s="286">
        <f>'Data-temp_employment'!CR4-last_qrtr_tempemp!CS4</f>
        <v>103.89999999999964</v>
      </c>
      <c r="CS4" s="286">
        <f>'Data-temp_employment'!CS4-last_qrtr_tempemp!CT4</f>
        <v>531.79999999999927</v>
      </c>
      <c r="CT4" s="286">
        <f>'Data-temp_employment'!CT4-last_qrtr_tempemp!CU4</f>
        <v>570</v>
      </c>
      <c r="CU4" s="286">
        <f>'Data-temp_employment'!CU4-last_qrtr_tempemp!CV4</f>
        <v>-326.39999999999964</v>
      </c>
      <c r="CV4" s="286">
        <f>'Data-temp_employment'!CV4</f>
        <v>7276.3</v>
      </c>
      <c r="CW4" s="285" t="s">
        <v>11</v>
      </c>
      <c r="CX4" s="286">
        <f>'Data-temp_employment'!CX4-last_qrtr_tempemp!CY4</f>
        <v>-397.10000000000036</v>
      </c>
      <c r="CY4" s="286">
        <f>'Data-temp_employment'!CY4-last_qrtr_tempemp!CZ4</f>
        <v>-205.69999999999891</v>
      </c>
      <c r="CZ4" s="286">
        <f>'Data-temp_employment'!CZ4-last_qrtr_tempemp!DA4</f>
        <v>821.79999999999927</v>
      </c>
      <c r="DA4" s="286">
        <f>'Data-temp_employment'!DA4-last_qrtr_tempemp!DB4</f>
        <v>663.19999999999891</v>
      </c>
      <c r="DB4" s="286">
        <f>'Data-temp_employment'!DB4-last_qrtr_tempemp!DC4</f>
        <v>-623</v>
      </c>
      <c r="DC4" s="286">
        <f>'Data-temp_employment'!DC4-last_qrtr_tempemp!DD4</f>
        <v>-323</v>
      </c>
      <c r="DD4" s="286">
        <f>'Data-temp_employment'!DD4-last_qrtr_tempemp!DE4</f>
        <v>642.10000000000036</v>
      </c>
      <c r="DE4" s="286">
        <f>'Data-temp_employment'!DE4-last_qrtr_tempemp!DF4</f>
        <v>657.59999999999854</v>
      </c>
      <c r="DF4" s="286">
        <f>'Data-temp_employment'!DF4-last_qrtr_tempemp!DG4</f>
        <v>-569.70000000000073</v>
      </c>
      <c r="DG4" s="286">
        <f>'Data-temp_employment'!DG4</f>
        <v>12205.2</v>
      </c>
      <c r="DH4" s="285" t="s">
        <v>11</v>
      </c>
      <c r="DI4" s="286">
        <f>'Data-temp_employment'!DI4-last_qrtr_tempemp!DJ4</f>
        <v>-1.5</v>
      </c>
      <c r="DJ4" s="286">
        <f>'Data-temp_employment'!DJ4-last_qrtr_tempemp!DK4</f>
        <v>194.20000000000073</v>
      </c>
      <c r="DK4" s="286">
        <f>'Data-temp_employment'!DK4-last_qrtr_tempemp!DL4</f>
        <v>129.59999999999945</v>
      </c>
      <c r="DL4" s="286">
        <f>'Data-temp_employment'!DL4-last_qrtr_tempemp!DM4</f>
        <v>251.79999999999927</v>
      </c>
      <c r="DM4" s="286">
        <f>'Data-temp_employment'!DM4-last_qrtr_tempemp!DN4</f>
        <v>-46.299999999999272</v>
      </c>
      <c r="DN4" s="286">
        <f>'Data-temp_employment'!DN4-last_qrtr_tempemp!DO4</f>
        <v>264.19999999999982</v>
      </c>
      <c r="DO4" s="286">
        <f>'Data-temp_employment'!DO4-last_qrtr_tempemp!DP4</f>
        <v>308.80000000000018</v>
      </c>
      <c r="DP4" s="286">
        <f>'Data-temp_employment'!DP4-last_qrtr_tempemp!DQ4</f>
        <v>413.80000000000018</v>
      </c>
      <c r="DQ4" s="286">
        <f>'Data-temp_employment'!DQ4-last_qrtr_tempemp!DR4</f>
        <v>-35.100000000000364</v>
      </c>
      <c r="DR4" s="286">
        <f>'Data-temp_employment'!DR4</f>
        <v>7894.9</v>
      </c>
      <c r="DS4" s="285" t="s">
        <v>11</v>
      </c>
      <c r="DT4" s="286">
        <f>'Data-temp_employment'!DT4-last_qrtr_tempemp!DU4</f>
        <v>13.400000000000006</v>
      </c>
      <c r="DU4" s="286">
        <f>'Data-temp_employment'!DU4-last_qrtr_tempemp!DV4</f>
        <v>11.5</v>
      </c>
      <c r="DV4" s="286">
        <f>'Data-temp_employment'!DV4-last_qrtr_tempemp!DW4</f>
        <v>17.400000000000006</v>
      </c>
      <c r="DW4" s="286">
        <f>'Data-temp_employment'!DW4-last_qrtr_tempemp!DX4</f>
        <v>6.2999999999999972</v>
      </c>
      <c r="DX4" s="286">
        <f>'Data-temp_employment'!DX4-last_qrtr_tempemp!DY4</f>
        <v>6.4000000000000057</v>
      </c>
      <c r="DY4" s="286">
        <f>'Data-temp_employment'!DY4-last_qrtr_tempemp!DZ4</f>
        <v>1.5999999999999943</v>
      </c>
      <c r="DZ4" s="286">
        <f>'Data-temp_employment'!DZ4-last_qrtr_tempemp!EA4</f>
        <v>10.100000000000009</v>
      </c>
      <c r="EA4" s="286">
        <f>'Data-temp_employment'!EA4-last_qrtr_tempemp!EB4</f>
        <v>-3.9000000000000057</v>
      </c>
      <c r="EB4" s="286">
        <f>'Data-temp_employment'!EB4-last_qrtr_tempemp!EC4</f>
        <v>0.40000000000000568</v>
      </c>
      <c r="EC4" s="286">
        <f>'Data-temp_employment'!EC4</f>
        <v>67.2</v>
      </c>
      <c r="ED4" s="279" t="s">
        <v>11</v>
      </c>
      <c r="EE4" s="286">
        <f>'Data-temp_employment'!EE4-last_qrtr_tempemp!EF4</f>
        <v>-9.9999999999965894E-2</v>
      </c>
      <c r="EF4" s="286">
        <f>'Data-temp_employment'!EF4-last_qrtr_tempemp!EG4</f>
        <v>19.600000000000023</v>
      </c>
      <c r="EG4" s="286">
        <f>'Data-temp_employment'!EG4-last_qrtr_tempemp!EH4</f>
        <v>37.399999999999977</v>
      </c>
      <c r="EH4" s="286">
        <f>'Data-temp_employment'!EH4-last_qrtr_tempemp!EI4</f>
        <v>29.100000000000023</v>
      </c>
      <c r="EI4" s="286">
        <f>'Data-temp_employment'!EI4-last_qrtr_tempemp!EJ4</f>
        <v>-16.299999999999955</v>
      </c>
      <c r="EJ4" s="286">
        <f>'Data-temp_employment'!EJ4-last_qrtr_tempemp!EK4</f>
        <v>-45.800000000000011</v>
      </c>
      <c r="EK4" s="286">
        <f>'Data-temp_employment'!EK4-last_qrtr_tempemp!EL4</f>
        <v>8.5999999999999659</v>
      </c>
      <c r="EL4" s="286">
        <f>'Data-temp_employment'!EL4-last_qrtr_tempemp!EM4</f>
        <v>19</v>
      </c>
      <c r="EM4" s="286">
        <f>'Data-temp_employment'!EM4-last_qrtr_tempemp!EN4</f>
        <v>-5.1000000000000227</v>
      </c>
      <c r="EN4" s="286">
        <f>'Data-temp_employment'!EN4</f>
        <v>294.10000000000002</v>
      </c>
      <c r="EO4" s="279" t="s">
        <v>11</v>
      </c>
      <c r="EP4" s="286">
        <f>'Data-temp_employment'!EP4-last_qrtr_tempemp!EQ4</f>
        <v>135</v>
      </c>
      <c r="EQ4" s="286">
        <f>'Data-temp_employment'!EQ4-last_qrtr_tempemp!ER4</f>
        <v>419.40000000000009</v>
      </c>
      <c r="ER4" s="286">
        <f>'Data-temp_employment'!ER4-last_qrtr_tempemp!ES4</f>
        <v>-131.5</v>
      </c>
      <c r="ES4" s="286">
        <f>'Data-temp_employment'!ES4-last_qrtr_tempemp!ET4</f>
        <v>50.900000000000091</v>
      </c>
      <c r="ET4" s="286">
        <f>'Data-temp_employment'!ET4-last_qrtr_tempemp!EU4</f>
        <v>-18.600000000000364</v>
      </c>
      <c r="EU4" s="286">
        <f>'Data-temp_employment'!EU4-last_qrtr_tempemp!EV4</f>
        <v>401.40000000000009</v>
      </c>
      <c r="EV4" s="286">
        <f>'Data-temp_employment'!EV4-last_qrtr_tempemp!EW4</f>
        <v>-173.39999999999964</v>
      </c>
      <c r="EW4" s="286">
        <f>'Data-temp_employment'!EW4-last_qrtr_tempemp!EX4</f>
        <v>115.19999999999982</v>
      </c>
      <c r="EX4" s="286">
        <f>'Data-temp_employment'!EX4-last_qrtr_tempemp!EY4</f>
        <v>30.699999999999818</v>
      </c>
      <c r="EY4" s="286">
        <f>'Data-temp_employment'!EY4</f>
        <v>4330.3999999999996</v>
      </c>
      <c r="EZ4" s="279" t="s">
        <v>11</v>
      </c>
      <c r="FA4" s="286">
        <f>'Data-temp_employment'!FA4-last_qrtr_tempemp!FB4</f>
        <v>6.1999999999998181</v>
      </c>
      <c r="FB4" s="286">
        <f>'Data-temp_employment'!FB4-last_qrtr_tempemp!FC4</f>
        <v>84.400000000000091</v>
      </c>
      <c r="FC4" s="286">
        <f>'Data-temp_employment'!FC4-last_qrtr_tempemp!FD4</f>
        <v>53</v>
      </c>
      <c r="FD4" s="286">
        <f>'Data-temp_employment'!FD4-last_qrtr_tempemp!FE4</f>
        <v>73.699999999999818</v>
      </c>
      <c r="FE4" s="286">
        <f>'Data-temp_employment'!FE4-last_qrtr_tempemp!FF4</f>
        <v>-66.599999999999909</v>
      </c>
      <c r="FF4" s="286">
        <f>'Data-temp_employment'!FF4-last_qrtr_tempemp!FG4</f>
        <v>80.099999999999909</v>
      </c>
      <c r="FG4" s="286">
        <f>'Data-temp_employment'!FG4-last_qrtr_tempemp!FH4</f>
        <v>132.09999999999991</v>
      </c>
      <c r="FH4" s="286">
        <f>'Data-temp_employment'!FH4-last_qrtr_tempemp!FI4</f>
        <v>235.09999999999991</v>
      </c>
      <c r="FI4" s="286">
        <f>'Data-temp_employment'!FI4-last_qrtr_tempemp!FJ4</f>
        <v>51.699999999999818</v>
      </c>
      <c r="FJ4" s="286">
        <f>'Data-temp_employment'!FJ4</f>
        <v>3538.3</v>
      </c>
      <c r="FK4" s="279" t="s">
        <v>11</v>
      </c>
      <c r="FL4" s="286">
        <f>'Data-temp_employment'!FL4-last_qrtr_tempemp!FM4</f>
        <v>-82.900000000000091</v>
      </c>
      <c r="FM4" s="286">
        <f>'Data-temp_employment'!FM4-last_qrtr_tempemp!FN4</f>
        <v>-95.5</v>
      </c>
      <c r="FN4" s="286">
        <f>'Data-temp_employment'!FN4-last_qrtr_tempemp!FO4</f>
        <v>103.70000000000027</v>
      </c>
      <c r="FO4" s="286">
        <f>'Data-temp_employment'!FO4-last_qrtr_tempemp!FP4</f>
        <v>149.09999999999991</v>
      </c>
      <c r="FP4" s="286">
        <f>'Data-temp_employment'!FP4-last_qrtr_tempemp!FQ4</f>
        <v>27.400000000000091</v>
      </c>
      <c r="FQ4" s="286">
        <f>'Data-temp_employment'!FQ4-last_qrtr_tempemp!FR4</f>
        <v>18.099999999999909</v>
      </c>
      <c r="FR4" s="286">
        <f>'Data-temp_employment'!FR4-last_qrtr_tempemp!FS4</f>
        <v>209.10000000000036</v>
      </c>
      <c r="FS4" s="286">
        <f>'Data-temp_employment'!FS4-last_qrtr_tempemp!FT4</f>
        <v>139.20000000000027</v>
      </c>
      <c r="FT4" s="286">
        <f>'Data-temp_employment'!FT4-last_qrtr_tempemp!FU4</f>
        <v>-93</v>
      </c>
      <c r="FU4" s="286">
        <f>'Data-temp_employment'!FU4</f>
        <v>2704.1</v>
      </c>
      <c r="FV4" s="279" t="s">
        <v>11</v>
      </c>
      <c r="FW4" s="286">
        <f>'Data-temp_employment'!FW4-last_qrtr_tempemp!FX4</f>
        <v>-256.80000000000018</v>
      </c>
      <c r="FX4" s="286">
        <f>'Data-temp_employment'!FX4-last_qrtr_tempemp!FY4</f>
        <v>-251</v>
      </c>
      <c r="FY4" s="286">
        <f>'Data-temp_employment'!FY4-last_qrtr_tempemp!FZ4</f>
        <v>599.30000000000018</v>
      </c>
      <c r="FZ4" s="286">
        <f>'Data-temp_employment'!FZ4-last_qrtr_tempemp!GA4</f>
        <v>433</v>
      </c>
      <c r="GA4" s="286">
        <f>'Data-temp_employment'!GA4-last_qrtr_tempemp!GB4</f>
        <v>-362.80000000000018</v>
      </c>
      <c r="GB4" s="286">
        <f>'Data-temp_employment'!GB4-last_qrtr_tempemp!GC4</f>
        <v>-267.19999999999982</v>
      </c>
      <c r="GC4" s="286">
        <f>'Data-temp_employment'!GC4-last_qrtr_tempemp!GD4</f>
        <v>620.80000000000018</v>
      </c>
      <c r="GD4" s="286">
        <f>'Data-temp_employment'!GD4-last_qrtr_tempemp!GE4</f>
        <v>301.30000000000018</v>
      </c>
      <c r="GE4" s="286">
        <f>'Data-temp_employment'!GE4-last_qrtr_tempemp!GF4</f>
        <v>-370.79999999999927</v>
      </c>
      <c r="GF4" s="286">
        <f>'Data-temp_employment'!GF4</f>
        <v>5831.7</v>
      </c>
      <c r="GG4" s="279" t="s">
        <v>11</v>
      </c>
      <c r="GH4" s="286">
        <f>'Data-temp_employment'!GH4-last_qrtr_tempemp!GI4</f>
        <v>-69</v>
      </c>
      <c r="GI4" s="286">
        <f>'Data-temp_employment'!GI4-last_qrtr_tempemp!GJ4</f>
        <v>-42.800000000000011</v>
      </c>
      <c r="GJ4" s="286">
        <f>'Data-temp_employment'!GJ4-last_qrtr_tempemp!GK4</f>
        <v>52.800000000000011</v>
      </c>
      <c r="GK4" s="286">
        <f>'Data-temp_employment'!GK4-last_qrtr_tempemp!GL4</f>
        <v>6.3000000000000114</v>
      </c>
      <c r="GL4" s="286">
        <f>'Data-temp_employment'!GL4-last_qrtr_tempemp!GM4</f>
        <v>-64.600000000000023</v>
      </c>
      <c r="GM4" s="286">
        <f>'Data-temp_employment'!GM4-last_qrtr_tempemp!GN4</f>
        <v>0</v>
      </c>
      <c r="GN4" s="286">
        <f>'Data-temp_employment'!GN4-last_qrtr_tempemp!GO4</f>
        <v>102.70000000000005</v>
      </c>
      <c r="GO4" s="286">
        <f>'Data-temp_employment'!GO4-last_qrtr_tempemp!GP4</f>
        <v>19.899999999999977</v>
      </c>
      <c r="GP4" s="286">
        <f>'Data-temp_employment'!GP4-last_qrtr_tempemp!GQ4</f>
        <v>-85.300000000000011</v>
      </c>
      <c r="GQ4" s="286">
        <f>'Data-temp_employment'!GQ4</f>
        <v>478.8</v>
      </c>
      <c r="GR4" s="279" t="s">
        <v>11</v>
      </c>
      <c r="GS4" s="286">
        <f>'Data-temp_employment'!GS4-last_qrtr_tempemp!GT4</f>
        <v>-68.799999999999727</v>
      </c>
      <c r="GT4" s="286">
        <f>'Data-temp_employment'!GT4-last_qrtr_tempemp!GU4</f>
        <v>-9.8000000000001819</v>
      </c>
      <c r="GU4" s="286">
        <f>'Data-temp_employment'!GU4-last_qrtr_tempemp!GV4</f>
        <v>46.400000000000091</v>
      </c>
      <c r="GV4" s="286">
        <f>'Data-temp_employment'!GV4-last_qrtr_tempemp!GW4</f>
        <v>196.89999999999964</v>
      </c>
      <c r="GW4" s="286">
        <f>'Data-temp_employment'!GW4-last_qrtr_tempemp!GX4</f>
        <v>-159.30000000000018</v>
      </c>
      <c r="GX4" s="286">
        <f>'Data-temp_employment'!GX4-last_qrtr_tempemp!GY4</f>
        <v>-23.599999999999909</v>
      </c>
      <c r="GY4" s="286">
        <f>'Data-temp_employment'!GY4-last_qrtr_tempemp!GZ4</f>
        <v>18</v>
      </c>
      <c r="GZ4" s="286">
        <f>'Data-temp_employment'!GZ4-last_qrtr_tempemp!HA4</f>
        <v>218.5</v>
      </c>
      <c r="HA4" s="286">
        <f>'Data-temp_employment'!HA4-last_qrtr_tempemp!HB4</f>
        <v>-126.09999999999991</v>
      </c>
      <c r="HB4" s="286">
        <f>'Data-temp_employment'!HB4</f>
        <v>3201.2</v>
      </c>
      <c r="HC4" s="279" t="s">
        <v>11</v>
      </c>
      <c r="HD4" s="286">
        <f>'Data-temp_employment'!HD4-last_qrtr_tempemp!HE4</f>
        <v>-121.79999999999973</v>
      </c>
      <c r="HE4" s="286">
        <f>'Data-temp_employment'!HE4-last_qrtr_tempemp!HF4</f>
        <v>-20.5</v>
      </c>
      <c r="HF4" s="286">
        <f>'Data-temp_employment'!HF4-last_qrtr_tempemp!HG4</f>
        <v>150.29999999999995</v>
      </c>
      <c r="HG4" s="286">
        <f>'Data-temp_employment'!HG4-last_qrtr_tempemp!HH4</f>
        <v>177.49999999999977</v>
      </c>
      <c r="HH4" s="286">
        <f>'Data-temp_employment'!HH4-last_qrtr_tempemp!HI4</f>
        <v>-105.80000000000018</v>
      </c>
      <c r="HI4" s="286">
        <f>'Data-temp_employment'!HI4-last_qrtr_tempemp!HJ4</f>
        <v>0.90000000000009095</v>
      </c>
      <c r="HJ4" s="286">
        <f>'Data-temp_employment'!HJ4-last_qrtr_tempemp!HK4</f>
        <v>143</v>
      </c>
      <c r="HK4" s="286">
        <f>'Data-temp_employment'!HK4-last_qrtr_tempemp!HL4</f>
        <v>250.00000000000023</v>
      </c>
      <c r="HL4" s="286">
        <f>'Data-temp_employment'!HL4-last_qrtr_tempemp!HM4</f>
        <v>-13.900000000000091</v>
      </c>
      <c r="HM4" s="286">
        <f>'Data-temp_employment'!HM4</f>
        <v>2195.6</v>
      </c>
      <c r="HN4" s="279" t="s">
        <v>11</v>
      </c>
      <c r="HO4" s="286">
        <f>'Data-temp_employment'!HO4-last_qrtr_tempemp!HP4</f>
        <v>-226.19999999999982</v>
      </c>
      <c r="HP4" s="286">
        <f>'Data-temp_employment'!HP4-last_qrtr_tempemp!HQ4</f>
        <v>-304.80000000000018</v>
      </c>
      <c r="HQ4" s="286">
        <f>'Data-temp_employment'!HQ4-last_qrtr_tempemp!HR4</f>
        <v>315.80000000000018</v>
      </c>
      <c r="HR4" s="286">
        <f>'Data-temp_employment'!HR4-last_qrtr_tempemp!HS4</f>
        <v>399.39999999999964</v>
      </c>
      <c r="HS4" s="286">
        <f>'Data-temp_employment'!HS4-last_qrtr_tempemp!HT4</f>
        <v>-198.09999999999945</v>
      </c>
      <c r="HT4" s="286">
        <f>'Data-temp_employment'!HT4-last_qrtr_tempemp!HU4</f>
        <v>-143.89999999999964</v>
      </c>
      <c r="HU4" s="286">
        <f>'Data-temp_employment'!HU4-last_qrtr_tempemp!HV4</f>
        <v>443.70000000000073</v>
      </c>
      <c r="HV4" s="286">
        <f>'Data-temp_employment'!HV4-last_qrtr_tempemp!HW4</f>
        <v>336.69999999999982</v>
      </c>
      <c r="HW4" s="286">
        <f>'Data-temp_employment'!HW4-last_qrtr_tempemp!HX4</f>
        <v>-315.5</v>
      </c>
      <c r="HX4" s="286">
        <f>'Data-temp_employment'!HX4</f>
        <v>4608.8999999999996</v>
      </c>
      <c r="HY4" s="279" t="s">
        <v>11</v>
      </c>
      <c r="HZ4" s="286">
        <f>'Data-temp_employment'!HZ4-last_qrtr_tempemp!IA4</f>
        <v>-10.900000000000006</v>
      </c>
      <c r="IA4" s="286">
        <f>'Data-temp_employment'!IA4-last_qrtr_tempemp!IB4</f>
        <v>-29.5</v>
      </c>
      <c r="IB4" s="286">
        <f>'Data-temp_employment'!IB4-last_qrtr_tempemp!IC4</f>
        <v>-30.899999999999977</v>
      </c>
      <c r="IC4" s="286">
        <f>'Data-temp_employment'!IC4-last_qrtr_tempemp!ID4</f>
        <v>14.200000000000017</v>
      </c>
      <c r="ID4" s="286">
        <f>'Data-temp_employment'!ID4-last_qrtr_tempemp!IE4</f>
        <v>17.900000000000006</v>
      </c>
      <c r="IE4" s="286">
        <f>'Data-temp_employment'!IE4-last_qrtr_tempemp!IF4</f>
        <v>33.5</v>
      </c>
      <c r="IF4" s="286">
        <f>'Data-temp_employment'!IF4-last_qrtr_tempemp!IG4</f>
        <v>-33.100000000000023</v>
      </c>
      <c r="IG4" s="286">
        <f>'Data-temp_employment'!IG4-last_qrtr_tempemp!IH4</f>
        <v>2.4000000000000057</v>
      </c>
      <c r="IH4" s="286">
        <f>'Data-temp_employment'!IH4-last_qrtr_tempemp!II4</f>
        <v>-0.30000000000001137</v>
      </c>
      <c r="II4" s="286">
        <f>'Data-temp_employment'!II4</f>
        <v>186.6</v>
      </c>
      <c r="IJ4" s="279" t="s">
        <v>11</v>
      </c>
      <c r="IK4" s="286">
        <f>'Data-temp_employment'!IK4-last_qrtr_tempemp!IL4</f>
        <v>27</v>
      </c>
      <c r="IL4" s="286">
        <f>'Data-temp_employment'!IL4-last_qrtr_tempemp!IM4</f>
        <v>20.799999999999997</v>
      </c>
      <c r="IM4" s="286">
        <f>'Data-temp_employment'!IM4-last_qrtr_tempemp!IN4</f>
        <v>26.1</v>
      </c>
      <c r="IN4" s="286">
        <f>'Data-temp_employment'!IN4-last_qrtr_tempemp!IO4</f>
        <v>-15.900000000000006</v>
      </c>
      <c r="IO4" s="286">
        <f>'Data-temp_employment'!IO4-last_qrtr_tempemp!IP4</f>
        <v>4.3999999999999915</v>
      </c>
      <c r="IP4" s="286">
        <f>'Data-temp_employment'!IP4-last_qrtr_tempemp!IQ4</f>
        <v>-6.7000000000000028</v>
      </c>
      <c r="IQ4" s="286">
        <f>'Data-temp_employment'!IQ4-last_qrtr_tempemp!IR4</f>
        <v>21.300000000000011</v>
      </c>
      <c r="IR4" s="286">
        <f>'Data-temp_employment'!IR4-last_qrtr_tempemp!IS4</f>
        <v>0.29999999999999716</v>
      </c>
      <c r="IS4" s="286">
        <f>'Data-temp_employment'!IS4-last_qrtr_tempemp!IT4</f>
        <v>-3.1000000000000085</v>
      </c>
      <c r="IT4" s="286">
        <f>'Data-temp_employment'!IT4</f>
        <v>74</v>
      </c>
      <c r="IU4" s="279" t="s">
        <v>11</v>
      </c>
      <c r="IV4" s="286">
        <f>'Data-temp_employment'!IV4-last_qrtr_tempemp!IW4</f>
        <v>-69.199999999999932</v>
      </c>
      <c r="IW4" s="286">
        <f>'Data-temp_employment'!IW4-last_qrtr_tempemp!IX4</f>
        <v>-44.699999999999932</v>
      </c>
      <c r="IX4" s="286">
        <f>'Data-temp_employment'!IX4-last_qrtr_tempemp!IY4</f>
        <v>23.899999999999977</v>
      </c>
      <c r="IY4" s="286">
        <f>'Data-temp_employment'!IY4-last_qrtr_tempemp!IZ4</f>
        <v>86.800000000000068</v>
      </c>
      <c r="IZ4" s="286">
        <f>'Data-temp_employment'!IZ4-last_qrtr_tempemp!JA4</f>
        <v>-99</v>
      </c>
      <c r="JA4" s="286">
        <f>'Data-temp_employment'!JA4-last_qrtr_tempemp!JB4</f>
        <v>1.1000000000000227</v>
      </c>
      <c r="JB4" s="286">
        <f>'Data-temp_employment'!JB4-last_qrtr_tempemp!JC4</f>
        <v>65.799999999999955</v>
      </c>
      <c r="JC4" s="286">
        <f>'Data-temp_employment'!JC4-last_qrtr_tempemp!JD4</f>
        <v>114.60000000000002</v>
      </c>
      <c r="JD4" s="286">
        <f>'Data-temp_employment'!JD4-last_qrtr_tempemp!JE4</f>
        <v>-136.79999999999995</v>
      </c>
      <c r="JE4" s="286">
        <f>'Data-temp_employment'!JE4</f>
        <v>989.1</v>
      </c>
      <c r="JF4" s="279" t="s">
        <v>11</v>
      </c>
      <c r="JG4" s="286">
        <f>'Data-temp_employment'!JG4-last_qrtr_tempemp!JH4</f>
        <v>-126.40000000000009</v>
      </c>
      <c r="JH4" s="286">
        <f>'Data-temp_employment'!JH4-last_qrtr_tempemp!JI4</f>
        <v>-60.700000000000273</v>
      </c>
      <c r="JI4" s="286">
        <f>'Data-temp_employment'!JI4-last_qrtr_tempemp!JJ4</f>
        <v>204.29999999999973</v>
      </c>
      <c r="JJ4" s="286">
        <f>'Data-temp_employment'!JJ4-last_qrtr_tempemp!JK4</f>
        <v>269.79999999999973</v>
      </c>
      <c r="JK4" s="286">
        <f>'Data-temp_employment'!JK4-last_qrtr_tempemp!JL4</f>
        <v>-70.799999999999727</v>
      </c>
      <c r="JL4" s="286">
        <f>'Data-temp_employment'!JL4-last_qrtr_tempemp!JM4</f>
        <v>-62.600000000000364</v>
      </c>
      <c r="JM4" s="286">
        <f>'Data-temp_employment'!JM4-last_qrtr_tempemp!JN4</f>
        <v>134.90000000000009</v>
      </c>
      <c r="JN4" s="286">
        <f>'Data-temp_employment'!JN4-last_qrtr_tempemp!JO4</f>
        <v>199.79999999999973</v>
      </c>
      <c r="JO4" s="286">
        <f>'Data-temp_employment'!JO4-last_qrtr_tempemp!JP4</f>
        <v>-70</v>
      </c>
      <c r="JP4" s="286">
        <f>'Data-temp_employment'!JP4</f>
        <v>3969</v>
      </c>
      <c r="JQ4" s="279" t="s">
        <v>11</v>
      </c>
      <c r="JR4" s="286">
        <f>'Data-temp_employment'!JR4-last_qrtr_tempemp!JS4</f>
        <v>-136.59999999999991</v>
      </c>
      <c r="JS4" s="286">
        <f>'Data-temp_employment'!JS4-last_qrtr_tempemp!JT4</f>
        <v>-59.299999999999955</v>
      </c>
      <c r="JT4" s="286">
        <f>'Data-temp_employment'!JT4-last_qrtr_tempemp!JU4</f>
        <v>40.400000000000091</v>
      </c>
      <c r="JU4" s="286">
        <f>'Data-temp_employment'!JU4-last_qrtr_tempemp!JV4</f>
        <v>142</v>
      </c>
      <c r="JV4" s="286">
        <f>'Data-temp_employment'!JV4-last_qrtr_tempemp!JW4</f>
        <v>-125.20000000000005</v>
      </c>
      <c r="JW4" s="286">
        <f>'Data-temp_employment'!JW4-last_qrtr_tempemp!JX4</f>
        <v>-11.299999999999955</v>
      </c>
      <c r="JX4" s="286">
        <f>'Data-temp_employment'!JX4-last_qrtr_tempemp!JY4</f>
        <v>31.200000000000045</v>
      </c>
      <c r="JY4" s="286">
        <f>'Data-temp_employment'!JY4-last_qrtr_tempemp!JZ4</f>
        <v>140.20000000000005</v>
      </c>
      <c r="JZ4" s="286">
        <f>'Data-temp_employment'!JZ4-last_qrtr_tempemp!KA4</f>
        <v>-109.40000000000009</v>
      </c>
      <c r="KA4" s="286">
        <f>'Data-temp_employment'!KA4</f>
        <v>1726</v>
      </c>
      <c r="KB4" s="279" t="s">
        <v>11</v>
      </c>
      <c r="KC4" s="286">
        <f>'Data-temp_employment'!KC4-last_qrtr_tempemp!KD4</f>
        <v>37.300000000000182</v>
      </c>
      <c r="KD4" s="286">
        <f>'Data-temp_employment'!KD4-last_qrtr_tempemp!KE4</f>
        <v>-117.29999999999973</v>
      </c>
      <c r="KE4" s="286">
        <f>'Data-temp_employment'!KE4-last_qrtr_tempemp!KF4</f>
        <v>76.699999999999818</v>
      </c>
      <c r="KF4" s="286">
        <f>'Data-temp_employment'!KF4-last_qrtr_tempemp!KG4</f>
        <v>267.90000000000009</v>
      </c>
      <c r="KG4" s="286">
        <f>'Data-temp_employment'!KG4-last_qrtr_tempemp!KH4</f>
        <v>-7.7999999999997272</v>
      </c>
      <c r="KH4" s="286">
        <f>'Data-temp_employment'!KH4-last_qrtr_tempemp!KI4</f>
        <v>-115.29999999999973</v>
      </c>
      <c r="KI4" s="286">
        <f>'Data-temp_employment'!KI4-last_qrtr_tempemp!KJ4</f>
        <v>113.80000000000018</v>
      </c>
      <c r="KJ4" s="286">
        <f>'Data-temp_employment'!KJ4-last_qrtr_tempemp!KK4</f>
        <v>233.89999999999964</v>
      </c>
      <c r="KK4" s="286">
        <f>'Data-temp_employment'!KK4-last_qrtr_tempemp!KL4</f>
        <v>15</v>
      </c>
      <c r="KL4" s="286">
        <f>'Data-temp_employment'!KL4</f>
        <v>3569</v>
      </c>
      <c r="KM4" s="279" t="s">
        <v>11</v>
      </c>
      <c r="KN4" s="286">
        <f>'Data-temp_employment'!KN4-last_qrtr_tempemp!KO4</f>
        <v>91.799999999999955</v>
      </c>
      <c r="KO4" s="286">
        <f>'Data-temp_employment'!KO4-last_qrtr_tempemp!KP4</f>
        <v>26.299999999999955</v>
      </c>
      <c r="KP4" s="286">
        <f>'Data-temp_employment'!KP4-last_qrtr_tempemp!KQ4</f>
        <v>49.400000000000091</v>
      </c>
      <c r="KQ4" s="286">
        <f>'Data-temp_employment'!KQ4-last_qrtr_tempemp!KR4</f>
        <v>54.400000000000091</v>
      </c>
      <c r="KR4" s="286">
        <f>'Data-temp_employment'!KR4-last_qrtr_tempemp!KS4</f>
        <v>-28.5</v>
      </c>
      <c r="KS4" s="286">
        <f>'Data-temp_employment'!KS4-last_qrtr_tempemp!KT4</f>
        <v>-1.2000000000000455</v>
      </c>
      <c r="KT4" s="286">
        <f>'Data-temp_employment'!KT4-last_qrtr_tempemp!KU4</f>
        <v>73.5</v>
      </c>
      <c r="KU4" s="286">
        <f>'Data-temp_employment'!KU4-last_qrtr_tempemp!KV4</f>
        <v>162.90000000000009</v>
      </c>
      <c r="KV4" s="286">
        <f>'Data-temp_employment'!KV4-last_qrtr_tempemp!KW4</f>
        <v>30</v>
      </c>
      <c r="KW4" s="286">
        <f>'Data-temp_employment'!KW4</f>
        <v>1200.2</v>
      </c>
      <c r="KX4" s="279" t="s">
        <v>11</v>
      </c>
      <c r="KY4" s="286">
        <f>'Data-temp_employment'!KY4-last_qrtr_tempemp!KZ4</f>
        <v>-295.30000000000018</v>
      </c>
      <c r="KZ4" s="286">
        <f>'Data-temp_employment'!KZ4-last_qrtr_tempemp!LA4</f>
        <v>-205</v>
      </c>
      <c r="LA4" s="286">
        <f>'Data-temp_employment'!LA4-last_qrtr_tempemp!LB4</f>
        <v>683.2</v>
      </c>
      <c r="LB4" s="286">
        <f>'Data-temp_employment'!LB4-last_qrtr_tempemp!LC4</f>
        <v>188.79999999999995</v>
      </c>
      <c r="LC4" s="286">
        <f>'Data-temp_employment'!LC4-last_qrtr_tempemp!LD4</f>
        <v>-439.09999999999991</v>
      </c>
      <c r="LD4" s="286">
        <f>'Data-temp_employment'!LD4-last_qrtr_tempemp!LE4</f>
        <v>-228.79999999999973</v>
      </c>
      <c r="LE4" s="286">
        <f>'Data-temp_employment'!LE4-last_qrtr_tempemp!LF4</f>
        <v>745.09999999999991</v>
      </c>
      <c r="LF4" s="286">
        <f>'Data-temp_employment'!LF4-last_qrtr_tempemp!LG4</f>
        <v>231.10000000000014</v>
      </c>
      <c r="LG4" s="286">
        <f>'Data-temp_employment'!LG4-last_qrtr_tempemp!LH4</f>
        <v>-401.29999999999995</v>
      </c>
      <c r="LH4" s="286">
        <f>'Data-temp_employment'!LH4</f>
        <v>2316.6</v>
      </c>
      <c r="LI4" s="279" t="s">
        <v>11</v>
      </c>
      <c r="LJ4" s="286">
        <f>'Data-temp_employment'!LJ4-last_qrtr_tempemp!LK4</f>
        <v>9.8000000000000682</v>
      </c>
      <c r="LK4" s="286">
        <f>'Data-temp_employment'!LK4-last_qrtr_tempemp!LL4</f>
        <v>23.399999999999977</v>
      </c>
      <c r="LL4" s="286">
        <f>'Data-temp_employment'!LL4-last_qrtr_tempemp!LM4</f>
        <v>33.100000000000023</v>
      </c>
      <c r="LM4" s="286">
        <f>'Data-temp_employment'!LM4-last_qrtr_tempemp!LN4</f>
        <v>29.200000000000045</v>
      </c>
      <c r="LN4" s="286">
        <f>'Data-temp_employment'!LN4-last_qrtr_tempemp!LO4</f>
        <v>-1.2000000000000455</v>
      </c>
      <c r="LO4" s="286">
        <f>'Data-temp_employment'!LO4-last_qrtr_tempemp!LP4</f>
        <v>33.699999999999932</v>
      </c>
      <c r="LP4" s="286">
        <f>'Data-temp_employment'!LP4-last_qrtr_tempemp!LQ4</f>
        <v>38.599999999999909</v>
      </c>
      <c r="LQ4" s="286">
        <f>'Data-temp_employment'!LQ4-last_qrtr_tempemp!LR4</f>
        <v>4.2000000000000455</v>
      </c>
      <c r="LR4" s="286">
        <f>'Data-temp_employment'!LR4-last_qrtr_tempemp!LS4</f>
        <v>-15.799999999999955</v>
      </c>
      <c r="LS4" s="286">
        <f>'Data-temp_employment'!LS4</f>
        <v>574.1</v>
      </c>
      <c r="LT4" s="279" t="s">
        <v>11</v>
      </c>
      <c r="LU4" s="286">
        <f>'Data-temp_employment'!LU4-last_qrtr_tempemp!LV4</f>
        <v>-23.300000000000011</v>
      </c>
      <c r="LV4" s="286">
        <f>'Data-temp_employment'!LV4-last_qrtr_tempemp!LW4</f>
        <v>-8</v>
      </c>
      <c r="LW4" s="286">
        <f>'Data-temp_employment'!LW4-last_qrtr_tempemp!LX4</f>
        <v>33.700000000000045</v>
      </c>
      <c r="LX4" s="286">
        <f>'Data-temp_employment'!LX4-last_qrtr_tempemp!LY4</f>
        <v>25.5</v>
      </c>
      <c r="LY4" s="286">
        <f>'Data-temp_employment'!LY4-last_qrtr_tempemp!LZ4</f>
        <v>-31.300000000000011</v>
      </c>
      <c r="LZ4" s="286">
        <f>'Data-temp_employment'!LZ4-last_qrtr_tempemp!MA4</f>
        <v>-11.599999999999966</v>
      </c>
      <c r="MA4" s="286">
        <f>'Data-temp_employment'!MA4-last_qrtr_tempemp!MB4</f>
        <v>-5.8000000000000114</v>
      </c>
      <c r="MB4" s="286">
        <f>'Data-temp_employment'!MB4-last_qrtr_tempemp!MC4</f>
        <v>12.5</v>
      </c>
      <c r="MC4" s="286">
        <f>'Data-temp_employment'!MC4-last_qrtr_tempemp!MD4</f>
        <v>-17.300000000000011</v>
      </c>
      <c r="MD4" s="286">
        <f>'Data-temp_employment'!MD4</f>
        <v>378</v>
      </c>
      <c r="ME4" s="279" t="s">
        <v>11</v>
      </c>
      <c r="MF4" s="286">
        <f>'Data-temp_employment'!MF4-last_qrtr_tempemp!MG4</f>
        <v>-21.899999999999977</v>
      </c>
      <c r="MG4" s="286">
        <f>'Data-temp_employment'!MG4-last_qrtr_tempemp!MH4</f>
        <v>42.5</v>
      </c>
      <c r="MH4" s="286">
        <f>'Data-temp_employment'!MH4-last_qrtr_tempemp!MI4</f>
        <v>56.799999999999955</v>
      </c>
      <c r="MI4" s="286">
        <f>'Data-temp_employment'!MI4-last_qrtr_tempemp!MJ4</f>
        <v>74.600000000000023</v>
      </c>
      <c r="MJ4" s="286">
        <f>'Data-temp_employment'!MJ4-last_qrtr_tempemp!MK4</f>
        <v>-49.5</v>
      </c>
      <c r="MK4" s="286">
        <f>'Data-temp_employment'!MK4-last_qrtr_tempemp!ML4</f>
        <v>1.2999999999999545</v>
      </c>
      <c r="ML4" s="286">
        <f>'Data-temp_employment'!ML4-last_qrtr_tempemp!MM4</f>
        <v>46.200000000000045</v>
      </c>
      <c r="MM4" s="286">
        <f>'Data-temp_employment'!MM4-last_qrtr_tempemp!MN4</f>
        <v>90</v>
      </c>
      <c r="MN4" s="286">
        <f>'Data-temp_employment'!MN4-last_qrtr_tempemp!MO4</f>
        <v>-23.300000000000068</v>
      </c>
      <c r="MO4" s="286">
        <f>'Data-temp_employment'!MO4</f>
        <v>975.4</v>
      </c>
      <c r="MP4" s="279" t="s">
        <v>11</v>
      </c>
      <c r="MQ4" s="286">
        <f>'Data-temp_employment'!MQ4-last_qrtr_tempemp!MR4</f>
        <v>-59.300000000000182</v>
      </c>
      <c r="MR4" s="286">
        <f>'Data-temp_employment'!MR4-last_qrtr_tempemp!MS4</f>
        <v>-108.79999999999995</v>
      </c>
      <c r="MS4" s="286">
        <f>'Data-temp_employment'!MS4-last_qrtr_tempemp!MT4</f>
        <v>114.70000000000005</v>
      </c>
      <c r="MT4" s="286">
        <f>'Data-temp_employment'!MT4-last_qrtr_tempemp!MU4</f>
        <v>112.5</v>
      </c>
      <c r="MU4" s="286">
        <f>'Data-temp_employment'!MU4-last_qrtr_tempemp!MV4</f>
        <v>-56.5</v>
      </c>
      <c r="MV4" s="286">
        <f>'Data-temp_employment'!MV4-last_qrtr_tempemp!MW4</f>
        <v>-50.400000000000091</v>
      </c>
      <c r="MW4" s="286">
        <f>'Data-temp_employment'!MW4-last_qrtr_tempemp!MX4</f>
        <v>114.29999999999995</v>
      </c>
      <c r="MX4" s="286">
        <f>'Data-temp_employment'!MX4-last_qrtr_tempemp!MY4</f>
        <v>66.300000000000182</v>
      </c>
      <c r="MY4" s="286">
        <f>'Data-temp_employment'!MY4-last_qrtr_tempemp!MZ4</f>
        <v>-118.79999999999995</v>
      </c>
      <c r="MZ4" s="286">
        <f>'Data-temp_employment'!MZ4</f>
        <v>1547.1</v>
      </c>
      <c r="NA4" s="279" t="s">
        <v>11</v>
      </c>
      <c r="NB4" s="286">
        <f>'Data-temp_employment'!NB4-last_qrtr_tempemp!NC4</f>
        <v>-74.5</v>
      </c>
      <c r="NC4" s="286">
        <f>'Data-temp_employment'!NC4-last_qrtr_tempemp!ND4</f>
        <v>-60</v>
      </c>
      <c r="ND4" s="286">
        <f>'Data-temp_employment'!ND4-last_qrtr_tempemp!NE4</f>
        <v>36.099999999999909</v>
      </c>
      <c r="NE4" s="286">
        <f>'Data-temp_employment'!NE4-last_qrtr_tempemp!NF4</f>
        <v>91.200000000000045</v>
      </c>
      <c r="NF4" s="286">
        <f>'Data-temp_employment'!NF4-last_qrtr_tempemp!NG4</f>
        <v>-16.099999999999909</v>
      </c>
      <c r="NG4" s="286">
        <f>'Data-temp_employment'!NG4-last_qrtr_tempemp!NH4</f>
        <v>-24.5</v>
      </c>
      <c r="NH4" s="286">
        <f>'Data-temp_employment'!NH4-last_qrtr_tempemp!NI4</f>
        <v>30.599999999999909</v>
      </c>
      <c r="NI4" s="286">
        <f>'Data-temp_employment'!NI4-last_qrtr_tempemp!NJ4</f>
        <v>135</v>
      </c>
      <c r="NJ4" s="286">
        <f>'Data-temp_employment'!NJ4-last_qrtr_tempemp!NK4</f>
        <v>-44.200000000000045</v>
      </c>
      <c r="NK4" s="286">
        <f>'Data-temp_employment'!NK4</f>
        <v>1666.8</v>
      </c>
      <c r="NL4" s="279" t="s">
        <v>11</v>
      </c>
      <c r="NM4" s="286">
        <f>'Data-temp_employment'!NM4-last_qrtr_tempemp!NN4</f>
        <v>45.099999999999909</v>
      </c>
      <c r="NN4" s="286">
        <f>'Data-temp_employment'!NN4-last_qrtr_tempemp!NO4</f>
        <v>464.5</v>
      </c>
      <c r="NO4" s="286">
        <f>'Data-temp_employment'!NO4-last_qrtr_tempemp!NP4</f>
        <v>-401.40000000000009</v>
      </c>
      <c r="NP4" s="286">
        <f>'Data-temp_employment'!NP4-last_qrtr_tempemp!NQ4</f>
        <v>-87.099999999999909</v>
      </c>
      <c r="NQ4" s="286">
        <f>'Data-temp_employment'!NQ4-last_qrtr_tempemp!NR4</f>
        <v>9.6999999999998181</v>
      </c>
      <c r="NR4" s="286">
        <f>'Data-temp_employment'!NR4-last_qrtr_tempemp!NS4</f>
        <v>512.90000000000009</v>
      </c>
      <c r="NS4" s="286">
        <f>'Data-temp_employment'!NS4-last_qrtr_tempemp!NT4</f>
        <v>-315.19999999999982</v>
      </c>
      <c r="NT4" s="286">
        <f>'Data-temp_employment'!NT4-last_qrtr_tempemp!NU4</f>
        <v>4.9000000000000909</v>
      </c>
      <c r="NU4" s="286">
        <f>'Data-temp_employment'!NU4-last_qrtr_tempemp!NV4</f>
        <v>69.400000000000091</v>
      </c>
      <c r="NV4" s="286">
        <f>'Data-temp_employment'!NV4</f>
        <v>2746.7</v>
      </c>
      <c r="NW4" s="279" t="s">
        <v>11</v>
      </c>
      <c r="NX4" s="286">
        <f>'Data-temp_employment'!NX4-last_qrtr_tempemp!NY4</f>
        <v>117.30000000000018</v>
      </c>
      <c r="NY4" s="286">
        <f>'Data-temp_employment'!NY4-last_qrtr_tempemp!NZ4</f>
        <v>10.099999999999909</v>
      </c>
      <c r="NZ4" s="286">
        <f>'Data-temp_employment'!NZ4-last_qrtr_tempemp!OA4</f>
        <v>113</v>
      </c>
      <c r="OA4" s="286">
        <f>'Data-temp_employment'!OA4-last_qrtr_tempemp!OB4</f>
        <v>111.69999999999982</v>
      </c>
      <c r="OB4" s="286">
        <f>'Data-temp_employment'!OB4-last_qrtr_tempemp!OC4</f>
        <v>-27.900000000000091</v>
      </c>
      <c r="OC4" s="286">
        <f>'Data-temp_employment'!OC4-last_qrtr_tempemp!OD4</f>
        <v>-10.799999999999727</v>
      </c>
      <c r="OD4" s="286">
        <f>'Data-temp_employment'!OD4-last_qrtr_tempemp!OE4</f>
        <v>108</v>
      </c>
      <c r="OE4" s="286">
        <f>'Data-temp_employment'!OE4-last_qrtr_tempemp!OF4</f>
        <v>57.699999999999818</v>
      </c>
      <c r="OF4" s="286">
        <f>'Data-temp_employment'!OF4-last_qrtr_tempemp!OG4</f>
        <v>15.799999999999727</v>
      </c>
      <c r="OG4" s="286">
        <f>'Data-temp_employment'!OG4</f>
        <v>3155</v>
      </c>
      <c r="OH4" s="287" t="s">
        <v>11</v>
      </c>
      <c r="OI4" s="286"/>
      <c r="OJ4" s="286"/>
      <c r="OK4" s="286"/>
      <c r="OL4" s="286"/>
      <c r="OM4" s="286"/>
      <c r="ON4" s="286"/>
      <c r="OO4" s="286"/>
      <c r="OP4" s="286"/>
      <c r="OQ4" s="286"/>
      <c r="OR4" s="286"/>
      <c r="OS4" s="279" t="s">
        <v>11</v>
      </c>
      <c r="OT4" s="286">
        <f>'Data-temp_employment'!OT4-last_qrtr_tempemp!OU4</f>
        <v>0.19999999999999996</v>
      </c>
      <c r="OU4" s="286">
        <f>'Data-temp_employment'!OU4-last_qrtr_tempemp!OV4</f>
        <v>-0.2</v>
      </c>
      <c r="OV4" s="286">
        <f>'Data-temp_employment'!OV4-last_qrtr_tempemp!OW4</f>
        <v>-9.9999999999999978E-2</v>
      </c>
      <c r="OW4" s="286">
        <f>'Data-temp_employment'!OW4-last_qrtr_tempemp!OX4</f>
        <v>0.4</v>
      </c>
      <c r="OX4" s="286">
        <f>'Data-temp_employment'!OX4-last_qrtr_tempemp!OY4</f>
        <v>0.29999999999999993</v>
      </c>
      <c r="OY4" s="286">
        <f>'Data-temp_employment'!OY4-last_qrtr_tempemp!OZ4</f>
        <v>0.19999999999999996</v>
      </c>
      <c r="OZ4" s="286">
        <f>'Data-temp_employment'!OZ4-last_qrtr_tempemp!PA4</f>
        <v>-9.9999999999999978E-2</v>
      </c>
      <c r="PA4" s="286">
        <f>'Data-temp_employment'!PA4-last_qrtr_tempemp!PB4</f>
        <v>0</v>
      </c>
      <c r="PB4" s="286">
        <f>'Data-temp_employment'!PB4-last_qrtr_tempemp!PC4</f>
        <v>-0.29999999999999993</v>
      </c>
      <c r="PC4" s="286">
        <f>'Data-temp_employment'!PC4</f>
        <v>0.5</v>
      </c>
      <c r="PE4" s="319"/>
      <c r="PF4" s="319"/>
      <c r="PG4" s="319"/>
      <c r="PH4" s="319"/>
      <c r="PI4" s="319"/>
      <c r="PJ4" s="319"/>
      <c r="PK4" s="319"/>
      <c r="PL4" s="319"/>
      <c r="PM4" s="319"/>
      <c r="PN4" s="319"/>
      <c r="PO4" s="319"/>
      <c r="PP4" s="319"/>
      <c r="PQ4" s="319"/>
      <c r="PR4" s="319"/>
      <c r="PS4" s="319"/>
      <c r="PT4" s="319"/>
      <c r="PU4" s="319"/>
      <c r="PV4" s="319"/>
      <c r="PW4" s="319"/>
      <c r="PX4" s="319"/>
      <c r="PY4" s="319"/>
      <c r="PZ4" s="319"/>
      <c r="QA4" s="319"/>
      <c r="QB4" s="319"/>
      <c r="QC4" s="319"/>
      <c r="QD4" s="319"/>
      <c r="QE4" s="319"/>
      <c r="QF4" s="319"/>
      <c r="QG4" s="319"/>
      <c r="QH4" s="319"/>
      <c r="QI4" s="319"/>
      <c r="QJ4" s="319"/>
      <c r="QK4" s="319"/>
      <c r="QL4" s="319"/>
      <c r="QM4" s="319"/>
      <c r="QN4" s="319"/>
      <c r="QO4" s="319"/>
      <c r="QP4" s="319"/>
      <c r="QQ4" s="319"/>
      <c r="QR4" s="319"/>
      <c r="QS4" s="319"/>
      <c r="QT4" s="319"/>
      <c r="QU4" s="319"/>
      <c r="QV4" s="319"/>
      <c r="QW4" s="319"/>
      <c r="QX4" s="319"/>
      <c r="QY4" s="319"/>
      <c r="QZ4" s="319"/>
      <c r="RA4" s="319"/>
      <c r="RB4" s="319"/>
      <c r="RC4" s="319"/>
      <c r="RD4" s="319"/>
      <c r="RE4" s="319"/>
      <c r="RF4" s="319"/>
      <c r="RG4" s="319"/>
      <c r="RH4" s="319"/>
      <c r="RI4" s="319"/>
      <c r="RJ4" s="319"/>
      <c r="RK4" s="319"/>
      <c r="RL4" s="319"/>
      <c r="RM4" s="319"/>
      <c r="RN4" s="319"/>
      <c r="RO4" s="319"/>
      <c r="RP4" s="319"/>
    </row>
    <row r="5" spans="1:484">
      <c r="A5" s="269">
        <v>2</v>
      </c>
      <c r="B5" s="285" t="s">
        <v>12</v>
      </c>
      <c r="C5" s="286">
        <f>'Data-temp_employment'!C5-last_qrtr_tempemp!D5</f>
        <v>-0.5</v>
      </c>
      <c r="D5" s="286">
        <f>'Data-temp_employment'!D5-last_qrtr_tempemp!E5</f>
        <v>-0.19999999999999929</v>
      </c>
      <c r="E5" s="286">
        <f>'Data-temp_employment'!E5-last_qrtr_tempemp!F5</f>
        <v>0.40000000000000036</v>
      </c>
      <c r="F5" s="286">
        <f>'Data-temp_employment'!F5-last_qrtr_tempemp!G5</f>
        <v>0.5</v>
      </c>
      <c r="G5" s="286">
        <f>'Data-temp_employment'!G5-last_qrtr_tempemp!H5</f>
        <v>-0.60000000000000142</v>
      </c>
      <c r="H5" s="286">
        <f>'Data-temp_employment'!H5-last_qrtr_tempemp!I5</f>
        <v>-9.9999999999999645E-2</v>
      </c>
      <c r="I5" s="286">
        <f>'Data-temp_employment'!I5-last_qrtr_tempemp!J5</f>
        <v>0.5</v>
      </c>
      <c r="J5" s="286">
        <f>'Data-temp_employment'!J5-last_qrtr_tempemp!K5</f>
        <v>0.60000000000000142</v>
      </c>
      <c r="K5" s="286">
        <f>'Data-temp_employment'!K5-last_qrtr_tempemp!L5</f>
        <v>-0.59999999999999964</v>
      </c>
      <c r="L5" s="286">
        <f>'Data-temp_employment'!L5</f>
        <v>14.3</v>
      </c>
      <c r="M5" s="285" t="s">
        <v>12</v>
      </c>
      <c r="N5" s="286">
        <f>'Data-temp_employment'!N5-last_qrtr_tempemp!O5</f>
        <v>-673.79999999999927</v>
      </c>
      <c r="O5" s="286">
        <f>'Data-temp_employment'!O5-last_qrtr_tempemp!P5</f>
        <v>-227.79999999999927</v>
      </c>
      <c r="P5" s="286">
        <f>'Data-temp_employment'!P5-last_qrtr_tempemp!Q5</f>
        <v>1165.5</v>
      </c>
      <c r="Q5" s="286">
        <f>'Data-temp_employment'!Q5-last_qrtr_tempemp!R5</f>
        <v>1498.6999999999971</v>
      </c>
      <c r="R5" s="286">
        <f>'Data-temp_employment'!R5-last_qrtr_tempemp!S5</f>
        <v>-875.09999999999854</v>
      </c>
      <c r="S5" s="286">
        <f>'Data-temp_employment'!S5-last_qrtr_tempemp!T5</f>
        <v>79.600000000002183</v>
      </c>
      <c r="T5" s="286">
        <f>'Data-temp_employment'!T5-last_qrtr_tempemp!U5</f>
        <v>1447.5</v>
      </c>
      <c r="U5" s="286">
        <f>'Data-temp_employment'!U5-last_qrtr_tempemp!V5</f>
        <v>1607.5999999999985</v>
      </c>
      <c r="V5" s="286">
        <f>'Data-temp_employment'!V5-last_qrtr_tempemp!W5</f>
        <v>-898.79999999999927</v>
      </c>
      <c r="W5" s="286">
        <f>'Data-temp_employment'!W5</f>
        <v>27149</v>
      </c>
      <c r="X5" s="285" t="s">
        <v>12</v>
      </c>
      <c r="Y5" s="286">
        <f>'Data-temp_employment'!Y5-last_qrtr_tempemp!Z5</f>
        <v>-81.200000000000045</v>
      </c>
      <c r="Z5" s="286">
        <f>'Data-temp_employment'!Z5-last_qrtr_tempemp!AA5</f>
        <v>-72.400000000000091</v>
      </c>
      <c r="AA5" s="286">
        <f>'Data-temp_employment'!AA5-last_qrtr_tempemp!AB5</f>
        <v>78.700000000000045</v>
      </c>
      <c r="AB5" s="286">
        <f>'Data-temp_employment'!AB5-last_qrtr_tempemp!AC5</f>
        <v>71.700000000000045</v>
      </c>
      <c r="AC5" s="286">
        <f>'Data-temp_employment'!AC5-last_qrtr_tempemp!AD5</f>
        <v>-68.800000000000182</v>
      </c>
      <c r="AD5" s="286">
        <f>'Data-temp_employment'!AD5-last_qrtr_tempemp!AE5</f>
        <v>0.89999999999986358</v>
      </c>
      <c r="AE5" s="286">
        <f>'Data-temp_employment'!AE5-last_qrtr_tempemp!AF5</f>
        <v>128.59999999999991</v>
      </c>
      <c r="AF5" s="286">
        <f>'Data-temp_employment'!AF5-last_qrtr_tempemp!AG5</f>
        <v>65.299999999999955</v>
      </c>
      <c r="AG5" s="286">
        <f>'Data-temp_employment'!AG5-last_qrtr_tempemp!AH5</f>
        <v>-117.79999999999995</v>
      </c>
      <c r="AH5" s="286">
        <f>'Data-temp_employment'!AH5</f>
        <v>1297.0999999999999</v>
      </c>
      <c r="AI5" s="279" t="s">
        <v>12</v>
      </c>
      <c r="AJ5" s="286">
        <f>'Data-temp_employment'!AJ5-last_qrtr_tempemp!AK5</f>
        <v>-321.19999999999982</v>
      </c>
      <c r="AK5" s="286">
        <f>'Data-temp_employment'!AK5-last_qrtr_tempemp!AL5</f>
        <v>-948.90000000000009</v>
      </c>
      <c r="AL5" s="286">
        <f>'Data-temp_employment'!AL5-last_qrtr_tempemp!AM5</f>
        <v>755.40000000000009</v>
      </c>
      <c r="AM5" s="286">
        <f>'Data-temp_employment'!AM5-last_qrtr_tempemp!AN5</f>
        <v>472.40000000000009</v>
      </c>
      <c r="AN5" s="286">
        <f>'Data-temp_employment'!AN5-last_qrtr_tempemp!AO5</f>
        <v>-272.09999999999991</v>
      </c>
      <c r="AO5" s="286">
        <f>'Data-temp_employment'!AO5-last_qrtr_tempemp!AP5</f>
        <v>-789.90000000000009</v>
      </c>
      <c r="AP5" s="286">
        <f>'Data-temp_employment'!AP5-last_qrtr_tempemp!AQ5</f>
        <v>875.5</v>
      </c>
      <c r="AQ5" s="286">
        <f>'Data-temp_employment'!AQ5-last_qrtr_tempemp!AR5</f>
        <v>457.30000000000018</v>
      </c>
      <c r="AR5" s="286">
        <f>'Data-temp_employment'!AR5-last_qrtr_tempemp!AS5</f>
        <v>-283.30000000000018</v>
      </c>
      <c r="AS5" s="286">
        <f>'Data-temp_employment'!AS5</f>
        <v>2880.1</v>
      </c>
      <c r="AT5" s="279" t="s">
        <v>12</v>
      </c>
      <c r="AU5" s="286">
        <f>'Data-temp_employment'!AU5-last_qrtr_tempemp!AV5</f>
        <v>-497.69999999999982</v>
      </c>
      <c r="AV5" s="286">
        <f>'Data-temp_employment'!AV5-last_qrtr_tempemp!AW5</f>
        <v>-226.80000000000018</v>
      </c>
      <c r="AW5" s="286">
        <f>'Data-temp_employment'!AW5-last_qrtr_tempemp!AX5</f>
        <v>325.80000000000018</v>
      </c>
      <c r="AX5" s="286">
        <f>'Data-temp_employment'!AX5-last_qrtr_tempemp!AY5</f>
        <v>218.90000000000009</v>
      </c>
      <c r="AY5" s="286">
        <f>'Data-temp_employment'!AY5-last_qrtr_tempemp!AZ5</f>
        <v>-547.30000000000018</v>
      </c>
      <c r="AZ5" s="286">
        <f>'Data-temp_employment'!AZ5-last_qrtr_tempemp!BA5</f>
        <v>-97.099999999999909</v>
      </c>
      <c r="BA5" s="286">
        <f>'Data-temp_employment'!BA5-last_qrtr_tempemp!BB5</f>
        <v>720.90000000000009</v>
      </c>
      <c r="BB5" s="286">
        <f>'Data-temp_employment'!BB5-last_qrtr_tempemp!BC5</f>
        <v>519.80000000000018</v>
      </c>
      <c r="BC5" s="286">
        <f>'Data-temp_employment'!BC5-last_qrtr_tempemp!BD5</f>
        <v>-369.79999999999973</v>
      </c>
      <c r="BD5" s="286">
        <f>'Data-temp_employment'!BD5</f>
        <v>4161.3999999999996</v>
      </c>
      <c r="BE5" s="279" t="s">
        <v>12</v>
      </c>
      <c r="BF5" s="286">
        <f>'Data-temp_employment'!BF5-last_qrtr_tempemp!BG5</f>
        <v>0.5</v>
      </c>
      <c r="BG5" s="286">
        <f>'Data-temp_employment'!BG5-last_qrtr_tempemp!BH5</f>
        <v>479.80000000000018</v>
      </c>
      <c r="BH5" s="286">
        <f>'Data-temp_employment'!BH5-last_qrtr_tempemp!BI5</f>
        <v>-69.200000000000728</v>
      </c>
      <c r="BI5" s="286">
        <f>'Data-temp_employment'!BI5-last_qrtr_tempemp!BJ5</f>
        <v>167.19999999999982</v>
      </c>
      <c r="BJ5" s="286">
        <f>'Data-temp_employment'!BJ5-last_qrtr_tempemp!BK5</f>
        <v>-35.899999999999636</v>
      </c>
      <c r="BK5" s="286">
        <f>'Data-temp_employment'!BK5-last_qrtr_tempemp!BL5</f>
        <v>668.5</v>
      </c>
      <c r="BL5" s="286">
        <f>'Data-temp_employment'!BL5-last_qrtr_tempemp!BM5</f>
        <v>26.199999999999818</v>
      </c>
      <c r="BM5" s="286">
        <f>'Data-temp_employment'!BM5-last_qrtr_tempemp!BN5</f>
        <v>364.19999999999982</v>
      </c>
      <c r="BN5" s="286">
        <f>'Data-temp_employment'!BN5-last_qrtr_tempemp!BO5</f>
        <v>-117.09999999999945</v>
      </c>
      <c r="BO5" s="286">
        <f>'Data-temp_employment'!BO5</f>
        <v>7079.7</v>
      </c>
      <c r="BP5" s="282" t="s">
        <v>12</v>
      </c>
      <c r="BQ5" s="286">
        <f>'Data-temp_employment'!BQ5-last_qrtr_tempemp!BR5</f>
        <v>77</v>
      </c>
      <c r="BR5" s="286">
        <f>'Data-temp_employment'!BR5-last_qrtr_tempemp!BS5</f>
        <v>94.900000000000091</v>
      </c>
      <c r="BS5" s="286">
        <f>'Data-temp_employment'!BS5-last_qrtr_tempemp!BT5</f>
        <v>116.59999999999991</v>
      </c>
      <c r="BT5" s="286">
        <f>'Data-temp_employment'!BT5-last_qrtr_tempemp!BU5</f>
        <v>92.799999999999727</v>
      </c>
      <c r="BU5" s="286">
        <f>'Data-temp_employment'!BU5-last_qrtr_tempemp!BV5</f>
        <v>33.400000000000091</v>
      </c>
      <c r="BV5" s="286">
        <f>'Data-temp_employment'!BV5-last_qrtr_tempemp!BW5</f>
        <v>129.90000000000009</v>
      </c>
      <c r="BW5" s="286">
        <f>'Data-temp_employment'!BW5-last_qrtr_tempemp!BX5</f>
        <v>16.199999999999818</v>
      </c>
      <c r="BX5" s="286">
        <f>'Data-temp_employment'!BX5-last_qrtr_tempemp!BY5</f>
        <v>-28.399999999999636</v>
      </c>
      <c r="BY5" s="286">
        <f>'Data-temp_employment'!BY5-last_qrtr_tempemp!BZ5</f>
        <v>-129.09999999999991</v>
      </c>
      <c r="BZ5" s="286">
        <f>'Data-temp_employment'!BZ5</f>
        <v>2876.3999999999996</v>
      </c>
      <c r="CA5" s="282" t="s">
        <v>12</v>
      </c>
      <c r="CB5" s="286">
        <f>'Data-temp_employment'!CB5-last_qrtr_tempemp!CC5</f>
        <v>148.69999999999982</v>
      </c>
      <c r="CC5" s="286">
        <f>'Data-temp_employment'!CC5-last_qrtr_tempemp!CD5</f>
        <v>26.599999999999454</v>
      </c>
      <c r="CD5" s="286">
        <f>'Data-temp_employment'!CD5-last_qrtr_tempemp!CE5</f>
        <v>-214.60000000000036</v>
      </c>
      <c r="CE5" s="286">
        <f>'Data-temp_employment'!CE5-last_qrtr_tempemp!CF5</f>
        <v>85</v>
      </c>
      <c r="CF5" s="286">
        <f>'Data-temp_employment'!CF5-last_qrtr_tempemp!CG5</f>
        <v>34.5</v>
      </c>
      <c r="CG5" s="286">
        <f>'Data-temp_employment'!CG5-last_qrtr_tempemp!CH5</f>
        <v>-11.800000000000182</v>
      </c>
      <c r="CH5" s="286">
        <f>'Data-temp_employment'!CH5-last_qrtr_tempemp!CI5</f>
        <v>-252.60000000000036</v>
      </c>
      <c r="CI5" s="286">
        <f>'Data-temp_employment'!CI5-last_qrtr_tempemp!CJ5</f>
        <v>31.5</v>
      </c>
      <c r="CJ5" s="286">
        <f>'Data-temp_employment'!CJ5-last_qrtr_tempemp!CK5</f>
        <v>73.699999999999818</v>
      </c>
      <c r="CK5" s="286">
        <f>'Data-temp_employment'!CK5</f>
        <v>4010.8999999999996</v>
      </c>
      <c r="CL5" s="285" t="s">
        <v>12</v>
      </c>
      <c r="CM5" s="286">
        <f>'Data-temp_employment'!CM5-last_qrtr_tempemp!CN5</f>
        <v>-281.89999999999964</v>
      </c>
      <c r="CN5" s="286">
        <f>'Data-temp_employment'!CN5-last_qrtr_tempemp!CO5</f>
        <v>-209</v>
      </c>
      <c r="CO5" s="286">
        <f>'Data-temp_employment'!CO5-last_qrtr_tempemp!CP5</f>
        <v>244.30000000000018</v>
      </c>
      <c r="CP5" s="286">
        <f>'Data-temp_employment'!CP5-last_qrtr_tempemp!CQ5</f>
        <v>587.5</v>
      </c>
      <c r="CQ5" s="286">
        <f>'Data-temp_employment'!CQ5-last_qrtr_tempemp!CR5</f>
        <v>-269.30000000000018</v>
      </c>
      <c r="CR5" s="286">
        <f>'Data-temp_employment'!CR5-last_qrtr_tempemp!CS5</f>
        <v>106.69999999999982</v>
      </c>
      <c r="CS5" s="286">
        <f>'Data-temp_employment'!CS5-last_qrtr_tempemp!CT5</f>
        <v>527.10000000000036</v>
      </c>
      <c r="CT5" s="286">
        <f>'Data-temp_employment'!CT5-last_qrtr_tempemp!CU5</f>
        <v>567.89999999999964</v>
      </c>
      <c r="CU5" s="286">
        <f>'Data-temp_employment'!CU5-last_qrtr_tempemp!CV5</f>
        <v>-314.5</v>
      </c>
      <c r="CV5" s="286">
        <f>'Data-temp_employment'!CV5</f>
        <v>7248.2</v>
      </c>
      <c r="CW5" s="285" t="s">
        <v>12</v>
      </c>
      <c r="CX5" s="286">
        <f>'Data-temp_employment'!CX5-last_qrtr_tempemp!CY5</f>
        <v>-406</v>
      </c>
      <c r="CY5" s="286">
        <f>'Data-temp_employment'!CY5-last_qrtr_tempemp!CZ5</f>
        <v>-212.89999999999964</v>
      </c>
      <c r="CZ5" s="286">
        <f>'Data-temp_employment'!CZ5-last_qrtr_tempemp!DA5</f>
        <v>776.5</v>
      </c>
      <c r="DA5" s="286">
        <f>'Data-temp_employment'!DA5-last_qrtr_tempemp!DB5</f>
        <v>657.19999999999891</v>
      </c>
      <c r="DB5" s="286">
        <f>'Data-temp_employment'!DB5-last_qrtr_tempemp!DC5</f>
        <v>-589.29999999999927</v>
      </c>
      <c r="DC5" s="286">
        <f>'Data-temp_employment'!DC5-last_qrtr_tempemp!DD5</f>
        <v>-297</v>
      </c>
      <c r="DD5" s="286">
        <f>'Data-temp_employment'!DD5-last_qrtr_tempemp!DE5</f>
        <v>608.90000000000146</v>
      </c>
      <c r="DE5" s="286">
        <f>'Data-temp_employment'!DE5-last_qrtr_tempemp!DF5</f>
        <v>646.40000000000146</v>
      </c>
      <c r="DF5" s="286">
        <f>'Data-temp_employment'!DF5-last_qrtr_tempemp!DG5</f>
        <v>-554.80000000000109</v>
      </c>
      <c r="DG5" s="286">
        <f>'Data-temp_employment'!DG5</f>
        <v>12000.1</v>
      </c>
      <c r="DH5" s="285" t="s">
        <v>12</v>
      </c>
      <c r="DI5" s="286">
        <f>'Data-temp_employment'!DI5-last_qrtr_tempemp!DJ5</f>
        <v>0.8000000000001819</v>
      </c>
      <c r="DJ5" s="286">
        <f>'Data-temp_employment'!DJ5-last_qrtr_tempemp!DK5</f>
        <v>182.59999999999945</v>
      </c>
      <c r="DK5" s="286">
        <f>'Data-temp_employment'!DK5-last_qrtr_tempemp!DL5</f>
        <v>127.39999999999964</v>
      </c>
      <c r="DL5" s="286">
        <f>'Data-temp_employment'!DL5-last_qrtr_tempemp!DM5</f>
        <v>247.80000000000018</v>
      </c>
      <c r="DM5" s="286">
        <f>'Data-temp_employment'!DM5-last_qrtr_tempemp!DN5</f>
        <v>-22.800000000000182</v>
      </c>
      <c r="DN5" s="286">
        <f>'Data-temp_employment'!DN5-last_qrtr_tempemp!DO5</f>
        <v>268.30000000000018</v>
      </c>
      <c r="DO5" s="286">
        <f>'Data-temp_employment'!DO5-last_qrtr_tempemp!DP5</f>
        <v>301.19999999999982</v>
      </c>
      <c r="DP5" s="286">
        <f>'Data-temp_employment'!DP5-last_qrtr_tempemp!DQ5</f>
        <v>397.19999999999982</v>
      </c>
      <c r="DQ5" s="286">
        <f>'Data-temp_employment'!DQ5-last_qrtr_tempemp!DR5</f>
        <v>-29.800000000000182</v>
      </c>
      <c r="DR5" s="286">
        <f>'Data-temp_employment'!DR5</f>
        <v>7833.5</v>
      </c>
      <c r="DS5" s="285" t="s">
        <v>12</v>
      </c>
      <c r="DT5" s="286">
        <f>'Data-temp_employment'!DT5-last_qrtr_tempemp!DU5</f>
        <v>13.400000000000006</v>
      </c>
      <c r="DU5" s="286">
        <f>'Data-temp_employment'!DU5-last_qrtr_tempemp!DV5</f>
        <v>11.5</v>
      </c>
      <c r="DV5" s="286">
        <f>'Data-temp_employment'!DV5-last_qrtr_tempemp!DW5</f>
        <v>17.400000000000006</v>
      </c>
      <c r="DW5" s="286">
        <f>'Data-temp_employment'!DW5-last_qrtr_tempemp!DX5</f>
        <v>6.2999999999999972</v>
      </c>
      <c r="DX5" s="286">
        <f>'Data-temp_employment'!DX5-last_qrtr_tempemp!DY5</f>
        <v>6.4000000000000057</v>
      </c>
      <c r="DY5" s="286">
        <f>'Data-temp_employment'!DY5-last_qrtr_tempemp!DZ5</f>
        <v>1.5999999999999943</v>
      </c>
      <c r="DZ5" s="286">
        <f>'Data-temp_employment'!DZ5-last_qrtr_tempemp!EA5</f>
        <v>10.100000000000009</v>
      </c>
      <c r="EA5" s="286">
        <f>'Data-temp_employment'!EA5-last_qrtr_tempemp!EB5</f>
        <v>-3.9000000000000057</v>
      </c>
      <c r="EB5" s="286">
        <f>'Data-temp_employment'!EB5-last_qrtr_tempemp!EC5</f>
        <v>0.40000000000000568</v>
      </c>
      <c r="EC5" s="286">
        <f>'Data-temp_employment'!EC5</f>
        <v>67.2</v>
      </c>
      <c r="ED5" s="279" t="s">
        <v>12</v>
      </c>
      <c r="EE5" s="286">
        <f>'Data-temp_employment'!EE5-last_qrtr_tempemp!EF5</f>
        <v>-1.6000000000000227</v>
      </c>
      <c r="EF5" s="286">
        <f>'Data-temp_employment'!EF5-last_qrtr_tempemp!EG5</f>
        <v>19.5</v>
      </c>
      <c r="EG5" s="286">
        <f>'Data-temp_employment'!EG5-last_qrtr_tempemp!EH5</f>
        <v>37.600000000000023</v>
      </c>
      <c r="EH5" s="286">
        <f>'Data-temp_employment'!EH5-last_qrtr_tempemp!EI5</f>
        <v>32.099999999999966</v>
      </c>
      <c r="EI5" s="286">
        <f>'Data-temp_employment'!EI5-last_qrtr_tempemp!EJ5</f>
        <v>-16.099999999999966</v>
      </c>
      <c r="EJ5" s="286">
        <f>'Data-temp_employment'!EJ5-last_qrtr_tempemp!EK5</f>
        <v>-45.399999999999977</v>
      </c>
      <c r="EK5" s="286">
        <f>'Data-temp_employment'!EK5-last_qrtr_tempemp!EL5</f>
        <v>6.7000000000000455</v>
      </c>
      <c r="EL5" s="286">
        <f>'Data-temp_employment'!EL5-last_qrtr_tempemp!EM5</f>
        <v>17.399999999999977</v>
      </c>
      <c r="EM5" s="286">
        <f>'Data-temp_employment'!EM5-last_qrtr_tempemp!EN5</f>
        <v>-4.9000000000000341</v>
      </c>
      <c r="EN5" s="286">
        <f>'Data-temp_employment'!EN5</f>
        <v>292.2</v>
      </c>
      <c r="EO5" s="279" t="s">
        <v>12</v>
      </c>
      <c r="EP5" s="286">
        <f>'Data-temp_employment'!EP5-last_qrtr_tempemp!EQ5</f>
        <v>132.5</v>
      </c>
      <c r="EQ5" s="286">
        <f>'Data-temp_employment'!EQ5-last_qrtr_tempemp!ER5</f>
        <v>405.90000000000009</v>
      </c>
      <c r="ER5" s="286">
        <f>'Data-temp_employment'!ER5-last_qrtr_tempemp!ES5</f>
        <v>-128.90000000000009</v>
      </c>
      <c r="ES5" s="286">
        <f>'Data-temp_employment'!ES5-last_qrtr_tempemp!ET5</f>
        <v>50</v>
      </c>
      <c r="ET5" s="286">
        <f>'Data-temp_employment'!ET5-last_qrtr_tempemp!EU5</f>
        <v>-2.5</v>
      </c>
      <c r="EU5" s="286">
        <f>'Data-temp_employment'!EU5-last_qrtr_tempemp!EV5</f>
        <v>401</v>
      </c>
      <c r="EV5" s="286">
        <f>'Data-temp_employment'!EV5-last_qrtr_tempemp!EW5</f>
        <v>-173</v>
      </c>
      <c r="EW5" s="286">
        <f>'Data-temp_employment'!EW5-last_qrtr_tempemp!EX5</f>
        <v>108.09999999999991</v>
      </c>
      <c r="EX5" s="286">
        <f>'Data-temp_employment'!EX5-last_qrtr_tempemp!EY5</f>
        <v>38.899999999999636</v>
      </c>
      <c r="EY5" s="286">
        <f>'Data-temp_employment'!EY5</f>
        <v>4302.3</v>
      </c>
      <c r="EZ5" s="279" t="s">
        <v>12</v>
      </c>
      <c r="FA5" s="286">
        <f>'Data-temp_employment'!FA5-last_qrtr_tempemp!FB5</f>
        <v>10.599999999999909</v>
      </c>
      <c r="FB5" s="286">
        <f>'Data-temp_employment'!FB5-last_qrtr_tempemp!FC5</f>
        <v>81.700000000000273</v>
      </c>
      <c r="FC5" s="286">
        <f>'Data-temp_employment'!FC5-last_qrtr_tempemp!FD5</f>
        <v>46.699999999999818</v>
      </c>
      <c r="FD5" s="286">
        <f>'Data-temp_employment'!FD5-last_qrtr_tempemp!FE5</f>
        <v>74.400000000000091</v>
      </c>
      <c r="FE5" s="286">
        <f>'Data-temp_employment'!FE5-last_qrtr_tempemp!FF5</f>
        <v>-61.199999999999818</v>
      </c>
      <c r="FF5" s="286">
        <f>'Data-temp_employment'!FF5-last_qrtr_tempemp!FG5</f>
        <v>81</v>
      </c>
      <c r="FG5" s="286">
        <f>'Data-temp_employment'!FG5-last_qrtr_tempemp!FH5</f>
        <v>127</v>
      </c>
      <c r="FH5" s="286">
        <f>'Data-temp_employment'!FH5-last_qrtr_tempemp!FI5</f>
        <v>231</v>
      </c>
      <c r="FI5" s="286">
        <f>'Data-temp_employment'!FI5-last_qrtr_tempemp!FJ5</f>
        <v>51</v>
      </c>
      <c r="FJ5" s="286">
        <f>'Data-temp_employment'!FJ5</f>
        <v>3505.6</v>
      </c>
      <c r="FK5" s="279" t="s">
        <v>12</v>
      </c>
      <c r="FL5" s="286">
        <f>'Data-temp_employment'!FL5-last_qrtr_tempemp!FM5</f>
        <v>-79.099999999999909</v>
      </c>
      <c r="FM5" s="286">
        <f>'Data-temp_employment'!FM5-last_qrtr_tempemp!FN5</f>
        <v>-95.5</v>
      </c>
      <c r="FN5" s="286">
        <f>'Data-temp_employment'!FN5-last_qrtr_tempemp!FO5</f>
        <v>105.89999999999964</v>
      </c>
      <c r="FO5" s="286">
        <f>'Data-temp_employment'!FO5-last_qrtr_tempemp!FP5</f>
        <v>145.5</v>
      </c>
      <c r="FP5" s="286">
        <f>'Data-temp_employment'!FP5-last_qrtr_tempemp!FQ5</f>
        <v>27.699999999999818</v>
      </c>
      <c r="FQ5" s="286">
        <f>'Data-temp_employment'!FQ5-last_qrtr_tempemp!FR5</f>
        <v>22.199999999999818</v>
      </c>
      <c r="FR5" s="286">
        <f>'Data-temp_employment'!FR5-last_qrtr_tempemp!FS5</f>
        <v>208.20000000000027</v>
      </c>
      <c r="FS5" s="286">
        <f>'Data-temp_employment'!FS5-last_qrtr_tempemp!FT5</f>
        <v>138.09999999999991</v>
      </c>
      <c r="FT5" s="286">
        <f>'Data-temp_employment'!FT5-last_qrtr_tempemp!FU5</f>
        <v>-94.399999999999636</v>
      </c>
      <c r="FU5" s="286">
        <f>'Data-temp_employment'!FU5</f>
        <v>2683.5</v>
      </c>
      <c r="FV5" s="279" t="s">
        <v>12</v>
      </c>
      <c r="FW5" s="286">
        <f>'Data-temp_employment'!FW5-last_qrtr_tempemp!FX5</f>
        <v>-264.5</v>
      </c>
      <c r="FX5" s="286">
        <f>'Data-temp_employment'!FX5-last_qrtr_tempemp!FY5</f>
        <v>-249.39999999999964</v>
      </c>
      <c r="FY5" s="286">
        <f>'Data-temp_employment'!FY5-last_qrtr_tempemp!FZ5</f>
        <v>575.5</v>
      </c>
      <c r="FZ5" s="286">
        <f>'Data-temp_employment'!FZ5-last_qrtr_tempemp!GA5</f>
        <v>432.80000000000018</v>
      </c>
      <c r="GA5" s="286">
        <f>'Data-temp_employment'!GA5-last_qrtr_tempemp!GB5</f>
        <v>-344.5</v>
      </c>
      <c r="GB5" s="286">
        <f>'Data-temp_employment'!GB5-last_qrtr_tempemp!GC5</f>
        <v>-262.40000000000055</v>
      </c>
      <c r="GC5" s="286">
        <f>'Data-temp_employment'!GC5-last_qrtr_tempemp!GD5</f>
        <v>593.5</v>
      </c>
      <c r="GD5" s="286">
        <f>'Data-temp_employment'!GD5-last_qrtr_tempemp!GE5</f>
        <v>291.30000000000018</v>
      </c>
      <c r="GE5" s="286">
        <f>'Data-temp_employment'!GE5-last_qrtr_tempemp!GF5</f>
        <v>-360.60000000000036</v>
      </c>
      <c r="GF5" s="286">
        <f>'Data-temp_employment'!GF5</f>
        <v>5736.5</v>
      </c>
      <c r="GG5" s="279" t="s">
        <v>12</v>
      </c>
      <c r="GH5" s="286">
        <f>'Data-temp_employment'!GH5-last_qrtr_tempemp!GI5</f>
        <v>-66.600000000000023</v>
      </c>
      <c r="GI5" s="286">
        <f>'Data-temp_employment'!GI5-last_qrtr_tempemp!GJ5</f>
        <v>-42</v>
      </c>
      <c r="GJ5" s="286">
        <f>'Data-temp_employment'!GJ5-last_qrtr_tempemp!GK5</f>
        <v>52.399999999999977</v>
      </c>
      <c r="GK5" s="286">
        <f>'Data-temp_employment'!GK5-last_qrtr_tempemp!GL5</f>
        <v>7.3000000000000114</v>
      </c>
      <c r="GL5" s="286">
        <f>'Data-temp_employment'!GL5-last_qrtr_tempemp!GM5</f>
        <v>-63.600000000000023</v>
      </c>
      <c r="GM5" s="286">
        <f>'Data-temp_employment'!GM5-last_qrtr_tempemp!GN5</f>
        <v>0</v>
      </c>
      <c r="GN5" s="286">
        <f>'Data-temp_employment'!GN5-last_qrtr_tempemp!GO5</f>
        <v>101.80000000000001</v>
      </c>
      <c r="GO5" s="286">
        <f>'Data-temp_employment'!GO5-last_qrtr_tempemp!GP5</f>
        <v>19.800000000000011</v>
      </c>
      <c r="GP5" s="286">
        <f>'Data-temp_employment'!GP5-last_qrtr_tempemp!GQ5</f>
        <v>-85.799999999999955</v>
      </c>
      <c r="GQ5" s="286">
        <f>'Data-temp_employment'!GQ5</f>
        <v>477.8</v>
      </c>
      <c r="GR5" s="279" t="s">
        <v>12</v>
      </c>
      <c r="GS5" s="286">
        <f>'Data-temp_employment'!GS5-last_qrtr_tempemp!GT5</f>
        <v>-82.599999999999909</v>
      </c>
      <c r="GT5" s="286">
        <f>'Data-temp_employment'!GT5-last_qrtr_tempemp!GU5</f>
        <v>-16.099999999999909</v>
      </c>
      <c r="GU5" s="286">
        <f>'Data-temp_employment'!GU5-last_qrtr_tempemp!GV5</f>
        <v>40.100000000000364</v>
      </c>
      <c r="GV5" s="286">
        <f>'Data-temp_employment'!GV5-last_qrtr_tempemp!GW5</f>
        <v>199.19999999999982</v>
      </c>
      <c r="GW5" s="286">
        <f>'Data-temp_employment'!GW5-last_qrtr_tempemp!GX5</f>
        <v>-149.10000000000036</v>
      </c>
      <c r="GX5" s="286">
        <f>'Data-temp_employment'!GX5-last_qrtr_tempemp!GY5</f>
        <v>-14.799999999999727</v>
      </c>
      <c r="GY5" s="286">
        <f>'Data-temp_employment'!GY5-last_qrtr_tempemp!GZ5</f>
        <v>22</v>
      </c>
      <c r="GZ5" s="286">
        <f>'Data-temp_employment'!GZ5-last_qrtr_tempemp!HA5</f>
        <v>211.09999999999991</v>
      </c>
      <c r="HA5" s="286">
        <f>'Data-temp_employment'!HA5-last_qrtr_tempemp!HB5</f>
        <v>-126.40000000000009</v>
      </c>
      <c r="HB5" s="286">
        <f>'Data-temp_employment'!HB5</f>
        <v>3170.9</v>
      </c>
      <c r="HC5" s="279" t="s">
        <v>12</v>
      </c>
      <c r="HD5" s="286">
        <f>'Data-temp_employment'!HD5-last_qrtr_tempemp!HE5</f>
        <v>-120.79999999999995</v>
      </c>
      <c r="HE5" s="286">
        <f>'Data-temp_employment'!HE5-last_qrtr_tempemp!HF5</f>
        <v>-26.200000000000045</v>
      </c>
      <c r="HF5" s="286">
        <f>'Data-temp_employment'!HF5-last_qrtr_tempemp!HG5</f>
        <v>144.89999999999986</v>
      </c>
      <c r="HG5" s="286">
        <f>'Data-temp_employment'!HG5-last_qrtr_tempemp!HH5</f>
        <v>173.5</v>
      </c>
      <c r="HH5" s="286">
        <f>'Data-temp_employment'!HH5-last_qrtr_tempemp!HI5</f>
        <v>-103.59999999999991</v>
      </c>
      <c r="HI5" s="286">
        <f>'Data-temp_employment'!HI5-last_qrtr_tempemp!HJ5</f>
        <v>3</v>
      </c>
      <c r="HJ5" s="286">
        <f>'Data-temp_employment'!HJ5-last_qrtr_tempemp!HK5</f>
        <v>141.10000000000036</v>
      </c>
      <c r="HK5" s="286">
        <f>'Data-temp_employment'!HK5-last_qrtr_tempemp!HL5</f>
        <v>260.70000000000005</v>
      </c>
      <c r="HL5" s="286">
        <f>'Data-temp_employment'!HL5-last_qrtr_tempemp!HM5</f>
        <v>-7</v>
      </c>
      <c r="HM5" s="286">
        <f>'Data-temp_employment'!HM5</f>
        <v>2162.4</v>
      </c>
      <c r="HN5" s="279" t="s">
        <v>12</v>
      </c>
      <c r="HO5" s="286">
        <f>'Data-temp_employment'!HO5-last_qrtr_tempemp!HP5</f>
        <v>-220.10000000000036</v>
      </c>
      <c r="HP5" s="286">
        <f>'Data-temp_employment'!HP5-last_qrtr_tempemp!HQ5</f>
        <v>-297.69999999999982</v>
      </c>
      <c r="HQ5" s="286">
        <f>'Data-temp_employment'!HQ5-last_qrtr_tempemp!HR5</f>
        <v>298.39999999999964</v>
      </c>
      <c r="HR5" s="286">
        <f>'Data-temp_employment'!HR5-last_qrtr_tempemp!HS5</f>
        <v>384.80000000000018</v>
      </c>
      <c r="HS5" s="286">
        <f>'Data-temp_employment'!HS5-last_qrtr_tempemp!HT5</f>
        <v>-186.60000000000036</v>
      </c>
      <c r="HT5" s="286">
        <f>'Data-temp_employment'!HT5-last_qrtr_tempemp!HU5</f>
        <v>-134.09999999999945</v>
      </c>
      <c r="HU5" s="286">
        <f>'Data-temp_employment'!HU5-last_qrtr_tempemp!HV5</f>
        <v>435.30000000000018</v>
      </c>
      <c r="HV5" s="286">
        <f>'Data-temp_employment'!HV5-last_qrtr_tempemp!HW5</f>
        <v>327.10000000000036</v>
      </c>
      <c r="HW5" s="286">
        <f>'Data-temp_employment'!HW5-last_qrtr_tempemp!HX5</f>
        <v>-305.10000000000036</v>
      </c>
      <c r="HX5" s="286">
        <f>'Data-temp_employment'!HX5</f>
        <v>4560.3</v>
      </c>
      <c r="HY5" s="279" t="s">
        <v>12</v>
      </c>
      <c r="HZ5" s="286">
        <f>'Data-temp_employment'!HZ5-last_qrtr_tempemp!IA5</f>
        <v>-9.5999999999999943</v>
      </c>
      <c r="IA5" s="286">
        <f>'Data-temp_employment'!IA5-last_qrtr_tempemp!IB5</f>
        <v>-28.100000000000023</v>
      </c>
      <c r="IB5" s="286">
        <f>'Data-temp_employment'!IB5-last_qrtr_tempemp!IC5</f>
        <v>-31.099999999999994</v>
      </c>
      <c r="IC5" s="286">
        <f>'Data-temp_employment'!IC5-last_qrtr_tempemp!ID5</f>
        <v>15.5</v>
      </c>
      <c r="ID5" s="286">
        <f>'Data-temp_employment'!ID5-last_qrtr_tempemp!IE5</f>
        <v>19.700000000000017</v>
      </c>
      <c r="IE5" s="286">
        <f>'Data-temp_employment'!IE5-last_qrtr_tempemp!IF5</f>
        <v>34</v>
      </c>
      <c r="IF5" s="286">
        <f>'Data-temp_employment'!IF5-last_qrtr_tempemp!IG5</f>
        <v>-34.5</v>
      </c>
      <c r="IG5" s="286">
        <f>'Data-temp_employment'!IG5-last_qrtr_tempemp!IH5</f>
        <v>2.3999999999999773</v>
      </c>
      <c r="IH5" s="286">
        <f>'Data-temp_employment'!IH5-last_qrtr_tempemp!II5</f>
        <v>0.20000000000001705</v>
      </c>
      <c r="II5" s="286">
        <f>'Data-temp_employment'!II5</f>
        <v>185.1</v>
      </c>
      <c r="IJ5" s="279" t="s">
        <v>12</v>
      </c>
      <c r="IK5" s="286">
        <f>'Data-temp_employment'!IK5-last_qrtr_tempemp!IL5</f>
        <v>28.1</v>
      </c>
      <c r="IL5" s="286">
        <f>'Data-temp_employment'!IL5-last_qrtr_tempemp!IM5</f>
        <v>19.899999999999991</v>
      </c>
      <c r="IM5" s="286">
        <f>'Data-temp_employment'!IM5-last_qrtr_tempemp!IN5</f>
        <v>24.200000000000003</v>
      </c>
      <c r="IN5" s="286">
        <f>'Data-temp_employment'!IN5-last_qrtr_tempemp!IO5</f>
        <v>-16.299999999999997</v>
      </c>
      <c r="IO5" s="286">
        <f>'Data-temp_employment'!IO5-last_qrtr_tempemp!IP5</f>
        <v>4.7999999999999972</v>
      </c>
      <c r="IP5" s="286">
        <f>'Data-temp_employment'!IP5-last_qrtr_tempemp!IQ5</f>
        <v>-4.8999999999999915</v>
      </c>
      <c r="IQ5" s="286">
        <f>'Data-temp_employment'!IQ5-last_qrtr_tempemp!IR5</f>
        <v>19.299999999999997</v>
      </c>
      <c r="IR5" s="286">
        <f>'Data-temp_employment'!IR5-last_qrtr_tempemp!IS5</f>
        <v>0.80000000000001137</v>
      </c>
      <c r="IS5" s="286">
        <f>'Data-temp_employment'!IS5-last_qrtr_tempemp!IT5</f>
        <v>-4.5</v>
      </c>
      <c r="IT5" s="286">
        <f>'Data-temp_employment'!IT5</f>
        <v>72.400000000000006</v>
      </c>
      <c r="IU5" s="279" t="s">
        <v>12</v>
      </c>
      <c r="IV5" s="286">
        <f>'Data-temp_employment'!IV5-last_qrtr_tempemp!IW5</f>
        <v>-62.899999999999977</v>
      </c>
      <c r="IW5" s="286">
        <f>'Data-temp_employment'!IW5-last_qrtr_tempemp!IX5</f>
        <v>-39.899999999999977</v>
      </c>
      <c r="IX5" s="286">
        <f>'Data-temp_employment'!IX5-last_qrtr_tempemp!IY5</f>
        <v>21.399999999999977</v>
      </c>
      <c r="IY5" s="286">
        <f>'Data-temp_employment'!IY5-last_qrtr_tempemp!IZ5</f>
        <v>85.700000000000045</v>
      </c>
      <c r="IZ5" s="286">
        <f>'Data-temp_employment'!IZ5-last_qrtr_tempemp!JA5</f>
        <v>-94.100000000000023</v>
      </c>
      <c r="JA5" s="286">
        <f>'Data-temp_employment'!JA5-last_qrtr_tempemp!JB5</f>
        <v>3.6000000000000227</v>
      </c>
      <c r="JB5" s="286">
        <f>'Data-temp_employment'!JB5-last_qrtr_tempemp!JC5</f>
        <v>69.5</v>
      </c>
      <c r="JC5" s="286">
        <f>'Data-temp_employment'!JC5-last_qrtr_tempemp!JD5</f>
        <v>110.20000000000005</v>
      </c>
      <c r="JD5" s="286">
        <f>'Data-temp_employment'!JD5-last_qrtr_tempemp!JE5</f>
        <v>-136.39999999999998</v>
      </c>
      <c r="JE5" s="286">
        <f>'Data-temp_employment'!JE5</f>
        <v>982.4</v>
      </c>
      <c r="JF5" s="279" t="s">
        <v>12</v>
      </c>
      <c r="JG5" s="286">
        <f>'Data-temp_employment'!JG5-last_qrtr_tempemp!JH5</f>
        <v>-134.5</v>
      </c>
      <c r="JH5" s="286">
        <f>'Data-temp_employment'!JH5-last_qrtr_tempemp!JI5</f>
        <v>-74.599999999999909</v>
      </c>
      <c r="JI5" s="286">
        <f>'Data-temp_employment'!JI5-last_qrtr_tempemp!JJ5</f>
        <v>201.40000000000009</v>
      </c>
      <c r="JJ5" s="286">
        <f>'Data-temp_employment'!JJ5-last_qrtr_tempemp!JK5</f>
        <v>270.20000000000027</v>
      </c>
      <c r="JK5" s="286">
        <f>'Data-temp_employment'!JK5-last_qrtr_tempemp!JL5</f>
        <v>-65.800000000000182</v>
      </c>
      <c r="JL5" s="286">
        <f>'Data-temp_employment'!JL5-last_qrtr_tempemp!JM5</f>
        <v>-60.299999999999727</v>
      </c>
      <c r="JM5" s="286">
        <f>'Data-temp_employment'!JM5-last_qrtr_tempemp!JN5</f>
        <v>128.5</v>
      </c>
      <c r="JN5" s="286">
        <f>'Data-temp_employment'!JN5-last_qrtr_tempemp!JO5</f>
        <v>199.69999999999982</v>
      </c>
      <c r="JO5" s="286">
        <f>'Data-temp_employment'!JO5-last_qrtr_tempemp!JP5</f>
        <v>-69.299999999999727</v>
      </c>
      <c r="JP5" s="286">
        <f>'Data-temp_employment'!JP5</f>
        <v>3915.9</v>
      </c>
      <c r="JQ5" s="279" t="s">
        <v>12</v>
      </c>
      <c r="JR5" s="286">
        <f>'Data-temp_employment'!JR5-last_qrtr_tempemp!JS5</f>
        <v>-144.40000000000009</v>
      </c>
      <c r="JS5" s="286">
        <f>'Data-temp_employment'!JS5-last_qrtr_tempemp!JT5</f>
        <v>-59.700000000000045</v>
      </c>
      <c r="JT5" s="286">
        <f>'Data-temp_employment'!JT5-last_qrtr_tempemp!JU5</f>
        <v>41.099999999999909</v>
      </c>
      <c r="JU5" s="286">
        <f>'Data-temp_employment'!JU5-last_qrtr_tempemp!JV5</f>
        <v>142</v>
      </c>
      <c r="JV5" s="286">
        <f>'Data-temp_employment'!JV5-last_qrtr_tempemp!JW5</f>
        <v>-123.70000000000005</v>
      </c>
      <c r="JW5" s="286">
        <f>'Data-temp_employment'!JW5-last_qrtr_tempemp!JX5</f>
        <v>-9.6000000000001364</v>
      </c>
      <c r="JX5" s="286">
        <f>'Data-temp_employment'!JX5-last_qrtr_tempemp!JY5</f>
        <v>39.600000000000136</v>
      </c>
      <c r="JY5" s="286">
        <f>'Data-temp_employment'!JY5-last_qrtr_tempemp!JZ5</f>
        <v>138.80000000000018</v>
      </c>
      <c r="JZ5" s="286">
        <f>'Data-temp_employment'!JZ5-last_qrtr_tempemp!KA5</f>
        <v>-108.59999999999991</v>
      </c>
      <c r="KA5" s="286">
        <f>'Data-temp_employment'!KA5</f>
        <v>1707.9</v>
      </c>
      <c r="KB5" s="279" t="s">
        <v>12</v>
      </c>
      <c r="KC5" s="286">
        <f>'Data-temp_employment'!KC5-last_qrtr_tempemp!KD5</f>
        <v>30.800000000000182</v>
      </c>
      <c r="KD5" s="286">
        <f>'Data-temp_employment'!KD5-last_qrtr_tempemp!KE5</f>
        <v>-123.40000000000009</v>
      </c>
      <c r="KE5" s="286">
        <f>'Data-temp_employment'!KE5-last_qrtr_tempemp!KF5</f>
        <v>82.5</v>
      </c>
      <c r="KF5" s="286">
        <f>'Data-temp_employment'!KF5-last_qrtr_tempemp!KG5</f>
        <v>273.79999999999973</v>
      </c>
      <c r="KG5" s="286">
        <f>'Data-temp_employment'!KG5-last_qrtr_tempemp!KH5</f>
        <v>5.7999999999997272</v>
      </c>
      <c r="KH5" s="286">
        <f>'Data-temp_employment'!KH5-last_qrtr_tempemp!KI5</f>
        <v>-118.30000000000018</v>
      </c>
      <c r="KI5" s="286">
        <f>'Data-temp_employment'!KI5-last_qrtr_tempemp!KJ5</f>
        <v>103.09999999999991</v>
      </c>
      <c r="KJ5" s="286">
        <f>'Data-temp_employment'!KJ5-last_qrtr_tempemp!KK5</f>
        <v>226.90000000000009</v>
      </c>
      <c r="KK5" s="286">
        <f>'Data-temp_employment'!KK5-last_qrtr_tempemp!KL5</f>
        <v>10.5</v>
      </c>
      <c r="KL5" s="286">
        <f>'Data-temp_employment'!KL5</f>
        <v>3516.4</v>
      </c>
      <c r="KM5" s="279" t="s">
        <v>12</v>
      </c>
      <c r="KN5" s="286">
        <f>'Data-temp_employment'!KN5-last_qrtr_tempemp!KO5</f>
        <v>93.099999999999909</v>
      </c>
      <c r="KO5" s="286">
        <f>'Data-temp_employment'!KO5-last_qrtr_tempemp!KP5</f>
        <v>28.099999999999909</v>
      </c>
      <c r="KP5" s="286">
        <f>'Data-temp_employment'!KP5-last_qrtr_tempemp!KQ5</f>
        <v>46.699999999999818</v>
      </c>
      <c r="KQ5" s="286">
        <f>'Data-temp_employment'!KQ5-last_qrtr_tempemp!KR5</f>
        <v>53.799999999999955</v>
      </c>
      <c r="KR5" s="286">
        <f>'Data-temp_employment'!KR5-last_qrtr_tempemp!KS5</f>
        <v>-26.700000000000045</v>
      </c>
      <c r="KS5" s="286">
        <f>'Data-temp_employment'!KS5-last_qrtr_tempemp!KT5</f>
        <v>2.8999999999998636</v>
      </c>
      <c r="KT5" s="286">
        <f>'Data-temp_employment'!KT5-last_qrtr_tempemp!KU5</f>
        <v>68.199999999999818</v>
      </c>
      <c r="KU5" s="286">
        <f>'Data-temp_employment'!KU5-last_qrtr_tempemp!KV5</f>
        <v>164.30000000000018</v>
      </c>
      <c r="KV5" s="286">
        <f>'Data-temp_employment'!KV5-last_qrtr_tempemp!KW5</f>
        <v>32.299999999999955</v>
      </c>
      <c r="KW5" s="286">
        <f>'Data-temp_employment'!KW5</f>
        <v>1186.4000000000001</v>
      </c>
      <c r="KX5" s="279" t="s">
        <v>12</v>
      </c>
      <c r="KY5" s="286">
        <f>'Data-temp_employment'!KY5-last_qrtr_tempemp!KZ5</f>
        <v>-289.79999999999995</v>
      </c>
      <c r="KZ5" s="286">
        <f>'Data-temp_employment'!KZ5-last_qrtr_tempemp!LA5</f>
        <v>-196.59999999999991</v>
      </c>
      <c r="LA5" s="286">
        <f>'Data-temp_employment'!LA5-last_qrtr_tempemp!LB5</f>
        <v>641.5</v>
      </c>
      <c r="LB5" s="286">
        <f>'Data-temp_employment'!LB5-last_qrtr_tempemp!LC5</f>
        <v>183.79999999999995</v>
      </c>
      <c r="LC5" s="286">
        <f>'Data-temp_employment'!LC5-last_qrtr_tempemp!LD5</f>
        <v>-419.69999999999982</v>
      </c>
      <c r="LD5" s="286">
        <f>'Data-temp_employment'!LD5-last_qrtr_tempemp!LE5</f>
        <v>-216</v>
      </c>
      <c r="LE5" s="286">
        <f>'Data-temp_employment'!LE5-last_qrtr_tempemp!LF5</f>
        <v>703.5</v>
      </c>
      <c r="LF5" s="286">
        <f>'Data-temp_employment'!LF5-last_qrtr_tempemp!LG5</f>
        <v>223.89999999999986</v>
      </c>
      <c r="LG5" s="286">
        <f>'Data-temp_employment'!LG5-last_qrtr_tempemp!LH5</f>
        <v>-371.19999999999982</v>
      </c>
      <c r="LH5" s="286">
        <f>'Data-temp_employment'!LH5</f>
        <v>2270.8000000000002</v>
      </c>
      <c r="LI5" s="279" t="s">
        <v>12</v>
      </c>
      <c r="LJ5" s="286">
        <f>'Data-temp_employment'!LJ5-last_qrtr_tempemp!LK5</f>
        <v>10.299999999999955</v>
      </c>
      <c r="LK5" s="286">
        <f>'Data-temp_employment'!LK5-last_qrtr_tempemp!LL5</f>
        <v>22.200000000000045</v>
      </c>
      <c r="LL5" s="286">
        <f>'Data-temp_employment'!LL5-last_qrtr_tempemp!LM5</f>
        <v>26.699999999999932</v>
      </c>
      <c r="LM5" s="286">
        <f>'Data-temp_employment'!LM5-last_qrtr_tempemp!LN5</f>
        <v>27.799999999999955</v>
      </c>
      <c r="LN5" s="286">
        <f>'Data-temp_employment'!LN5-last_qrtr_tempemp!LO5</f>
        <v>1.8999999999999773</v>
      </c>
      <c r="LO5" s="286">
        <f>'Data-temp_employment'!LO5-last_qrtr_tempemp!LP5</f>
        <v>37.5</v>
      </c>
      <c r="LP5" s="286">
        <f>'Data-temp_employment'!LP5-last_qrtr_tempemp!LQ5</f>
        <v>42.299999999999955</v>
      </c>
      <c r="LQ5" s="286">
        <f>'Data-temp_employment'!LQ5-last_qrtr_tempemp!LR5</f>
        <v>5.3000000000000682</v>
      </c>
      <c r="LR5" s="286">
        <f>'Data-temp_employment'!LR5-last_qrtr_tempemp!LS5</f>
        <v>-17.5</v>
      </c>
      <c r="LS5" s="286">
        <f>'Data-temp_employment'!LS5</f>
        <v>563.4</v>
      </c>
      <c r="LT5" s="279" t="s">
        <v>12</v>
      </c>
      <c r="LU5" s="286">
        <f>'Data-temp_employment'!LU5-last_qrtr_tempemp!LV5</f>
        <v>-21.5</v>
      </c>
      <c r="LV5" s="286">
        <f>'Data-temp_employment'!LV5-last_qrtr_tempemp!LW5</f>
        <v>-5</v>
      </c>
      <c r="LW5" s="286">
        <f>'Data-temp_employment'!LW5-last_qrtr_tempemp!LX5</f>
        <v>34.5</v>
      </c>
      <c r="LX5" s="286">
        <f>'Data-temp_employment'!LX5-last_qrtr_tempemp!LY5</f>
        <v>25.199999999999989</v>
      </c>
      <c r="LY5" s="286">
        <f>'Data-temp_employment'!LY5-last_qrtr_tempemp!LZ5</f>
        <v>-32.300000000000011</v>
      </c>
      <c r="LZ5" s="286">
        <f>'Data-temp_employment'!LZ5-last_qrtr_tempemp!MA5</f>
        <v>-14.099999999999966</v>
      </c>
      <c r="MA5" s="286">
        <f>'Data-temp_employment'!MA5-last_qrtr_tempemp!MB5</f>
        <v>-6.3999999999999773</v>
      </c>
      <c r="MB5" s="286">
        <f>'Data-temp_employment'!MB5-last_qrtr_tempemp!MC5</f>
        <v>8.7000000000000455</v>
      </c>
      <c r="MC5" s="286">
        <f>'Data-temp_employment'!MC5-last_qrtr_tempemp!MD5</f>
        <v>-20.600000000000023</v>
      </c>
      <c r="MD5" s="286">
        <f>'Data-temp_employment'!MD5</f>
        <v>372.4</v>
      </c>
      <c r="ME5" s="279" t="s">
        <v>12</v>
      </c>
      <c r="MF5" s="286">
        <f>'Data-temp_employment'!MF5-last_qrtr_tempemp!MG5</f>
        <v>-23.100000000000023</v>
      </c>
      <c r="MG5" s="286">
        <f>'Data-temp_employment'!MG5-last_qrtr_tempemp!MH5</f>
        <v>42.5</v>
      </c>
      <c r="MH5" s="286">
        <f>'Data-temp_employment'!MH5-last_qrtr_tempemp!MI5</f>
        <v>61.900000000000091</v>
      </c>
      <c r="MI5" s="286">
        <f>'Data-temp_employment'!MI5-last_qrtr_tempemp!MJ5</f>
        <v>76.699999999999932</v>
      </c>
      <c r="MJ5" s="286">
        <f>'Data-temp_employment'!MJ5-last_qrtr_tempemp!MK5</f>
        <v>-47.900000000000091</v>
      </c>
      <c r="MK5" s="286">
        <f>'Data-temp_employment'!MK5-last_qrtr_tempemp!ML5</f>
        <v>-9.9999999999909051E-2</v>
      </c>
      <c r="ML5" s="286">
        <f>'Data-temp_employment'!ML5-last_qrtr_tempemp!MM5</f>
        <v>44.799999999999955</v>
      </c>
      <c r="MM5" s="286">
        <f>'Data-temp_employment'!MM5-last_qrtr_tempemp!MN5</f>
        <v>88.099999999999909</v>
      </c>
      <c r="MN5" s="286">
        <f>'Data-temp_employment'!MN5-last_qrtr_tempemp!MO5</f>
        <v>-21.100000000000023</v>
      </c>
      <c r="MO5" s="286">
        <f>'Data-temp_employment'!MO5</f>
        <v>970.2</v>
      </c>
      <c r="MP5" s="279" t="s">
        <v>12</v>
      </c>
      <c r="MQ5" s="286">
        <f>'Data-temp_employment'!MQ5-last_qrtr_tempemp!MR5</f>
        <v>-55.099999999999909</v>
      </c>
      <c r="MR5" s="286">
        <f>'Data-temp_employment'!MR5-last_qrtr_tempemp!MS5</f>
        <v>-109</v>
      </c>
      <c r="MS5" s="286">
        <f>'Data-temp_employment'!MS5-last_qrtr_tempemp!MT5</f>
        <v>105.20000000000005</v>
      </c>
      <c r="MT5" s="286">
        <f>'Data-temp_employment'!MT5-last_qrtr_tempemp!MU5</f>
        <v>102.20000000000005</v>
      </c>
      <c r="MU5" s="286">
        <f>'Data-temp_employment'!MU5-last_qrtr_tempemp!MV5</f>
        <v>-45.399999999999864</v>
      </c>
      <c r="MV5" s="286">
        <f>'Data-temp_employment'!MV5-last_qrtr_tempemp!MW5</f>
        <v>-42.700000000000045</v>
      </c>
      <c r="MW5" s="286">
        <f>'Data-temp_employment'!MW5-last_qrtr_tempemp!MX5</f>
        <v>114</v>
      </c>
      <c r="MX5" s="286">
        <f>'Data-temp_employment'!MX5-last_qrtr_tempemp!MY5</f>
        <v>58.800000000000182</v>
      </c>
      <c r="MY5" s="286">
        <f>'Data-temp_employment'!MY5-last_qrtr_tempemp!MZ5</f>
        <v>-119.89999999999986</v>
      </c>
      <c r="MZ5" s="286">
        <f>'Data-temp_employment'!MZ5</f>
        <v>1530.3</v>
      </c>
      <c r="NA5" s="279" t="s">
        <v>12</v>
      </c>
      <c r="NB5" s="286">
        <f>'Data-temp_employment'!NB5-last_qrtr_tempemp!NC5</f>
        <v>-70.400000000000091</v>
      </c>
      <c r="NC5" s="286">
        <f>'Data-temp_employment'!NC5-last_qrtr_tempemp!ND5</f>
        <v>-59.799999999999955</v>
      </c>
      <c r="ND5" s="286">
        <f>'Data-temp_employment'!ND5-last_qrtr_tempemp!NE5</f>
        <v>39.799999999999955</v>
      </c>
      <c r="NE5" s="286">
        <f>'Data-temp_employment'!NE5-last_qrtr_tempemp!NF5</f>
        <v>94.300000000000182</v>
      </c>
      <c r="NF5" s="286">
        <f>'Data-temp_employment'!NF5-last_qrtr_tempemp!NG5</f>
        <v>-13.599999999999909</v>
      </c>
      <c r="NG5" s="286">
        <f>'Data-temp_employment'!NG5-last_qrtr_tempemp!NH5</f>
        <v>-22.899999999999864</v>
      </c>
      <c r="NH5" s="286">
        <f>'Data-temp_employment'!NH5-last_qrtr_tempemp!NI5</f>
        <v>24.900000000000091</v>
      </c>
      <c r="NI5" s="286">
        <f>'Data-temp_employment'!NI5-last_qrtr_tempemp!NJ5</f>
        <v>136.09999999999991</v>
      </c>
      <c r="NJ5" s="286">
        <f>'Data-temp_employment'!NJ5-last_qrtr_tempemp!NK5</f>
        <v>-43.5</v>
      </c>
      <c r="NK5" s="286">
        <f>'Data-temp_employment'!NK5</f>
        <v>1660.8</v>
      </c>
      <c r="NL5" s="279" t="s">
        <v>12</v>
      </c>
      <c r="NM5" s="286">
        <f>'Data-temp_employment'!NM5-last_qrtr_tempemp!NN5</f>
        <v>40.200000000000273</v>
      </c>
      <c r="NN5" s="286">
        <f>'Data-temp_employment'!NN5-last_qrtr_tempemp!NO5</f>
        <v>454.09999999999991</v>
      </c>
      <c r="NO5" s="286">
        <f>'Data-temp_employment'!NO5-last_qrtr_tempemp!NP5</f>
        <v>-396.20000000000027</v>
      </c>
      <c r="NP5" s="286">
        <f>'Data-temp_employment'!NP5-last_qrtr_tempemp!NQ5</f>
        <v>-83.199999999999818</v>
      </c>
      <c r="NQ5" s="286">
        <f>'Data-temp_employment'!NQ5-last_qrtr_tempemp!NR5</f>
        <v>17</v>
      </c>
      <c r="NR5" s="286">
        <f>'Data-temp_employment'!NR5-last_qrtr_tempemp!NS5</f>
        <v>512.59999999999991</v>
      </c>
      <c r="NS5" s="286">
        <f>'Data-temp_employment'!NS5-last_qrtr_tempemp!NT5</f>
        <v>-314.10000000000036</v>
      </c>
      <c r="NT5" s="286">
        <f>'Data-temp_employment'!NT5-last_qrtr_tempemp!NU5</f>
        <v>5.5999999999999091</v>
      </c>
      <c r="NU5" s="286">
        <f>'Data-temp_employment'!NU5-last_qrtr_tempemp!NV5</f>
        <v>66</v>
      </c>
      <c r="NV5" s="286">
        <f>'Data-temp_employment'!NV5</f>
        <v>2725.1</v>
      </c>
      <c r="NW5" s="279" t="s">
        <v>12</v>
      </c>
      <c r="NX5" s="286">
        <f>'Data-temp_employment'!NX5-last_qrtr_tempemp!NY5</f>
        <v>119.90000000000009</v>
      </c>
      <c r="NY5" s="286">
        <f>'Data-temp_employment'!NY5-last_qrtr_tempemp!NZ5</f>
        <v>6.0999999999999091</v>
      </c>
      <c r="NZ5" s="286">
        <f>'Data-temp_employment'!NZ5-last_qrtr_tempemp!OA5</f>
        <v>107.80000000000018</v>
      </c>
      <c r="OA5" s="286">
        <f>'Data-temp_employment'!OA5-last_qrtr_tempemp!OB5</f>
        <v>103.69999999999982</v>
      </c>
      <c r="OB5" s="286">
        <f>'Data-temp_employment'!OB5-last_qrtr_tempemp!OC5</f>
        <v>-32.5</v>
      </c>
      <c r="OC5" s="286">
        <f>'Data-temp_employment'!OC5-last_qrtr_tempemp!OD5</f>
        <v>-10</v>
      </c>
      <c r="OD5" s="286">
        <f>'Data-temp_employment'!OD5-last_qrtr_tempemp!OE5</f>
        <v>116.80000000000018</v>
      </c>
      <c r="OE5" s="286">
        <f>'Data-temp_employment'!OE5-last_qrtr_tempemp!OF5</f>
        <v>60.400000000000091</v>
      </c>
      <c r="OF5" s="286">
        <f>'Data-temp_employment'!OF5-last_qrtr_tempemp!OG5</f>
        <v>18.400000000000091</v>
      </c>
      <c r="OG5" s="286">
        <f>'Data-temp_employment'!OG5</f>
        <v>3139.3</v>
      </c>
      <c r="OH5" s="287" t="s">
        <v>12</v>
      </c>
      <c r="OI5" s="286"/>
      <c r="OJ5" s="286"/>
      <c r="OK5" s="286"/>
      <c r="OL5" s="286"/>
      <c r="OM5" s="286"/>
      <c r="ON5" s="286"/>
      <c r="OO5" s="286"/>
      <c r="OP5" s="286"/>
      <c r="OQ5" s="286"/>
      <c r="OR5" s="286"/>
      <c r="OS5" s="134" t="s">
        <v>12</v>
      </c>
      <c r="OT5" s="286">
        <f>'Data-temp_employment'!OT5-last_qrtr_tempemp!OU5</f>
        <v>0.19999999999999996</v>
      </c>
      <c r="OU5" s="286">
        <f>'Data-temp_employment'!OU5-last_qrtr_tempemp!OV5</f>
        <v>-9.9999999999999978E-2</v>
      </c>
      <c r="OV5" s="286">
        <f>'Data-temp_employment'!OV5-last_qrtr_tempemp!OW5</f>
        <v>-0.2</v>
      </c>
      <c r="OW5" s="286">
        <f>'Data-temp_employment'!OW5-last_qrtr_tempemp!OX5</f>
        <v>0.4</v>
      </c>
      <c r="OX5" s="286">
        <f>'Data-temp_employment'!OX5-last_qrtr_tempemp!OY5</f>
        <v>0.29999999999999993</v>
      </c>
      <c r="OY5" s="286">
        <f>'Data-temp_employment'!OY5-last_qrtr_tempemp!OZ5</f>
        <v>0.29999999999999993</v>
      </c>
      <c r="OZ5" s="286">
        <f>'Data-temp_employment'!OZ5-last_qrtr_tempemp!PA5</f>
        <v>9.9999999999999978E-2</v>
      </c>
      <c r="PA5" s="286">
        <f>'Data-temp_employment'!PA5-last_qrtr_tempemp!PB5</f>
        <v>0.19999999999999996</v>
      </c>
      <c r="PB5" s="286">
        <f>'Data-temp_employment'!PB5-last_qrtr_tempemp!PC5</f>
        <v>-0.19999999999999996</v>
      </c>
      <c r="PC5" s="286">
        <f>'Data-temp_employment'!PC5</f>
        <v>0.5</v>
      </c>
      <c r="PE5" s="319"/>
      <c r="PF5" s="319"/>
      <c r="PG5" s="319"/>
      <c r="PH5" s="319"/>
      <c r="PI5" s="319"/>
      <c r="PJ5" s="319"/>
      <c r="PK5" s="319"/>
      <c r="PL5" s="319"/>
      <c r="PM5" s="319"/>
      <c r="PN5" s="319"/>
      <c r="PO5" s="319"/>
      <c r="PP5" s="319"/>
      <c r="PQ5" s="319"/>
      <c r="PR5" s="319"/>
      <c r="PS5" s="319"/>
      <c r="PT5" s="319"/>
      <c r="PU5" s="319"/>
      <c r="PV5" s="319"/>
      <c r="PW5" s="319"/>
      <c r="PX5" s="319"/>
      <c r="PY5" s="319"/>
      <c r="PZ5" s="319"/>
      <c r="QA5" s="319"/>
      <c r="QB5" s="319"/>
      <c r="QC5" s="319"/>
      <c r="QD5" s="319"/>
      <c r="QE5" s="319"/>
      <c r="QF5" s="319"/>
      <c r="QG5" s="319"/>
      <c r="QH5" s="319"/>
      <c r="QI5" s="319"/>
      <c r="QJ5" s="319"/>
      <c r="QK5" s="319"/>
      <c r="QL5" s="319"/>
      <c r="QM5" s="319"/>
      <c r="QN5" s="319"/>
      <c r="QO5" s="319"/>
      <c r="QP5" s="319"/>
      <c r="QQ5" s="319"/>
      <c r="QR5" s="319"/>
      <c r="QS5" s="319"/>
      <c r="QT5" s="319"/>
      <c r="QU5" s="319"/>
      <c r="QV5" s="319"/>
      <c r="QW5" s="319"/>
      <c r="QX5" s="319"/>
      <c r="QY5" s="319"/>
      <c r="QZ5" s="319"/>
      <c r="RA5" s="319"/>
      <c r="RB5" s="319"/>
      <c r="RC5" s="319"/>
      <c r="RD5" s="319"/>
      <c r="RE5" s="319"/>
      <c r="RF5" s="319"/>
      <c r="RG5" s="319"/>
      <c r="RH5" s="319"/>
      <c r="RI5" s="319"/>
      <c r="RJ5" s="319"/>
      <c r="RK5" s="319"/>
      <c r="RL5" s="319"/>
      <c r="RM5" s="319"/>
      <c r="RN5" s="319"/>
      <c r="RO5" s="319"/>
      <c r="RP5" s="319"/>
    </row>
    <row r="6" spans="1:484">
      <c r="A6" s="269">
        <v>3</v>
      </c>
      <c r="B6" s="285" t="s">
        <v>13</v>
      </c>
      <c r="C6" s="286">
        <f>'Data-temp_employment'!C6-last_qrtr_tempemp!D6</f>
        <v>-0.40000000000000036</v>
      </c>
      <c r="D6" s="286">
        <f>'Data-temp_employment'!D6-last_qrtr_tempemp!E6</f>
        <v>-0.19999999999999929</v>
      </c>
      <c r="E6" s="286">
        <f>'Data-temp_employment'!E6-last_qrtr_tempemp!F6</f>
        <v>0.59999999999999964</v>
      </c>
      <c r="F6" s="286">
        <f>'Data-temp_employment'!F6-last_qrtr_tempemp!G6</f>
        <v>0.80000000000000071</v>
      </c>
      <c r="G6" s="286">
        <f>'Data-temp_employment'!G6-last_qrtr_tempemp!H6</f>
        <v>-0.40000000000000036</v>
      </c>
      <c r="H6" s="286">
        <f>'Data-temp_employment'!H6-last_qrtr_tempemp!I6</f>
        <v>0</v>
      </c>
      <c r="I6" s="286">
        <f>'Data-temp_employment'!I6-last_qrtr_tempemp!J6</f>
        <v>0.59999999999999964</v>
      </c>
      <c r="J6" s="286">
        <f>'Data-temp_employment'!J6-last_qrtr_tempemp!K6</f>
        <v>0.69999999999999929</v>
      </c>
      <c r="K6" s="286">
        <f>'Data-temp_employment'!K6-last_qrtr_tempemp!L6</f>
        <v>-0.5</v>
      </c>
      <c r="L6" s="286">
        <f>'Data-temp_employment'!L6</f>
        <v>14.7</v>
      </c>
      <c r="M6" s="285" t="s">
        <v>13</v>
      </c>
      <c r="N6" s="286">
        <f>'Data-temp_employment'!N6-last_qrtr_tempemp!O6</f>
        <v>-421.09999999999854</v>
      </c>
      <c r="O6" s="286">
        <f>'Data-temp_employment'!O6-last_qrtr_tempemp!P6</f>
        <v>-128.5</v>
      </c>
      <c r="P6" s="286">
        <f>'Data-temp_employment'!P6-last_qrtr_tempemp!Q6</f>
        <v>1214.7999999999993</v>
      </c>
      <c r="Q6" s="286">
        <f>'Data-temp_employment'!Q6-last_qrtr_tempemp!R6</f>
        <v>1488.7999999999993</v>
      </c>
      <c r="R6" s="286">
        <f>'Data-temp_employment'!R6-last_qrtr_tempemp!S6</f>
        <v>-482.60000000000218</v>
      </c>
      <c r="S6" s="286">
        <f>'Data-temp_employment'!S6-last_qrtr_tempemp!T6</f>
        <v>173.70000000000073</v>
      </c>
      <c r="T6" s="286">
        <f>'Data-temp_employment'!T6-last_qrtr_tempemp!U6</f>
        <v>1413.7999999999993</v>
      </c>
      <c r="U6" s="286">
        <f>'Data-temp_employment'!U6-last_qrtr_tempemp!V6</f>
        <v>1619.1000000000022</v>
      </c>
      <c r="V6" s="286">
        <f>'Data-temp_employment'!V6-last_qrtr_tempemp!W6</f>
        <v>-500.79999999999927</v>
      </c>
      <c r="W6" s="286">
        <f>'Data-temp_employment'!W6</f>
        <v>22627.8</v>
      </c>
      <c r="X6" s="285" t="s">
        <v>13</v>
      </c>
      <c r="Y6" s="286">
        <f>'Data-temp_employment'!Y6-last_qrtr_tempemp!Z6</f>
        <v>-78.700000000000045</v>
      </c>
      <c r="Z6" s="286">
        <f>'Data-temp_employment'!Z6-last_qrtr_tempemp!AA6</f>
        <v>-50.5</v>
      </c>
      <c r="AA6" s="286">
        <f>'Data-temp_employment'!AA6-last_qrtr_tempemp!AB6</f>
        <v>68</v>
      </c>
      <c r="AB6" s="286">
        <f>'Data-temp_employment'!AB6-last_qrtr_tempemp!AC6</f>
        <v>94.399999999999864</v>
      </c>
      <c r="AC6" s="286">
        <f>'Data-temp_employment'!AC6-last_qrtr_tempemp!AD6</f>
        <v>-47.600000000000136</v>
      </c>
      <c r="AD6" s="286">
        <f>'Data-temp_employment'!AD6-last_qrtr_tempemp!AE6</f>
        <v>19.199999999999818</v>
      </c>
      <c r="AE6" s="286">
        <f>'Data-temp_employment'!AE6-last_qrtr_tempemp!AF6</f>
        <v>103.19999999999982</v>
      </c>
      <c r="AF6" s="286">
        <f>'Data-temp_employment'!AF6-last_qrtr_tempemp!AG6</f>
        <v>78.700000000000045</v>
      </c>
      <c r="AG6" s="286">
        <f>'Data-temp_employment'!AG6-last_qrtr_tempemp!AH6</f>
        <v>-92.199999999999818</v>
      </c>
      <c r="AH6" s="286">
        <f>'Data-temp_employment'!AH6</f>
        <v>1200.4000000000001</v>
      </c>
      <c r="AI6" s="279" t="s">
        <v>13</v>
      </c>
      <c r="AJ6" s="286">
        <f>'Data-temp_employment'!AJ6-last_qrtr_tempemp!AK6</f>
        <v>-225.09999999999991</v>
      </c>
      <c r="AK6" s="286">
        <f>'Data-temp_employment'!AK6-last_qrtr_tempemp!AL6</f>
        <v>-809.5</v>
      </c>
      <c r="AL6" s="286">
        <f>'Data-temp_employment'!AL6-last_qrtr_tempemp!AM6</f>
        <v>816</v>
      </c>
      <c r="AM6" s="286">
        <f>'Data-temp_employment'!AM6-last_qrtr_tempemp!AN6</f>
        <v>433.79999999999995</v>
      </c>
      <c r="AN6" s="286">
        <f>'Data-temp_employment'!AN6-last_qrtr_tempemp!AO6</f>
        <v>-201.20000000000005</v>
      </c>
      <c r="AO6" s="286">
        <f>'Data-temp_employment'!AO6-last_qrtr_tempemp!AP6</f>
        <v>-678</v>
      </c>
      <c r="AP6" s="286">
        <f>'Data-temp_employment'!AP6-last_qrtr_tempemp!AQ6</f>
        <v>892.80000000000018</v>
      </c>
      <c r="AQ6" s="286">
        <f>'Data-temp_employment'!AQ6-last_qrtr_tempemp!AR6</f>
        <v>452.70000000000005</v>
      </c>
      <c r="AR6" s="286">
        <f>'Data-temp_employment'!AR6-last_qrtr_tempemp!AS6</f>
        <v>-269.20000000000005</v>
      </c>
      <c r="AS6" s="286">
        <f>'Data-temp_employment'!AS6</f>
        <v>2274.9</v>
      </c>
      <c r="AT6" s="279" t="s">
        <v>13</v>
      </c>
      <c r="AU6" s="286">
        <f>'Data-temp_employment'!AU6-last_qrtr_tempemp!AV6</f>
        <v>-313.60000000000036</v>
      </c>
      <c r="AV6" s="286">
        <f>'Data-temp_employment'!AV6-last_qrtr_tempemp!AW6</f>
        <v>-45.099999999999909</v>
      </c>
      <c r="AW6" s="286">
        <f>'Data-temp_employment'!AW6-last_qrtr_tempemp!AX6</f>
        <v>364.60000000000036</v>
      </c>
      <c r="AX6" s="286">
        <f>'Data-temp_employment'!AX6-last_qrtr_tempemp!AY6</f>
        <v>162.5</v>
      </c>
      <c r="AY6" s="286">
        <f>'Data-temp_employment'!AY6-last_qrtr_tempemp!AZ6</f>
        <v>-411.5</v>
      </c>
      <c r="AZ6" s="286">
        <f>'Data-temp_employment'!AZ6-last_qrtr_tempemp!BA6</f>
        <v>-14</v>
      </c>
      <c r="BA6" s="286">
        <f>'Data-temp_employment'!BA6-last_qrtr_tempemp!BB6</f>
        <v>698.90000000000009</v>
      </c>
      <c r="BB6" s="286">
        <f>'Data-temp_employment'!BB6-last_qrtr_tempemp!BC6</f>
        <v>437.80000000000018</v>
      </c>
      <c r="BC6" s="286">
        <f>'Data-temp_employment'!BC6-last_qrtr_tempemp!BD6</f>
        <v>-247.90000000000009</v>
      </c>
      <c r="BD6" s="286">
        <f>'Data-temp_employment'!BD6</f>
        <v>3534.1</v>
      </c>
      <c r="BE6" s="279" t="s">
        <v>13</v>
      </c>
      <c r="BF6" s="286">
        <f>'Data-temp_employment'!BF6-last_qrtr_tempemp!BG6</f>
        <v>17.100000000000364</v>
      </c>
      <c r="BG6" s="286">
        <f>'Data-temp_employment'!BG6-last_qrtr_tempemp!BH6</f>
        <v>349</v>
      </c>
      <c r="BH6" s="286">
        <f>'Data-temp_employment'!BH6-last_qrtr_tempemp!BI6</f>
        <v>-169.40000000000055</v>
      </c>
      <c r="BI6" s="286">
        <f>'Data-temp_employment'!BI6-last_qrtr_tempemp!BJ6</f>
        <v>88.699999999999818</v>
      </c>
      <c r="BJ6" s="286">
        <f>'Data-temp_employment'!BJ6-last_qrtr_tempemp!BK6</f>
        <v>37.899999999999636</v>
      </c>
      <c r="BK6" s="286">
        <f>'Data-temp_employment'!BK6-last_qrtr_tempemp!BL6</f>
        <v>590.39999999999964</v>
      </c>
      <c r="BL6" s="286">
        <f>'Data-temp_employment'!BL6-last_qrtr_tempemp!BM6</f>
        <v>-5.6999999999998181</v>
      </c>
      <c r="BM6" s="286">
        <f>'Data-temp_employment'!BM6-last_qrtr_tempemp!BN6</f>
        <v>343</v>
      </c>
      <c r="BN6" s="286">
        <f>'Data-temp_employment'!BN6-last_qrtr_tempemp!BO6</f>
        <v>6.1000000000003638</v>
      </c>
      <c r="BO6" s="286">
        <f>'Data-temp_employment'!BO6</f>
        <v>5509.9</v>
      </c>
      <c r="BP6" s="282" t="s">
        <v>13</v>
      </c>
      <c r="BQ6" s="286">
        <f>'Data-temp_employment'!BQ6-last_qrtr_tempemp!BR6</f>
        <v>73.099999999999909</v>
      </c>
      <c r="BR6" s="286">
        <f>'Data-temp_employment'!BR6-last_qrtr_tempemp!BS6</f>
        <v>5.6000000000001364</v>
      </c>
      <c r="BS6" s="286">
        <f>'Data-temp_employment'!BS6-last_qrtr_tempemp!BT6</f>
        <v>102.70000000000027</v>
      </c>
      <c r="BT6" s="286">
        <f>'Data-temp_employment'!BT6-last_qrtr_tempemp!BU6</f>
        <v>102.79999999999995</v>
      </c>
      <c r="BU6" s="286">
        <f>'Data-temp_employment'!BU6-last_qrtr_tempemp!BV6</f>
        <v>34.5</v>
      </c>
      <c r="BV6" s="286">
        <f>'Data-temp_employment'!BV6-last_qrtr_tempemp!BW6</f>
        <v>48</v>
      </c>
      <c r="BW6" s="286">
        <f>'Data-temp_employment'!BW6-last_qrtr_tempemp!BX6</f>
        <v>-24.799999999999727</v>
      </c>
      <c r="BX6" s="286">
        <f>'Data-temp_employment'!BX6-last_qrtr_tempemp!BY6</f>
        <v>11.799999999999955</v>
      </c>
      <c r="BY6" s="286">
        <f>'Data-temp_employment'!BY6-last_qrtr_tempemp!BZ6</f>
        <v>-65.099999999999909</v>
      </c>
      <c r="BZ6" s="286">
        <f>'Data-temp_employment'!BZ6</f>
        <v>2003.8</v>
      </c>
      <c r="CA6" s="282" t="s">
        <v>13</v>
      </c>
      <c r="CB6" s="286">
        <f>'Data-temp_employment'!CB6-last_qrtr_tempemp!CC6</f>
        <v>107.69999999999982</v>
      </c>
      <c r="CC6" s="286">
        <f>'Data-temp_employment'!CC6-last_qrtr_tempemp!CD6</f>
        <v>1.7999999999997272</v>
      </c>
      <c r="CD6" s="286">
        <f>'Data-temp_employment'!CD6-last_qrtr_tempemp!CE6</f>
        <v>-131.19999999999982</v>
      </c>
      <c r="CE6" s="286">
        <f>'Data-temp_employment'!CE6-last_qrtr_tempemp!CF6</f>
        <v>212.80000000000018</v>
      </c>
      <c r="CF6" s="286">
        <f>'Data-temp_employment'!CF6-last_qrtr_tempemp!CG6</f>
        <v>117.19999999999982</v>
      </c>
      <c r="CG6" s="286">
        <f>'Data-temp_employment'!CG6-last_qrtr_tempemp!CH6</f>
        <v>33.200000000000273</v>
      </c>
      <c r="CH6" s="286">
        <f>'Data-temp_employment'!CH6-last_qrtr_tempemp!CI6</f>
        <v>-170.5</v>
      </c>
      <c r="CI6" s="286">
        <f>'Data-temp_employment'!CI6-last_qrtr_tempemp!CJ6</f>
        <v>110.79999999999927</v>
      </c>
      <c r="CJ6" s="286">
        <f>'Data-temp_employment'!CJ6-last_qrtr_tempemp!CK6</f>
        <v>122.80000000000018</v>
      </c>
      <c r="CK6" s="286">
        <f>'Data-temp_employment'!CK6</f>
        <v>3292.7</v>
      </c>
      <c r="CL6" s="285" t="s">
        <v>13</v>
      </c>
      <c r="CM6" s="286">
        <f>'Data-temp_employment'!CM6-last_qrtr_tempemp!CN6</f>
        <v>-243.30000000000018</v>
      </c>
      <c r="CN6" s="286">
        <f>'Data-temp_employment'!CN6-last_qrtr_tempemp!CO6</f>
        <v>-146.80000000000018</v>
      </c>
      <c r="CO6" s="286">
        <f>'Data-temp_employment'!CO6-last_qrtr_tempemp!CP6</f>
        <v>255.89999999999964</v>
      </c>
      <c r="CP6" s="286">
        <f>'Data-temp_employment'!CP6-last_qrtr_tempemp!CQ6</f>
        <v>566.69999999999982</v>
      </c>
      <c r="CQ6" s="286">
        <f>'Data-temp_employment'!CQ6-last_qrtr_tempemp!CR6</f>
        <v>-204.40000000000055</v>
      </c>
      <c r="CR6" s="286">
        <f>'Data-temp_employment'!CR6-last_qrtr_tempemp!CS6</f>
        <v>112.5</v>
      </c>
      <c r="CS6" s="286">
        <f>'Data-temp_employment'!CS6-last_qrtr_tempemp!CT6</f>
        <v>454.40000000000055</v>
      </c>
      <c r="CT6" s="286">
        <f>'Data-temp_employment'!CT6-last_qrtr_tempemp!CU6</f>
        <v>540.5</v>
      </c>
      <c r="CU6" s="286">
        <f>'Data-temp_employment'!CU6-last_qrtr_tempemp!CV6</f>
        <v>-234</v>
      </c>
      <c r="CV6" s="286">
        <f>'Data-temp_employment'!CV6</f>
        <v>6635.9</v>
      </c>
      <c r="CW6" s="285" t="s">
        <v>13</v>
      </c>
      <c r="CX6" s="286">
        <f>'Data-temp_employment'!CX6-last_qrtr_tempemp!CY6</f>
        <v>-242.70000000000073</v>
      </c>
      <c r="CY6" s="286">
        <f>'Data-temp_employment'!CY6-last_qrtr_tempemp!CZ6</f>
        <v>-158.40000000000146</v>
      </c>
      <c r="CZ6" s="286">
        <f>'Data-temp_employment'!CZ6-last_qrtr_tempemp!DA6</f>
        <v>733.30000000000109</v>
      </c>
      <c r="DA6" s="286">
        <f>'Data-temp_employment'!DA6-last_qrtr_tempemp!DB6</f>
        <v>652.10000000000036</v>
      </c>
      <c r="DB6" s="286">
        <f>'Data-temp_employment'!DB6-last_qrtr_tempemp!DC6</f>
        <v>-315</v>
      </c>
      <c r="DC6" s="286">
        <f>'Data-temp_employment'!DC6-last_qrtr_tempemp!DD6</f>
        <v>-112.29999999999927</v>
      </c>
      <c r="DD6" s="286">
        <f>'Data-temp_employment'!DD6-last_qrtr_tempemp!DE6</f>
        <v>673.39999999999964</v>
      </c>
      <c r="DE6" s="286">
        <f>'Data-temp_employment'!DE6-last_qrtr_tempemp!DF6</f>
        <v>659.5</v>
      </c>
      <c r="DF6" s="286">
        <f>'Data-temp_employment'!DF6-last_qrtr_tempemp!DG6</f>
        <v>-329.10000000000036</v>
      </c>
      <c r="DG6" s="286">
        <f>'Data-temp_employment'!DG6</f>
        <v>9178.7999999999993</v>
      </c>
      <c r="DH6" s="285" t="s">
        <v>13</v>
      </c>
      <c r="DI6" s="286">
        <f>'Data-temp_employment'!DI6-last_qrtr_tempemp!DJ6</f>
        <v>51.600000000000364</v>
      </c>
      <c r="DJ6" s="286">
        <f>'Data-temp_employment'!DJ6-last_qrtr_tempemp!DK6</f>
        <v>165.19999999999982</v>
      </c>
      <c r="DK6" s="286">
        <f>'Data-temp_employment'!DK6-last_qrtr_tempemp!DL6</f>
        <v>208.09999999999945</v>
      </c>
      <c r="DL6" s="286">
        <f>'Data-temp_employment'!DL6-last_qrtr_tempemp!DM6</f>
        <v>263.60000000000036</v>
      </c>
      <c r="DM6" s="286">
        <f>'Data-temp_employment'!DM6-last_qrtr_tempemp!DN6</f>
        <v>30.199999999999818</v>
      </c>
      <c r="DN6" s="286">
        <f>'Data-temp_employment'!DN6-last_qrtr_tempemp!DO6</f>
        <v>172</v>
      </c>
      <c r="DO6" s="286">
        <f>'Data-temp_employment'!DO6-last_qrtr_tempemp!DP6</f>
        <v>275.80000000000018</v>
      </c>
      <c r="DP6" s="286">
        <f>'Data-temp_employment'!DP6-last_qrtr_tempemp!DQ6</f>
        <v>423.10000000000036</v>
      </c>
      <c r="DQ6" s="286">
        <f>'Data-temp_employment'!DQ6-last_qrtr_tempemp!DR6</f>
        <v>61.800000000000182</v>
      </c>
      <c r="DR6" s="286">
        <f>'Data-temp_employment'!DR6</f>
        <v>6746</v>
      </c>
      <c r="DS6" s="285" t="s">
        <v>13</v>
      </c>
      <c r="DT6" s="286">
        <f>'Data-temp_employment'!DT6-last_qrtr_tempemp!DU6</f>
        <v>13.200000000000003</v>
      </c>
      <c r="DU6" s="286">
        <f>'Data-temp_employment'!DU6-last_qrtr_tempemp!DV6</f>
        <v>11.5</v>
      </c>
      <c r="DV6" s="286">
        <f>'Data-temp_employment'!DV6-last_qrtr_tempemp!DW6</f>
        <v>17.600000000000001</v>
      </c>
      <c r="DW6" s="286">
        <f>'Data-temp_employment'!DW6-last_qrtr_tempemp!DX6</f>
        <v>6.5</v>
      </c>
      <c r="DX6" s="286">
        <f>'Data-temp_employment'!DX6-last_qrtr_tempemp!DY6</f>
        <v>6.5999999999999943</v>
      </c>
      <c r="DY6" s="286">
        <f>'Data-temp_employment'!DY6-last_qrtr_tempemp!DZ6</f>
        <v>1.5999999999999943</v>
      </c>
      <c r="DZ6" s="286">
        <f>'Data-temp_employment'!DZ6-last_qrtr_tempemp!EA6</f>
        <v>10.100000000000009</v>
      </c>
      <c r="EA6" s="286">
        <f>'Data-temp_employment'!EA6-last_qrtr_tempemp!EB6</f>
        <v>-3.9000000000000057</v>
      </c>
      <c r="EB6" s="286">
        <f>'Data-temp_employment'!EB6-last_qrtr_tempemp!EC6</f>
        <v>0.40000000000000568</v>
      </c>
      <c r="EC6" s="286">
        <f>'Data-temp_employment'!EC6</f>
        <v>67.2</v>
      </c>
      <c r="ED6" s="279" t="s">
        <v>13</v>
      </c>
      <c r="EE6" s="286">
        <f>'Data-temp_employment'!EE6-last_qrtr_tempemp!EF6</f>
        <v>-5.4000000000000057</v>
      </c>
      <c r="EF6" s="286">
        <f>'Data-temp_employment'!EF6-last_qrtr_tempemp!EG6</f>
        <v>15.800000000000011</v>
      </c>
      <c r="EG6" s="286">
        <f>'Data-temp_employment'!EG6-last_qrtr_tempemp!EH6</f>
        <v>25.800000000000011</v>
      </c>
      <c r="EH6" s="286">
        <f>'Data-temp_employment'!EH6-last_qrtr_tempemp!EI6</f>
        <v>25.399999999999977</v>
      </c>
      <c r="EI6" s="286">
        <f>'Data-temp_employment'!EI6-last_qrtr_tempemp!EJ6</f>
        <v>-6.5</v>
      </c>
      <c r="EJ6" s="286">
        <f>'Data-temp_employment'!EJ6-last_qrtr_tempemp!EK6</f>
        <v>-32.500000000000028</v>
      </c>
      <c r="EK6" s="286">
        <f>'Data-temp_employment'!EK6-last_qrtr_tempemp!EL6</f>
        <v>2.6999999999999886</v>
      </c>
      <c r="EL6" s="286">
        <f>'Data-temp_employment'!EL6-last_qrtr_tempemp!EM6</f>
        <v>14.500000000000028</v>
      </c>
      <c r="EM6" s="286">
        <f>'Data-temp_employment'!EM6-last_qrtr_tempemp!EN6</f>
        <v>9.5</v>
      </c>
      <c r="EN6" s="286">
        <f>'Data-temp_employment'!EN6</f>
        <v>215.5</v>
      </c>
      <c r="EO6" s="279" t="s">
        <v>13</v>
      </c>
      <c r="EP6" s="286">
        <f>'Data-temp_employment'!EP6-last_qrtr_tempemp!EQ6</f>
        <v>146.10000000000036</v>
      </c>
      <c r="EQ6" s="286">
        <f>'Data-temp_employment'!EQ6-last_qrtr_tempemp!ER6</f>
        <v>399.70000000000027</v>
      </c>
      <c r="ER6" s="286">
        <f>'Data-temp_employment'!ER6-last_qrtr_tempemp!ES6</f>
        <v>-25.799999999999727</v>
      </c>
      <c r="ES6" s="286">
        <f>'Data-temp_employment'!ES6-last_qrtr_tempemp!ET6</f>
        <v>113.30000000000018</v>
      </c>
      <c r="ET6" s="286">
        <f>'Data-temp_employment'!ET6-last_qrtr_tempemp!EU6</f>
        <v>30.5</v>
      </c>
      <c r="EU6" s="286">
        <f>'Data-temp_employment'!EU6-last_qrtr_tempemp!EV6</f>
        <v>301.40000000000009</v>
      </c>
      <c r="EV6" s="286">
        <f>'Data-temp_employment'!EV6-last_qrtr_tempemp!EW6</f>
        <v>-168</v>
      </c>
      <c r="EW6" s="286">
        <f>'Data-temp_employment'!EW6-last_qrtr_tempemp!EX6</f>
        <v>129</v>
      </c>
      <c r="EX6" s="286">
        <f>'Data-temp_employment'!EX6-last_qrtr_tempemp!EY6</f>
        <v>60.099999999999909</v>
      </c>
      <c r="EY6" s="286">
        <f>'Data-temp_employment'!EY6</f>
        <v>3770.8</v>
      </c>
      <c r="EZ6" s="279" t="s">
        <v>13</v>
      </c>
      <c r="FA6" s="286">
        <f>'Data-temp_employment'!FA6-last_qrtr_tempemp!FB6</f>
        <v>39.400000000000091</v>
      </c>
      <c r="FB6" s="286">
        <f>'Data-temp_employment'!FB6-last_qrtr_tempemp!FC6</f>
        <v>62.100000000000364</v>
      </c>
      <c r="FC6" s="286">
        <f>'Data-temp_employment'!FC6-last_qrtr_tempemp!FD6</f>
        <v>12.099999999999909</v>
      </c>
      <c r="FD6" s="286">
        <f>'Data-temp_employment'!FD6-last_qrtr_tempemp!FE6</f>
        <v>39.800000000000182</v>
      </c>
      <c r="FE6" s="286">
        <f>'Data-temp_employment'!FE6-last_qrtr_tempemp!FF6</f>
        <v>-6.4000000000000909</v>
      </c>
      <c r="FF6" s="286">
        <f>'Data-temp_employment'!FF6-last_qrtr_tempemp!FG6</f>
        <v>106.60000000000036</v>
      </c>
      <c r="FG6" s="286">
        <f>'Data-temp_employment'!FG6-last_qrtr_tempemp!FH6</f>
        <v>95.200000000000273</v>
      </c>
      <c r="FH6" s="286">
        <f>'Data-temp_employment'!FH6-last_qrtr_tempemp!FI6</f>
        <v>150.70000000000027</v>
      </c>
      <c r="FI6" s="286">
        <f>'Data-temp_employment'!FI6-last_qrtr_tempemp!FJ6</f>
        <v>42.800000000000182</v>
      </c>
      <c r="FJ6" s="286">
        <f>'Data-temp_employment'!FJ6</f>
        <v>3069.2</v>
      </c>
      <c r="FK6" s="279" t="s">
        <v>13</v>
      </c>
      <c r="FL6" s="286">
        <f>'Data-temp_employment'!FL6-last_qrtr_tempemp!FM6</f>
        <v>-89.899999999999864</v>
      </c>
      <c r="FM6" s="286">
        <f>'Data-temp_employment'!FM6-last_qrtr_tempemp!FN6</f>
        <v>-76.199999999999818</v>
      </c>
      <c r="FN6" s="286">
        <f>'Data-temp_employment'!FN6-last_qrtr_tempemp!FO6</f>
        <v>94.5</v>
      </c>
      <c r="FO6" s="286">
        <f>'Data-temp_employment'!FO6-last_qrtr_tempemp!FP6</f>
        <v>134.29999999999995</v>
      </c>
      <c r="FP6" s="286">
        <f>'Data-temp_employment'!FP6-last_qrtr_tempemp!FQ6</f>
        <v>-6.5999999999999091</v>
      </c>
      <c r="FQ6" s="286">
        <f>'Data-temp_employment'!FQ6-last_qrtr_tempemp!FR6</f>
        <v>27.700000000000273</v>
      </c>
      <c r="FR6" s="286">
        <f>'Data-temp_employment'!FR6-last_qrtr_tempemp!FS6</f>
        <v>211.5</v>
      </c>
      <c r="FS6" s="286">
        <f>'Data-temp_employment'!FS6-last_qrtr_tempemp!FT6</f>
        <v>180.5</v>
      </c>
      <c r="FT6" s="286">
        <f>'Data-temp_employment'!FT6-last_qrtr_tempemp!FU6</f>
        <v>-43.800000000000182</v>
      </c>
      <c r="FU6" s="286">
        <f>'Data-temp_employment'!FU6</f>
        <v>2311.6999999999998</v>
      </c>
      <c r="FV6" s="279" t="s">
        <v>13</v>
      </c>
      <c r="FW6" s="286">
        <f>'Data-temp_employment'!FW6-last_qrtr_tempemp!FX6</f>
        <v>-236.69999999999982</v>
      </c>
      <c r="FX6" s="286">
        <f>'Data-temp_employment'!FX6-last_qrtr_tempemp!FY6</f>
        <v>-166.10000000000036</v>
      </c>
      <c r="FY6" s="286">
        <f>'Data-temp_employment'!FY6-last_qrtr_tempemp!FZ6</f>
        <v>602.19999999999982</v>
      </c>
      <c r="FZ6" s="286">
        <f>'Data-temp_employment'!FZ6-last_qrtr_tempemp!GA6</f>
        <v>402.30000000000018</v>
      </c>
      <c r="GA6" s="286">
        <f>'Data-temp_employment'!GA6-last_qrtr_tempemp!GB6</f>
        <v>-300.69999999999982</v>
      </c>
      <c r="GB6" s="286">
        <f>'Data-temp_employment'!GB6-last_qrtr_tempemp!GC6</f>
        <v>-169.29999999999927</v>
      </c>
      <c r="GC6" s="286">
        <f>'Data-temp_employment'!GC6-last_qrtr_tempemp!GD6</f>
        <v>641.30000000000018</v>
      </c>
      <c r="GD6" s="286">
        <f>'Data-temp_employment'!GD6-last_qrtr_tempemp!GE6</f>
        <v>295.70000000000073</v>
      </c>
      <c r="GE6" s="286">
        <f>'Data-temp_employment'!GE6-last_qrtr_tempemp!GF6</f>
        <v>-356</v>
      </c>
      <c r="GF6" s="286">
        <f>'Data-temp_employment'!GF6</f>
        <v>4814.8</v>
      </c>
      <c r="GG6" s="279" t="s">
        <v>13</v>
      </c>
      <c r="GH6" s="286">
        <f>'Data-temp_employment'!GH6-last_qrtr_tempemp!GI6</f>
        <v>-51.900000000000034</v>
      </c>
      <c r="GI6" s="286">
        <f>'Data-temp_employment'!GI6-last_qrtr_tempemp!GJ6</f>
        <v>-37.100000000000023</v>
      </c>
      <c r="GJ6" s="286">
        <f>'Data-temp_employment'!GJ6-last_qrtr_tempemp!GK6</f>
        <v>42.799999999999955</v>
      </c>
      <c r="GK6" s="286">
        <f>'Data-temp_employment'!GK6-last_qrtr_tempemp!GL6</f>
        <v>2</v>
      </c>
      <c r="GL6" s="286">
        <f>'Data-temp_employment'!GL6-last_qrtr_tempemp!GM6</f>
        <v>-51.699999999999989</v>
      </c>
      <c r="GM6" s="286">
        <f>'Data-temp_employment'!GM6-last_qrtr_tempemp!GN6</f>
        <v>-2.6999999999999886</v>
      </c>
      <c r="GN6" s="286">
        <f>'Data-temp_employment'!GN6-last_qrtr_tempemp!GO6</f>
        <v>83.800000000000011</v>
      </c>
      <c r="GO6" s="286">
        <f>'Data-temp_employment'!GO6-last_qrtr_tempemp!GP6</f>
        <v>10.699999999999989</v>
      </c>
      <c r="GP6" s="286">
        <f>'Data-temp_employment'!GP6-last_qrtr_tempemp!GQ6</f>
        <v>-66.799999999999955</v>
      </c>
      <c r="GQ6" s="286">
        <f>'Data-temp_employment'!GQ6</f>
        <v>411.2</v>
      </c>
      <c r="GR6" s="279" t="s">
        <v>13</v>
      </c>
      <c r="GS6" s="286">
        <f>'Data-temp_employment'!GS6-last_qrtr_tempemp!GT6</f>
        <v>-8.0999999999999091</v>
      </c>
      <c r="GT6" s="286">
        <f>'Data-temp_employment'!GT6-last_qrtr_tempemp!GU6</f>
        <v>-25.099999999999909</v>
      </c>
      <c r="GU6" s="286">
        <f>'Data-temp_employment'!GU6-last_qrtr_tempemp!GV6</f>
        <v>17</v>
      </c>
      <c r="GV6" s="286">
        <f>'Data-temp_employment'!GV6-last_qrtr_tempemp!GW6</f>
        <v>221.60000000000036</v>
      </c>
      <c r="GW6" s="286">
        <f>'Data-temp_employment'!GW6-last_qrtr_tempemp!GX6</f>
        <v>-56.600000000000364</v>
      </c>
      <c r="GX6" s="286">
        <f>'Data-temp_employment'!GX6-last_qrtr_tempemp!GY6</f>
        <v>-0.29999999999972715</v>
      </c>
      <c r="GY6" s="286">
        <f>'Data-temp_employment'!GY6-last_qrtr_tempemp!GZ6</f>
        <v>10.799999999999727</v>
      </c>
      <c r="GZ6" s="286">
        <f>'Data-temp_employment'!GZ6-last_qrtr_tempemp!HA6</f>
        <v>237.19999999999982</v>
      </c>
      <c r="HA6" s="286">
        <f>'Data-temp_employment'!HA6-last_qrtr_tempemp!HB6</f>
        <v>-25.599999999999909</v>
      </c>
      <c r="HB6" s="286">
        <f>'Data-temp_employment'!HB6</f>
        <v>2477.6</v>
      </c>
      <c r="HC6" s="279" t="s">
        <v>13</v>
      </c>
      <c r="HD6" s="286">
        <f>'Data-temp_employment'!HD6-last_qrtr_tempemp!HE6</f>
        <v>-94.700000000000045</v>
      </c>
      <c r="HE6" s="286">
        <f>'Data-temp_employment'!HE6-last_qrtr_tempemp!HF6</f>
        <v>-53.299999999999955</v>
      </c>
      <c r="HF6" s="286">
        <f>'Data-temp_employment'!HF6-last_qrtr_tempemp!HG6</f>
        <v>152.10000000000014</v>
      </c>
      <c r="HG6" s="286">
        <f>'Data-temp_employment'!HG6-last_qrtr_tempemp!HH6</f>
        <v>164</v>
      </c>
      <c r="HH6" s="286">
        <f>'Data-temp_employment'!HH6-last_qrtr_tempemp!HI6</f>
        <v>-38.400000000000091</v>
      </c>
      <c r="HI6" s="286">
        <f>'Data-temp_employment'!HI6-last_qrtr_tempemp!HJ6</f>
        <v>19</v>
      </c>
      <c r="HJ6" s="286">
        <f>'Data-temp_employment'!HJ6-last_qrtr_tempemp!HK6</f>
        <v>193.5</v>
      </c>
      <c r="HK6" s="286">
        <f>'Data-temp_employment'!HK6-last_qrtr_tempemp!HL6</f>
        <v>257.5</v>
      </c>
      <c r="HL6" s="286">
        <f>'Data-temp_employment'!HL6-last_qrtr_tempemp!HM6</f>
        <v>13.599999999999909</v>
      </c>
      <c r="HM6" s="286">
        <f>'Data-temp_employment'!HM6</f>
        <v>1624.6</v>
      </c>
      <c r="HN6" s="279" t="s">
        <v>13</v>
      </c>
      <c r="HO6" s="286">
        <f>'Data-temp_employment'!HO6-last_qrtr_tempemp!HP6</f>
        <v>-153.89999999999964</v>
      </c>
      <c r="HP6" s="286">
        <f>'Data-temp_employment'!HP6-last_qrtr_tempemp!HQ6</f>
        <v>-231.79999999999973</v>
      </c>
      <c r="HQ6" s="286">
        <f>'Data-temp_employment'!HQ6-last_qrtr_tempemp!HR6</f>
        <v>303.90000000000009</v>
      </c>
      <c r="HR6" s="286">
        <f>'Data-temp_employment'!HR6-last_qrtr_tempemp!HS6</f>
        <v>396</v>
      </c>
      <c r="HS6" s="286">
        <f>'Data-temp_employment'!HS6-last_qrtr_tempemp!HT6</f>
        <v>-77.300000000000182</v>
      </c>
      <c r="HT6" s="286">
        <f>'Data-temp_employment'!HT6-last_qrtr_tempemp!HU6</f>
        <v>-101.90000000000009</v>
      </c>
      <c r="HU6" s="286">
        <f>'Data-temp_employment'!HU6-last_qrtr_tempemp!HV6</f>
        <v>358.20000000000027</v>
      </c>
      <c r="HV6" s="286">
        <f>'Data-temp_employment'!HV6-last_qrtr_tempemp!HW6</f>
        <v>341</v>
      </c>
      <c r="HW6" s="286">
        <f>'Data-temp_employment'!HW6-last_qrtr_tempemp!HX6</f>
        <v>-127.59999999999991</v>
      </c>
      <c r="HX6" s="286">
        <f>'Data-temp_employment'!HX6</f>
        <v>3725.3</v>
      </c>
      <c r="HY6" s="279" t="s">
        <v>13</v>
      </c>
      <c r="HZ6" s="286">
        <f>'Data-temp_employment'!HZ6-last_qrtr_tempemp!IA6</f>
        <v>-6.2999999999999829</v>
      </c>
      <c r="IA6" s="286">
        <f>'Data-temp_employment'!IA6-last_qrtr_tempemp!IB6</f>
        <v>-23.599999999999994</v>
      </c>
      <c r="IB6" s="286">
        <f>'Data-temp_employment'!IB6-last_qrtr_tempemp!IC6</f>
        <v>-28.099999999999994</v>
      </c>
      <c r="IC6" s="286">
        <f>'Data-temp_employment'!IC6-last_qrtr_tempemp!ID6</f>
        <v>17.599999999999994</v>
      </c>
      <c r="ID6" s="286">
        <f>'Data-temp_employment'!ID6-last_qrtr_tempemp!IE6</f>
        <v>20.400000000000006</v>
      </c>
      <c r="IE6" s="286">
        <f>'Data-temp_employment'!IE6-last_qrtr_tempemp!IF6</f>
        <v>28.099999999999994</v>
      </c>
      <c r="IF6" s="286">
        <f>'Data-temp_employment'!IF6-last_qrtr_tempemp!IG6</f>
        <v>-31.5</v>
      </c>
      <c r="IG6" s="286">
        <f>'Data-temp_employment'!IG6-last_qrtr_tempemp!IH6</f>
        <v>4.5</v>
      </c>
      <c r="IH6" s="286">
        <f>'Data-temp_employment'!IH6-last_qrtr_tempemp!II6</f>
        <v>2.6999999999999886</v>
      </c>
      <c r="II6" s="286">
        <f>'Data-temp_employment'!II6</f>
        <v>152.6</v>
      </c>
      <c r="IJ6" s="279" t="s">
        <v>13</v>
      </c>
      <c r="IK6" s="286">
        <f>'Data-temp_employment'!IK6-last_qrtr_tempemp!IL6</f>
        <v>40.5</v>
      </c>
      <c r="IL6" s="286">
        <f>'Data-temp_employment'!IL6-last_qrtr_tempemp!IM6</f>
        <v>7.4000000000000057</v>
      </c>
      <c r="IM6" s="286">
        <f>'Data-temp_employment'!IM6-last_qrtr_tempemp!IN6</f>
        <v>18.399999999999999</v>
      </c>
      <c r="IN6" s="286">
        <f>'Data-temp_employment'!IN6-last_qrtr_tempemp!IO6</f>
        <v>-27.599999999999994</v>
      </c>
      <c r="IO6" s="286">
        <f>'Data-temp_employment'!IO6-last_qrtr_tempemp!IP6</f>
        <v>10.700000000000003</v>
      </c>
      <c r="IP6" s="286">
        <f>'Data-temp_employment'!IP6-last_qrtr_tempemp!IQ6</f>
        <v>-2.6000000000000014</v>
      </c>
      <c r="IQ6" s="286">
        <f>'Data-temp_employment'!IQ6-last_qrtr_tempemp!IR6</f>
        <v>16.600000000000009</v>
      </c>
      <c r="IR6" s="286">
        <f>'Data-temp_employment'!IR6-last_qrtr_tempemp!IS6</f>
        <v>-2.2000000000000028</v>
      </c>
      <c r="IS6" s="286">
        <f>'Data-temp_employment'!IS6-last_qrtr_tempemp!IT6</f>
        <v>-9.8000000000000043</v>
      </c>
      <c r="IT6" s="286">
        <f>'Data-temp_employment'!IT6</f>
        <v>54.5</v>
      </c>
      <c r="IU6" s="279" t="s">
        <v>13</v>
      </c>
      <c r="IV6" s="286">
        <f>'Data-temp_employment'!IV6-last_qrtr_tempemp!IW6</f>
        <v>-10.299999999999955</v>
      </c>
      <c r="IW6" s="286">
        <f>'Data-temp_employment'!IW6-last_qrtr_tempemp!IX6</f>
        <v>-13</v>
      </c>
      <c r="IX6" s="286">
        <f>'Data-temp_employment'!IX6-last_qrtr_tempemp!IY6</f>
        <v>2.1999999999999318</v>
      </c>
      <c r="IY6" s="286">
        <f>'Data-temp_employment'!IY6-last_qrtr_tempemp!IZ6</f>
        <v>80.199999999999932</v>
      </c>
      <c r="IZ6" s="286">
        <f>'Data-temp_employment'!IZ6-last_qrtr_tempemp!JA6</f>
        <v>-42.5</v>
      </c>
      <c r="JA6" s="286">
        <f>'Data-temp_employment'!JA6-last_qrtr_tempemp!JB6</f>
        <v>-16.399999999999977</v>
      </c>
      <c r="JB6" s="286">
        <f>'Data-temp_employment'!JB6-last_qrtr_tempemp!JC6</f>
        <v>-13.800000000000068</v>
      </c>
      <c r="JC6" s="286">
        <f>'Data-temp_employment'!JC6-last_qrtr_tempemp!JD6</f>
        <v>78</v>
      </c>
      <c r="JD6" s="286">
        <f>'Data-temp_employment'!JD6-last_qrtr_tempemp!JE6</f>
        <v>-53.700000000000045</v>
      </c>
      <c r="JE6" s="286">
        <f>'Data-temp_employment'!JE6</f>
        <v>823.1</v>
      </c>
      <c r="JF6" s="279" t="s">
        <v>13</v>
      </c>
      <c r="JG6" s="286">
        <f>'Data-temp_employment'!JG6-last_qrtr_tempemp!JH6</f>
        <v>-94.5</v>
      </c>
      <c r="JH6" s="286">
        <f>'Data-temp_employment'!JH6-last_qrtr_tempemp!JI6</f>
        <v>-130.59999999999991</v>
      </c>
      <c r="JI6" s="286">
        <f>'Data-temp_employment'!JI6-last_qrtr_tempemp!JJ6</f>
        <v>140</v>
      </c>
      <c r="JJ6" s="286">
        <f>'Data-temp_employment'!JJ6-last_qrtr_tempemp!JK6</f>
        <v>301.5</v>
      </c>
      <c r="JK6" s="286">
        <f>'Data-temp_employment'!JK6-last_qrtr_tempemp!JL6</f>
        <v>45.299999999999727</v>
      </c>
      <c r="JL6" s="286">
        <f>'Data-temp_employment'!JL6-last_qrtr_tempemp!JM6</f>
        <v>-42.399999999999636</v>
      </c>
      <c r="JM6" s="286">
        <f>'Data-temp_employment'!JM6-last_qrtr_tempemp!JN6</f>
        <v>109.20000000000027</v>
      </c>
      <c r="JN6" s="286">
        <f>'Data-temp_employment'!JN6-last_qrtr_tempemp!JO6</f>
        <v>217.79999999999973</v>
      </c>
      <c r="JO6" s="286">
        <f>'Data-temp_employment'!JO6-last_qrtr_tempemp!JP6</f>
        <v>1.9000000000000909</v>
      </c>
      <c r="JP6" s="286">
        <f>'Data-temp_employment'!JP6</f>
        <v>2875.5</v>
      </c>
      <c r="JQ6" s="279" t="s">
        <v>13</v>
      </c>
      <c r="JR6" s="286">
        <f>'Data-temp_employment'!JR6-last_qrtr_tempemp!JS6</f>
        <v>-68.099999999999909</v>
      </c>
      <c r="JS6" s="286">
        <f>'Data-temp_employment'!JS6-last_qrtr_tempemp!JT6</f>
        <v>10.5</v>
      </c>
      <c r="JT6" s="286">
        <f>'Data-temp_employment'!JT6-last_qrtr_tempemp!JU6</f>
        <v>35.199999999999818</v>
      </c>
      <c r="JU6" s="286">
        <f>'Data-temp_employment'!JU6-last_qrtr_tempemp!JV6</f>
        <v>116.5</v>
      </c>
      <c r="JV6" s="286">
        <f>'Data-temp_employment'!JV6-last_qrtr_tempemp!JW6</f>
        <v>-68.400000000000091</v>
      </c>
      <c r="JW6" s="286">
        <f>'Data-temp_employment'!JW6-last_qrtr_tempemp!JX6</f>
        <v>57.200000000000045</v>
      </c>
      <c r="JX6" s="286">
        <f>'Data-temp_employment'!JX6-last_qrtr_tempemp!JY6</f>
        <v>62.099999999999909</v>
      </c>
      <c r="JY6" s="286">
        <f>'Data-temp_employment'!JY6-last_qrtr_tempemp!JZ6</f>
        <v>128.59999999999991</v>
      </c>
      <c r="JZ6" s="286">
        <f>'Data-temp_employment'!JZ6-last_qrtr_tempemp!KA6</f>
        <v>-65.799999999999955</v>
      </c>
      <c r="KA6" s="286">
        <f>'Data-temp_employment'!KA6</f>
        <v>1326.6</v>
      </c>
      <c r="KB6" s="279" t="s">
        <v>13</v>
      </c>
      <c r="KC6" s="286">
        <f>'Data-temp_employment'!KC6-last_qrtr_tempemp!KD6</f>
        <v>6.8000000000001819</v>
      </c>
      <c r="KD6" s="286">
        <f>'Data-temp_employment'!KD6-last_qrtr_tempemp!KE6</f>
        <v>-124.80000000000018</v>
      </c>
      <c r="KE6" s="286">
        <f>'Data-temp_employment'!KE6-last_qrtr_tempemp!KF6</f>
        <v>143.79999999999973</v>
      </c>
      <c r="KF6" s="286">
        <f>'Data-temp_employment'!KF6-last_qrtr_tempemp!KG6</f>
        <v>301.59999999999991</v>
      </c>
      <c r="KG6" s="286">
        <f>'Data-temp_employment'!KG6-last_qrtr_tempemp!KH6</f>
        <v>69.699999999999818</v>
      </c>
      <c r="KH6" s="286">
        <f>'Data-temp_employment'!KH6-last_qrtr_tempemp!KI6</f>
        <v>-73.800000000000182</v>
      </c>
      <c r="KI6" s="286">
        <f>'Data-temp_employment'!KI6-last_qrtr_tempemp!KJ6</f>
        <v>177.59999999999991</v>
      </c>
      <c r="KJ6" s="286">
        <f>'Data-temp_employment'!KJ6-last_qrtr_tempemp!KK6</f>
        <v>257.79999999999973</v>
      </c>
      <c r="KK6" s="286">
        <f>'Data-temp_employment'!KK6-last_qrtr_tempemp!KL6</f>
        <v>65.200000000000273</v>
      </c>
      <c r="KL6" s="286">
        <f>'Data-temp_employment'!KL6</f>
        <v>2828.1</v>
      </c>
      <c r="KM6" s="279" t="s">
        <v>13</v>
      </c>
      <c r="KN6" s="286">
        <f>'Data-temp_employment'!KN6-last_qrtr_tempemp!KO6</f>
        <v>57.299999999999955</v>
      </c>
      <c r="KO6" s="286">
        <f>'Data-temp_employment'!KO6-last_qrtr_tempemp!KP6</f>
        <v>25.799999999999955</v>
      </c>
      <c r="KP6" s="286">
        <f>'Data-temp_employment'!KP6-last_qrtr_tempemp!KQ6</f>
        <v>85.399999999999977</v>
      </c>
      <c r="KQ6" s="286">
        <f>'Data-temp_employment'!KQ6-last_qrtr_tempemp!KR6</f>
        <v>61.299999999999955</v>
      </c>
      <c r="KR6" s="286">
        <f>'Data-temp_employment'!KR6-last_qrtr_tempemp!KS6</f>
        <v>-17.200000000000045</v>
      </c>
      <c r="KS6" s="286">
        <f>'Data-temp_employment'!KS6-last_qrtr_tempemp!KT6</f>
        <v>-4.8999999999999773</v>
      </c>
      <c r="KT6" s="286">
        <f>'Data-temp_employment'!KT6-last_qrtr_tempemp!KU6</f>
        <v>82.899999999999977</v>
      </c>
      <c r="KU6" s="286">
        <f>'Data-temp_employment'!KU6-last_qrtr_tempemp!KV6</f>
        <v>164.30000000000007</v>
      </c>
      <c r="KV6" s="286">
        <f>'Data-temp_employment'!KV6-last_qrtr_tempemp!KW6</f>
        <v>29.800000000000068</v>
      </c>
      <c r="KW6" s="286">
        <f>'Data-temp_employment'!KW6</f>
        <v>935.3</v>
      </c>
      <c r="KX6" s="279" t="s">
        <v>13</v>
      </c>
      <c r="KY6" s="286">
        <f>'Data-temp_employment'!KY6-last_qrtr_tempemp!KZ6</f>
        <v>-239.39999999999986</v>
      </c>
      <c r="KZ6" s="286">
        <f>'Data-temp_employment'!KZ6-last_qrtr_tempemp!LA6</f>
        <v>-169.90000000000009</v>
      </c>
      <c r="LA6" s="286">
        <f>'Data-temp_employment'!LA6-last_qrtr_tempemp!LB6</f>
        <v>565.29999999999995</v>
      </c>
      <c r="LB6" s="286">
        <f>'Data-temp_employment'!LB6-last_qrtr_tempemp!LC6</f>
        <v>157.09999999999991</v>
      </c>
      <c r="LC6" s="286">
        <f>'Data-temp_employment'!LC6-last_qrtr_tempemp!LD6</f>
        <v>-364.29999999999995</v>
      </c>
      <c r="LD6" s="286">
        <f>'Data-temp_employment'!LD6-last_qrtr_tempemp!LE6</f>
        <v>-156.90000000000009</v>
      </c>
      <c r="LE6" s="286">
        <f>'Data-temp_employment'!LE6-last_qrtr_tempemp!LF6</f>
        <v>660.39999999999986</v>
      </c>
      <c r="LF6" s="286">
        <f>'Data-temp_employment'!LF6-last_qrtr_tempemp!LG6</f>
        <v>206.29999999999995</v>
      </c>
      <c r="LG6" s="286">
        <f>'Data-temp_employment'!LG6-last_qrtr_tempemp!LH6</f>
        <v>-359.79999999999995</v>
      </c>
      <c r="LH6" s="286">
        <f>'Data-temp_employment'!LH6</f>
        <v>2026.9</v>
      </c>
      <c r="LI6" s="279" t="s">
        <v>13</v>
      </c>
      <c r="LJ6" s="286">
        <f>'Data-temp_employment'!LJ6-last_qrtr_tempemp!LK6</f>
        <v>30</v>
      </c>
      <c r="LK6" s="286">
        <f>'Data-temp_employment'!LK6-last_qrtr_tempemp!LL6</f>
        <v>25.900000000000034</v>
      </c>
      <c r="LL6" s="286">
        <f>'Data-temp_employment'!LL6-last_qrtr_tempemp!LM6</f>
        <v>24.199999999999989</v>
      </c>
      <c r="LM6" s="286">
        <f>'Data-temp_employment'!LM6-last_qrtr_tempemp!LN6</f>
        <v>26.600000000000023</v>
      </c>
      <c r="LN6" s="286">
        <f>'Data-temp_employment'!LN6-last_qrtr_tempemp!LO6</f>
        <v>6.3999999999999773</v>
      </c>
      <c r="LO6" s="286">
        <f>'Data-temp_employment'!LO6-last_qrtr_tempemp!LP6</f>
        <v>33.699999999999989</v>
      </c>
      <c r="LP6" s="286">
        <f>'Data-temp_employment'!LP6-last_qrtr_tempemp!LQ6</f>
        <v>32.800000000000011</v>
      </c>
      <c r="LQ6" s="286">
        <f>'Data-temp_employment'!LQ6-last_qrtr_tempemp!LR6</f>
        <v>10.5</v>
      </c>
      <c r="LR6" s="286">
        <f>'Data-temp_employment'!LR6-last_qrtr_tempemp!LS6</f>
        <v>-7.5</v>
      </c>
      <c r="LS6" s="286">
        <f>'Data-temp_employment'!LS6</f>
        <v>474.7</v>
      </c>
      <c r="LT6" s="279" t="s">
        <v>13</v>
      </c>
      <c r="LU6" s="286">
        <f>'Data-temp_employment'!LU6-last_qrtr_tempemp!LV6</f>
        <v>1.8000000000000114</v>
      </c>
      <c r="LV6" s="286">
        <f>'Data-temp_employment'!LV6-last_qrtr_tempemp!LW6</f>
        <v>3.6000000000000227</v>
      </c>
      <c r="LW6" s="286">
        <f>'Data-temp_employment'!LW6-last_qrtr_tempemp!LX6</f>
        <v>33</v>
      </c>
      <c r="LX6" s="286">
        <f>'Data-temp_employment'!LX6-last_qrtr_tempemp!LY6</f>
        <v>24.799999999999955</v>
      </c>
      <c r="LY6" s="286">
        <f>'Data-temp_employment'!LY6-last_qrtr_tempemp!LZ6</f>
        <v>-25</v>
      </c>
      <c r="LZ6" s="286">
        <f>'Data-temp_employment'!LZ6-last_qrtr_tempemp!MA6</f>
        <v>-3.3999999999999773</v>
      </c>
      <c r="MA6" s="286">
        <f>'Data-temp_employment'!MA6-last_qrtr_tempemp!MB6</f>
        <v>-0.19999999999998863</v>
      </c>
      <c r="MB6" s="286">
        <f>'Data-temp_employment'!MB6-last_qrtr_tempemp!MC6</f>
        <v>3.8000000000000114</v>
      </c>
      <c r="MC6" s="286">
        <f>'Data-temp_employment'!MC6-last_qrtr_tempemp!MD6</f>
        <v>-24.700000000000045</v>
      </c>
      <c r="MD6" s="286">
        <f>'Data-temp_employment'!MD6</f>
        <v>300.7</v>
      </c>
      <c r="ME6" s="279" t="s">
        <v>13</v>
      </c>
      <c r="MF6" s="286">
        <f>'Data-temp_employment'!MF6-last_qrtr_tempemp!MG6</f>
        <v>-1.4000000000000909</v>
      </c>
      <c r="MG6" s="286">
        <f>'Data-temp_employment'!MG6-last_qrtr_tempemp!MH6</f>
        <v>49.700000000000045</v>
      </c>
      <c r="MH6" s="286">
        <f>'Data-temp_employment'!MH6-last_qrtr_tempemp!MI6</f>
        <v>59.300000000000068</v>
      </c>
      <c r="MI6" s="286">
        <f>'Data-temp_employment'!MI6-last_qrtr_tempemp!MJ6</f>
        <v>76.399999999999977</v>
      </c>
      <c r="MJ6" s="286">
        <f>'Data-temp_employment'!MJ6-last_qrtr_tempemp!MK6</f>
        <v>-44.800000000000068</v>
      </c>
      <c r="MK6" s="286">
        <f>'Data-temp_employment'!MK6-last_qrtr_tempemp!ML6</f>
        <v>-1.7999999999999545</v>
      </c>
      <c r="ML6" s="286">
        <f>'Data-temp_employment'!ML6-last_qrtr_tempemp!MM6</f>
        <v>40.799999999999955</v>
      </c>
      <c r="MM6" s="286">
        <f>'Data-temp_employment'!MM6-last_qrtr_tempemp!MN6</f>
        <v>83.600000000000023</v>
      </c>
      <c r="MN6" s="286">
        <f>'Data-temp_employment'!MN6-last_qrtr_tempemp!MO6</f>
        <v>-24.200000000000045</v>
      </c>
      <c r="MO6" s="286">
        <f>'Data-temp_employment'!MO6</f>
        <v>862.5</v>
      </c>
      <c r="MP6" s="279" t="s">
        <v>13</v>
      </c>
      <c r="MQ6" s="286">
        <f>'Data-temp_employment'!MQ6-last_qrtr_tempemp!MR6</f>
        <v>-78</v>
      </c>
      <c r="MR6" s="286">
        <f>'Data-temp_employment'!MR6-last_qrtr_tempemp!MS6</f>
        <v>-87.399999999999864</v>
      </c>
      <c r="MS6" s="286">
        <f>'Data-temp_employment'!MS6-last_qrtr_tempemp!MT6</f>
        <v>131.20000000000005</v>
      </c>
      <c r="MT6" s="286">
        <f>'Data-temp_employment'!MT6-last_qrtr_tempemp!MU6</f>
        <v>113.29999999999995</v>
      </c>
      <c r="MU6" s="286">
        <f>'Data-temp_employment'!MU6-last_qrtr_tempemp!MV6</f>
        <v>-44.399999999999864</v>
      </c>
      <c r="MV6" s="286">
        <f>'Data-temp_employment'!MV6-last_qrtr_tempemp!MW6</f>
        <v>-53.400000000000091</v>
      </c>
      <c r="MW6" s="286">
        <f>'Data-temp_employment'!MW6-last_qrtr_tempemp!MX6</f>
        <v>103.20000000000005</v>
      </c>
      <c r="MX6" s="286">
        <f>'Data-temp_employment'!MX6-last_qrtr_tempemp!MY6</f>
        <v>78.299999999999955</v>
      </c>
      <c r="MY6" s="286">
        <f>'Data-temp_employment'!MY6-last_qrtr_tempemp!MZ6</f>
        <v>-76.700000000000045</v>
      </c>
      <c r="MZ6" s="286">
        <f>'Data-temp_employment'!MZ6</f>
        <v>1246.5</v>
      </c>
      <c r="NA6" s="279" t="s">
        <v>13</v>
      </c>
      <c r="NB6" s="286">
        <f>'Data-temp_employment'!NB6-last_qrtr_tempemp!NC6</f>
        <v>-37.100000000000136</v>
      </c>
      <c r="NC6" s="286">
        <f>'Data-temp_employment'!NC6-last_qrtr_tempemp!ND6</f>
        <v>-53</v>
      </c>
      <c r="ND6" s="286">
        <f>'Data-temp_employment'!ND6-last_qrtr_tempemp!NE6</f>
        <v>39.100000000000136</v>
      </c>
      <c r="NE6" s="286">
        <f>'Data-temp_employment'!NE6-last_qrtr_tempemp!NF6</f>
        <v>64.5</v>
      </c>
      <c r="NF6" s="286">
        <f>'Data-temp_employment'!NF6-last_qrtr_tempemp!NG6</f>
        <v>9.0999999999999091</v>
      </c>
      <c r="NG6" s="286">
        <f>'Data-temp_employment'!NG6-last_qrtr_tempemp!NH6</f>
        <v>-8.7999999999999545</v>
      </c>
      <c r="NH6" s="286">
        <f>'Data-temp_employment'!NH6-last_qrtr_tempemp!NI6</f>
        <v>38</v>
      </c>
      <c r="NI6" s="286">
        <f>'Data-temp_employment'!NI6-last_qrtr_tempemp!NJ6</f>
        <v>131.89999999999986</v>
      </c>
      <c r="NJ6" s="286">
        <f>'Data-temp_employment'!NJ6-last_qrtr_tempemp!NK6</f>
        <v>3.4000000000000909</v>
      </c>
      <c r="NK6" s="286">
        <f>'Data-temp_employment'!NK6</f>
        <v>1297.8</v>
      </c>
      <c r="NL6" s="279" t="s">
        <v>13</v>
      </c>
      <c r="NM6" s="286">
        <f>'Data-temp_employment'!NM6-last_qrtr_tempemp!NN6</f>
        <v>55.300000000000182</v>
      </c>
      <c r="NN6" s="286">
        <f>'Data-temp_employment'!NN6-last_qrtr_tempemp!NO6</f>
        <v>432.29999999999995</v>
      </c>
      <c r="NO6" s="286">
        <f>'Data-temp_employment'!NO6-last_qrtr_tempemp!NP6</f>
        <v>-329.19999999999982</v>
      </c>
      <c r="NP6" s="286">
        <f>'Data-temp_employment'!NP6-last_qrtr_tempemp!NQ6</f>
        <v>-79.599999999999909</v>
      </c>
      <c r="NQ6" s="286">
        <f>'Data-temp_employment'!NQ6-last_qrtr_tempemp!NR6</f>
        <v>15.5</v>
      </c>
      <c r="NR6" s="286">
        <f>'Data-temp_employment'!NR6-last_qrtr_tempemp!NS6</f>
        <v>470.5</v>
      </c>
      <c r="NS6" s="286">
        <f>'Data-temp_employment'!NS6-last_qrtr_tempemp!NT6</f>
        <v>-286.5</v>
      </c>
      <c r="NT6" s="286">
        <f>'Data-temp_employment'!NT6-last_qrtr_tempemp!NU6</f>
        <v>14.399999999999636</v>
      </c>
      <c r="NU6" s="286">
        <f>'Data-temp_employment'!NU6-last_qrtr_tempemp!NV6</f>
        <v>67.800000000000182</v>
      </c>
      <c r="NV6" s="286">
        <f>'Data-temp_employment'!NV6</f>
        <v>2461.5</v>
      </c>
      <c r="NW6" s="279" t="s">
        <v>13</v>
      </c>
      <c r="NX6" s="286">
        <f>'Data-temp_employment'!NX6-last_qrtr_tempemp!NY6</f>
        <v>104.19999999999982</v>
      </c>
      <c r="NY6" s="286">
        <f>'Data-temp_employment'!NY6-last_qrtr_tempemp!NZ6</f>
        <v>1.8000000000001819</v>
      </c>
      <c r="NZ6" s="286">
        <f>'Data-temp_employment'!NZ6-last_qrtr_tempemp!OA6</f>
        <v>122.69999999999982</v>
      </c>
      <c r="OA6" s="286">
        <f>'Data-temp_employment'!OA6-last_qrtr_tempemp!OB6</f>
        <v>116.5</v>
      </c>
      <c r="OB6" s="286">
        <f>'Data-temp_employment'!OB6-last_qrtr_tempemp!OC6</f>
        <v>-36.199999999999818</v>
      </c>
      <c r="OC6" s="286">
        <f>'Data-temp_employment'!OC6-last_qrtr_tempemp!OD6</f>
        <v>-50</v>
      </c>
      <c r="OD6" s="286">
        <f>'Data-temp_employment'!OD6-last_qrtr_tempemp!OE6</f>
        <v>111.60000000000036</v>
      </c>
      <c r="OE6" s="286">
        <f>'Data-temp_employment'!OE6-last_qrtr_tempemp!OF6</f>
        <v>66.700000000000273</v>
      </c>
      <c r="OF6" s="286">
        <f>'Data-temp_employment'!OF6-last_qrtr_tempemp!OG6</f>
        <v>41.800000000000182</v>
      </c>
      <c r="OG6" s="286">
        <f>'Data-temp_employment'!OG6</f>
        <v>2877</v>
      </c>
      <c r="OH6" s="287" t="s">
        <v>13</v>
      </c>
      <c r="OI6" s="286"/>
      <c r="OJ6" s="286"/>
      <c r="OK6" s="286"/>
      <c r="OL6" s="286"/>
      <c r="OM6" s="286"/>
      <c r="ON6" s="286"/>
      <c r="OO6" s="286"/>
      <c r="OP6" s="286"/>
      <c r="OQ6" s="286"/>
      <c r="OR6" s="286"/>
      <c r="OS6" s="279" t="s">
        <v>13</v>
      </c>
      <c r="OT6" s="286">
        <f>'Data-temp_employment'!OT6-last_qrtr_tempemp!OU6</f>
        <v>0.3</v>
      </c>
      <c r="OU6" s="286">
        <f>'Data-temp_employment'!OU6-last_qrtr_tempemp!OV6</f>
        <v>-0.2</v>
      </c>
      <c r="OV6" s="286">
        <f>'Data-temp_employment'!OV6-last_qrtr_tempemp!OW6</f>
        <v>-9.9999999999999978E-2</v>
      </c>
      <c r="OW6" s="286">
        <f>'Data-temp_employment'!OW6-last_qrtr_tempemp!OX6</f>
        <v>0.19999999999999996</v>
      </c>
      <c r="OX6" s="286">
        <f>'Data-temp_employment'!OX6-last_qrtr_tempemp!OY6</f>
        <v>0.3</v>
      </c>
      <c r="OY6" s="286">
        <f>'Data-temp_employment'!OY6-last_qrtr_tempemp!OZ6</f>
        <v>0.19999999999999996</v>
      </c>
      <c r="OZ6" s="286">
        <f>'Data-temp_employment'!OZ6-last_qrtr_tempemp!PA6</f>
        <v>0</v>
      </c>
      <c r="PA6" s="286">
        <f>'Data-temp_employment'!PA6-last_qrtr_tempemp!PB6</f>
        <v>0</v>
      </c>
      <c r="PB6" s="286">
        <f>'Data-temp_employment'!PB6-last_qrtr_tempemp!PC6</f>
        <v>-0.39999999999999997</v>
      </c>
      <c r="PC6" s="286">
        <f>'Data-temp_employment'!PC6</f>
        <v>0.4</v>
      </c>
      <c r="PE6" s="319"/>
      <c r="PF6" s="319"/>
      <c r="PG6" s="319"/>
      <c r="PH6" s="319"/>
      <c r="PI6" s="319"/>
      <c r="PJ6" s="319"/>
      <c r="PK6" s="319"/>
      <c r="PL6" s="319"/>
      <c r="PM6" s="319"/>
      <c r="PN6" s="319"/>
      <c r="PO6" s="319"/>
      <c r="PP6" s="319"/>
      <c r="PQ6" s="319"/>
      <c r="PR6" s="319"/>
      <c r="PS6" s="319"/>
      <c r="PT6" s="319"/>
      <c r="PU6" s="319"/>
      <c r="PV6" s="319"/>
      <c r="PW6" s="319"/>
      <c r="PX6" s="319"/>
      <c r="PY6" s="319"/>
      <c r="PZ6" s="319"/>
      <c r="QA6" s="319"/>
      <c r="QB6" s="319"/>
      <c r="QC6" s="319"/>
      <c r="QD6" s="319"/>
      <c r="QE6" s="319"/>
      <c r="QF6" s="319"/>
      <c r="QG6" s="319"/>
      <c r="QH6" s="319"/>
      <c r="QI6" s="319"/>
      <c r="QJ6" s="319"/>
      <c r="QK6" s="319"/>
      <c r="QL6" s="319"/>
      <c r="QM6" s="319"/>
      <c r="QN6" s="319"/>
      <c r="QO6" s="319"/>
      <c r="QP6" s="319"/>
      <c r="QQ6" s="319"/>
      <c r="QR6" s="319"/>
      <c r="QS6" s="319"/>
      <c r="QT6" s="319"/>
      <c r="QU6" s="319"/>
      <c r="QV6" s="319"/>
      <c r="QW6" s="319"/>
      <c r="QX6" s="319"/>
      <c r="QY6" s="319"/>
      <c r="QZ6" s="319"/>
      <c r="RA6" s="319"/>
      <c r="RB6" s="319"/>
      <c r="RC6" s="319"/>
      <c r="RD6" s="319"/>
      <c r="RE6" s="319"/>
      <c r="RF6" s="319"/>
      <c r="RG6" s="319"/>
      <c r="RH6" s="319"/>
      <c r="RI6" s="319"/>
      <c r="RJ6" s="319"/>
      <c r="RK6" s="319"/>
      <c r="RL6" s="319"/>
      <c r="RM6" s="319"/>
      <c r="RN6" s="319"/>
      <c r="RO6" s="319"/>
      <c r="RP6" s="319"/>
    </row>
    <row r="7" spans="1:484">
      <c r="A7" s="269">
        <v>4</v>
      </c>
      <c r="B7" s="285" t="s">
        <v>14</v>
      </c>
      <c r="C7" s="286">
        <f>'Data-temp_employment'!C7-last_qrtr_tempemp!D7</f>
        <v>-0.59999999999999964</v>
      </c>
      <c r="D7" s="286">
        <f>'Data-temp_employment'!D7-last_qrtr_tempemp!E7</f>
        <v>-0.30000000000000071</v>
      </c>
      <c r="E7" s="286">
        <f>'Data-temp_employment'!E7-last_qrtr_tempemp!F7</f>
        <v>0.60000000000000142</v>
      </c>
      <c r="F7" s="286">
        <f>'Data-temp_employment'!F7-last_qrtr_tempemp!G7</f>
        <v>0.90000000000000036</v>
      </c>
      <c r="G7" s="286">
        <f>'Data-temp_employment'!G7-last_qrtr_tempemp!H7</f>
        <v>-0.39999999999999858</v>
      </c>
      <c r="H7" s="286">
        <f>'Data-temp_employment'!H7-last_qrtr_tempemp!I7</f>
        <v>0</v>
      </c>
      <c r="I7" s="286">
        <f>'Data-temp_employment'!I7-last_qrtr_tempemp!J7</f>
        <v>0.80000000000000071</v>
      </c>
      <c r="J7" s="286">
        <f>'Data-temp_employment'!J7-last_qrtr_tempemp!K7</f>
        <v>0.89999999999999858</v>
      </c>
      <c r="K7" s="286">
        <f>'Data-temp_employment'!K7-last_qrtr_tempemp!L7</f>
        <v>-0.40000000000000213</v>
      </c>
      <c r="L7" s="286">
        <f>'Data-temp_employment'!L7</f>
        <v>16.3</v>
      </c>
      <c r="M7" s="285" t="s">
        <v>14</v>
      </c>
      <c r="N7" s="286">
        <f>'Data-temp_employment'!N7-last_qrtr_tempemp!O7</f>
        <v>-512.20000000000073</v>
      </c>
      <c r="O7" s="286">
        <f>'Data-temp_employment'!O7-last_qrtr_tempemp!P7</f>
        <v>-179.90000000000146</v>
      </c>
      <c r="P7" s="286">
        <f>'Data-temp_employment'!P7-last_qrtr_tempemp!Q7</f>
        <v>1042.9000000000015</v>
      </c>
      <c r="Q7" s="286">
        <f>'Data-temp_employment'!Q7-last_qrtr_tempemp!R7</f>
        <v>1446.0999999999985</v>
      </c>
      <c r="R7" s="286">
        <f>'Data-temp_employment'!R7-last_qrtr_tempemp!S7</f>
        <v>-382.90000000000146</v>
      </c>
      <c r="S7" s="286">
        <f>'Data-temp_employment'!S7-last_qrtr_tempemp!T7</f>
        <v>258.70000000000073</v>
      </c>
      <c r="T7" s="286">
        <f>'Data-temp_employment'!T7-last_qrtr_tempemp!U7</f>
        <v>1392.2999999999993</v>
      </c>
      <c r="U7" s="286">
        <f>'Data-temp_employment'!U7-last_qrtr_tempemp!V7</f>
        <v>1635</v>
      </c>
      <c r="V7" s="286">
        <f>'Data-temp_employment'!V7-last_qrtr_tempemp!W7</f>
        <v>-429.90000000000146</v>
      </c>
      <c r="W7" s="286">
        <f>'Data-temp_employment'!W7</f>
        <v>20622.900000000001</v>
      </c>
      <c r="X7" s="285" t="s">
        <v>14</v>
      </c>
      <c r="Y7" s="286">
        <f>'Data-temp_employment'!Y7-last_qrtr_tempemp!Z7</f>
        <v>-71.299999999999955</v>
      </c>
      <c r="Z7" s="286">
        <f>'Data-temp_employment'!Z7-last_qrtr_tempemp!AA7</f>
        <v>-47.100000000000136</v>
      </c>
      <c r="AA7" s="286">
        <f>'Data-temp_employment'!AA7-last_qrtr_tempemp!AB7</f>
        <v>84.299999999999955</v>
      </c>
      <c r="AB7" s="286">
        <f>'Data-temp_employment'!AB7-last_qrtr_tempemp!AC7</f>
        <v>92.600000000000023</v>
      </c>
      <c r="AC7" s="286">
        <f>'Data-temp_employment'!AC7-last_qrtr_tempemp!AD7</f>
        <v>-32.600000000000136</v>
      </c>
      <c r="AD7" s="286">
        <f>'Data-temp_employment'!AD7-last_qrtr_tempemp!AE7</f>
        <v>3.2000000000000455</v>
      </c>
      <c r="AE7" s="286">
        <f>'Data-temp_employment'!AE7-last_qrtr_tempemp!AF7</f>
        <v>101.39999999999998</v>
      </c>
      <c r="AF7" s="286">
        <f>'Data-temp_employment'!AF7-last_qrtr_tempemp!AG7</f>
        <v>67.599999999999909</v>
      </c>
      <c r="AG7" s="286">
        <f>'Data-temp_employment'!AG7-last_qrtr_tempemp!AH7</f>
        <v>-90.5</v>
      </c>
      <c r="AH7" s="286">
        <f>'Data-temp_employment'!AH7</f>
        <v>1089.3</v>
      </c>
      <c r="AI7" s="279" t="s">
        <v>14</v>
      </c>
      <c r="AJ7" s="286">
        <f>'Data-temp_employment'!AJ7-last_qrtr_tempemp!AK7</f>
        <v>-205.60000000000014</v>
      </c>
      <c r="AK7" s="286">
        <f>'Data-temp_employment'!AK7-last_qrtr_tempemp!AL7</f>
        <v>-740.90000000000009</v>
      </c>
      <c r="AL7" s="286">
        <f>'Data-temp_employment'!AL7-last_qrtr_tempemp!AM7</f>
        <v>726.10000000000014</v>
      </c>
      <c r="AM7" s="286">
        <f>'Data-temp_employment'!AM7-last_qrtr_tempemp!AN7</f>
        <v>382.70000000000005</v>
      </c>
      <c r="AN7" s="286">
        <f>'Data-temp_employment'!AN7-last_qrtr_tempemp!AO7</f>
        <v>-140.5</v>
      </c>
      <c r="AO7" s="286">
        <f>'Data-temp_employment'!AO7-last_qrtr_tempemp!AP7</f>
        <v>-605.30000000000018</v>
      </c>
      <c r="AP7" s="286">
        <f>'Data-temp_employment'!AP7-last_qrtr_tempemp!AQ7</f>
        <v>832.29999999999973</v>
      </c>
      <c r="AQ7" s="286">
        <f>'Data-temp_employment'!AQ7-last_qrtr_tempemp!AR7</f>
        <v>426.39999999999986</v>
      </c>
      <c r="AR7" s="286">
        <f>'Data-temp_employment'!AR7-last_qrtr_tempemp!AS7</f>
        <v>-196.59999999999991</v>
      </c>
      <c r="AS7" s="286">
        <f>'Data-temp_employment'!AS7</f>
        <v>2223.1</v>
      </c>
      <c r="AT7" s="279" t="s">
        <v>14</v>
      </c>
      <c r="AU7" s="286">
        <f>'Data-temp_employment'!AU7-last_qrtr_tempemp!AV7</f>
        <v>-338.5</v>
      </c>
      <c r="AV7" s="286">
        <f>'Data-temp_employment'!AV7-last_qrtr_tempemp!AW7</f>
        <v>-58.300000000000182</v>
      </c>
      <c r="AW7" s="286">
        <f>'Data-temp_employment'!AW7-last_qrtr_tempemp!AX7</f>
        <v>377.80000000000018</v>
      </c>
      <c r="AX7" s="286">
        <f>'Data-temp_employment'!AX7-last_qrtr_tempemp!AY7</f>
        <v>174.59999999999991</v>
      </c>
      <c r="AY7" s="286">
        <f>'Data-temp_employment'!AY7-last_qrtr_tempemp!AZ7</f>
        <v>-394.69999999999982</v>
      </c>
      <c r="AZ7" s="286">
        <f>'Data-temp_employment'!AZ7-last_qrtr_tempemp!BA7</f>
        <v>-7.8999999999996362</v>
      </c>
      <c r="BA7" s="286">
        <f>'Data-temp_employment'!BA7-last_qrtr_tempemp!BB7</f>
        <v>677.5</v>
      </c>
      <c r="BB7" s="286">
        <f>'Data-temp_employment'!BB7-last_qrtr_tempemp!BC7</f>
        <v>432.30000000000018</v>
      </c>
      <c r="BC7" s="286">
        <f>'Data-temp_employment'!BC7-last_qrtr_tempemp!BD7</f>
        <v>-254</v>
      </c>
      <c r="BD7" s="286">
        <f>'Data-temp_employment'!BD7</f>
        <v>3394.5</v>
      </c>
      <c r="BE7" s="279" t="s">
        <v>14</v>
      </c>
      <c r="BF7" s="286">
        <f>'Data-temp_employment'!BF7-last_qrtr_tempemp!BG7</f>
        <v>23.299999999999272</v>
      </c>
      <c r="BG7" s="286">
        <f>'Data-temp_employment'!BG7-last_qrtr_tempemp!BH7</f>
        <v>326.90000000000055</v>
      </c>
      <c r="BH7" s="286">
        <f>'Data-temp_employment'!BH7-last_qrtr_tempemp!BI7</f>
        <v>-181.59999999999945</v>
      </c>
      <c r="BI7" s="286">
        <f>'Data-temp_employment'!BI7-last_qrtr_tempemp!BJ7</f>
        <v>103.90000000000055</v>
      </c>
      <c r="BJ7" s="286">
        <f>'Data-temp_employment'!BJ7-last_qrtr_tempemp!BK7</f>
        <v>22.5</v>
      </c>
      <c r="BK7" s="286">
        <f>'Data-temp_employment'!BK7-last_qrtr_tempemp!BL7</f>
        <v>567.10000000000036</v>
      </c>
      <c r="BL7" s="286">
        <f>'Data-temp_employment'!BL7-last_qrtr_tempemp!BM7</f>
        <v>5.9000000000005457</v>
      </c>
      <c r="BM7" s="286">
        <f>'Data-temp_employment'!BM7-last_qrtr_tempemp!BN7</f>
        <v>348.89999999999964</v>
      </c>
      <c r="BN7" s="286">
        <f>'Data-temp_employment'!BN7-last_qrtr_tempemp!BO7</f>
        <v>-3.1999999999998181</v>
      </c>
      <c r="BO7" s="286">
        <f>'Data-temp_employment'!BO7</f>
        <v>5323</v>
      </c>
      <c r="BP7" s="282" t="s">
        <v>14</v>
      </c>
      <c r="BQ7" s="286">
        <f>'Data-temp_employment'!BQ7-last_qrtr_tempemp!BR7</f>
        <v>61.599999999999909</v>
      </c>
      <c r="BR7" s="286">
        <f>'Data-temp_employment'!BR7-last_qrtr_tempemp!BS7</f>
        <v>26.199999999999818</v>
      </c>
      <c r="BS7" s="286">
        <f>'Data-temp_employment'!BS7-last_qrtr_tempemp!BT7</f>
        <v>70.199999999999818</v>
      </c>
      <c r="BT7" s="286">
        <f>'Data-temp_employment'!BT7-last_qrtr_tempemp!BU7</f>
        <v>105.19999999999982</v>
      </c>
      <c r="BU7" s="286">
        <f>'Data-temp_employment'!BU7-last_qrtr_tempemp!BV7</f>
        <v>-13</v>
      </c>
      <c r="BV7" s="286">
        <f>'Data-temp_employment'!BV7-last_qrtr_tempemp!BW7</f>
        <v>43</v>
      </c>
      <c r="BW7" s="286">
        <f>'Data-temp_employment'!BW7-last_qrtr_tempemp!BX7</f>
        <v>-22.900000000000091</v>
      </c>
      <c r="BX7" s="286">
        <f>'Data-temp_employment'!BX7-last_qrtr_tempemp!BY7</f>
        <v>40.400000000000091</v>
      </c>
      <c r="BY7" s="286">
        <f>'Data-temp_employment'!BY7-last_qrtr_tempemp!BZ7</f>
        <v>-45.599999999999909</v>
      </c>
      <c r="BZ7" s="286">
        <f>'Data-temp_employment'!BZ7</f>
        <v>1729.1999999999998</v>
      </c>
      <c r="CA7" s="282" t="s">
        <v>14</v>
      </c>
      <c r="CB7" s="286">
        <f>'Data-temp_employment'!CB7-last_qrtr_tempemp!CC7</f>
        <v>34.099999999999909</v>
      </c>
      <c r="CC7" s="286">
        <f>'Data-temp_employment'!CC7-last_qrtr_tempemp!CD7</f>
        <v>-60.900000000000546</v>
      </c>
      <c r="CD7" s="286">
        <f>'Data-temp_employment'!CD7-last_qrtr_tempemp!CE7</f>
        <v>-204.30000000000018</v>
      </c>
      <c r="CE7" s="286">
        <f>'Data-temp_employment'!CE7-last_qrtr_tempemp!CF7</f>
        <v>218.20000000000027</v>
      </c>
      <c r="CF7" s="286">
        <f>'Data-temp_employment'!CF7-last_qrtr_tempemp!CG7</f>
        <v>104.09999999999945</v>
      </c>
      <c r="CG7" s="286">
        <f>'Data-temp_employment'!CG7-last_qrtr_tempemp!CH7</f>
        <v>28.799999999999727</v>
      </c>
      <c r="CH7" s="286">
        <f>'Data-temp_employment'!CH7-last_qrtr_tempemp!CI7</f>
        <v>-164.89999999999964</v>
      </c>
      <c r="CI7" s="286">
        <f>'Data-temp_employment'!CI7-last_qrtr_tempemp!CJ7</f>
        <v>131.5</v>
      </c>
      <c r="CJ7" s="286">
        <f>'Data-temp_employment'!CJ7-last_qrtr_tempemp!CK7</f>
        <v>146.5</v>
      </c>
      <c r="CK7" s="286">
        <f>'Data-temp_employment'!CK7</f>
        <v>2984.3</v>
      </c>
      <c r="CL7" s="285" t="s">
        <v>14</v>
      </c>
      <c r="CM7" s="286">
        <f>'Data-temp_employment'!CM7-last_qrtr_tempemp!CN7</f>
        <v>-227.40000000000055</v>
      </c>
      <c r="CN7" s="286">
        <f>'Data-temp_employment'!CN7-last_qrtr_tempemp!CO7</f>
        <v>-166.89999999999964</v>
      </c>
      <c r="CO7" s="286">
        <f>'Data-temp_employment'!CO7-last_qrtr_tempemp!CP7</f>
        <v>226.30000000000018</v>
      </c>
      <c r="CP7" s="286">
        <f>'Data-temp_employment'!CP7-last_qrtr_tempemp!CQ7</f>
        <v>529.59999999999945</v>
      </c>
      <c r="CQ7" s="286">
        <f>'Data-temp_employment'!CQ7-last_qrtr_tempemp!CR7</f>
        <v>-213.5</v>
      </c>
      <c r="CR7" s="286">
        <f>'Data-temp_employment'!CR7-last_qrtr_tempemp!CS7</f>
        <v>48.899999999999636</v>
      </c>
      <c r="CS7" s="286">
        <f>'Data-temp_employment'!CS7-last_qrtr_tempemp!CT7</f>
        <v>433.5</v>
      </c>
      <c r="CT7" s="286">
        <f>'Data-temp_employment'!CT7-last_qrtr_tempemp!CU7</f>
        <v>546.40000000000055</v>
      </c>
      <c r="CU7" s="286">
        <f>'Data-temp_employment'!CU7-last_qrtr_tempemp!CV7</f>
        <v>-195.30000000000018</v>
      </c>
      <c r="CV7" s="286">
        <f>'Data-temp_employment'!CV7</f>
        <v>6247.4</v>
      </c>
      <c r="CW7" s="285" t="s">
        <v>14</v>
      </c>
      <c r="CX7" s="286">
        <f>'Data-temp_employment'!CX7-last_qrtr_tempemp!CY7</f>
        <v>-302.5</v>
      </c>
      <c r="CY7" s="286">
        <f>'Data-temp_employment'!CY7-last_qrtr_tempemp!CZ7</f>
        <v>-198.60000000000036</v>
      </c>
      <c r="CZ7" s="286">
        <f>'Data-temp_employment'!CZ7-last_qrtr_tempemp!DA7</f>
        <v>640.40000000000055</v>
      </c>
      <c r="DA7" s="286">
        <f>'Data-temp_employment'!DA7-last_qrtr_tempemp!DB7</f>
        <v>624.80000000000018</v>
      </c>
      <c r="DB7" s="286">
        <f>'Data-temp_employment'!DB7-last_qrtr_tempemp!DC7</f>
        <v>-240</v>
      </c>
      <c r="DC7" s="286">
        <f>'Data-temp_employment'!DC7-last_qrtr_tempemp!DD7</f>
        <v>-27.5</v>
      </c>
      <c r="DD7" s="286">
        <f>'Data-temp_employment'!DD7-last_qrtr_tempemp!DE7</f>
        <v>712</v>
      </c>
      <c r="DE7" s="286">
        <f>'Data-temp_employment'!DE7-last_qrtr_tempemp!DF7</f>
        <v>674.99999999999909</v>
      </c>
      <c r="DF7" s="286">
        <f>'Data-temp_employment'!DF7-last_qrtr_tempemp!DG7</f>
        <v>-282.60000000000036</v>
      </c>
      <c r="DG7" s="286">
        <f>'Data-temp_employment'!DG7</f>
        <v>8471.7999999999993</v>
      </c>
      <c r="DH7" s="285" t="s">
        <v>14</v>
      </c>
      <c r="DI7" s="286">
        <f>'Data-temp_employment'!DI7-last_qrtr_tempemp!DJ7</f>
        <v>8.6999999999998181</v>
      </c>
      <c r="DJ7" s="286">
        <f>'Data-temp_employment'!DJ7-last_qrtr_tempemp!DK7</f>
        <v>176.69999999999982</v>
      </c>
      <c r="DK7" s="286">
        <f>'Data-temp_employment'!DK7-last_qrtr_tempemp!DL7</f>
        <v>157.5</v>
      </c>
      <c r="DL7" s="286">
        <f>'Data-temp_employment'!DL7-last_qrtr_tempemp!DM7</f>
        <v>289.10000000000036</v>
      </c>
      <c r="DM7" s="286">
        <f>'Data-temp_employment'!DM7-last_qrtr_tempemp!DN7</f>
        <v>61.799999999999272</v>
      </c>
      <c r="DN7" s="286">
        <f>'Data-temp_employment'!DN7-last_qrtr_tempemp!DO7</f>
        <v>236.19999999999982</v>
      </c>
      <c r="DO7" s="286">
        <f>'Data-temp_employment'!DO7-last_qrtr_tempemp!DP7</f>
        <v>232.59999999999945</v>
      </c>
      <c r="DP7" s="286">
        <f>'Data-temp_employment'!DP7-last_qrtr_tempemp!DQ7</f>
        <v>405.10000000000036</v>
      </c>
      <c r="DQ7" s="286">
        <f>'Data-temp_employment'!DQ7-last_qrtr_tempemp!DR7</f>
        <v>37.900000000000546</v>
      </c>
      <c r="DR7" s="286">
        <f>'Data-temp_employment'!DR7</f>
        <v>5849.8</v>
      </c>
      <c r="DS7" s="285" t="s">
        <v>14</v>
      </c>
      <c r="DT7" s="286">
        <f>'Data-temp_employment'!DT7-last_qrtr_tempemp!DU7</f>
        <v>9.1000000000000014</v>
      </c>
      <c r="DU7" s="286">
        <f>'Data-temp_employment'!DU7-last_qrtr_tempemp!DV7</f>
        <v>8.7999999999999972</v>
      </c>
      <c r="DV7" s="286">
        <f>'Data-temp_employment'!DV7-last_qrtr_tempemp!DW7</f>
        <v>18.700000000000003</v>
      </c>
      <c r="DW7" s="286">
        <f>'Data-temp_employment'!DW7-last_qrtr_tempemp!DX7</f>
        <v>2.6000000000000014</v>
      </c>
      <c r="DX7" s="286">
        <f>'Data-temp_employment'!DX7-last_qrtr_tempemp!DY7</f>
        <v>8.8999999999999986</v>
      </c>
      <c r="DY7" s="286">
        <f>'Data-temp_employment'!DY7-last_qrtr_tempemp!DZ7</f>
        <v>1.1999999999999957</v>
      </c>
      <c r="DZ7" s="286">
        <f>'Data-temp_employment'!DZ7-last_qrtr_tempemp!EA7</f>
        <v>14.200000000000003</v>
      </c>
      <c r="EA7" s="286">
        <f>'Data-temp_employment'!EA7-last_qrtr_tempemp!EB7</f>
        <v>8.3999999999999915</v>
      </c>
      <c r="EB7" s="286">
        <f>'Data-temp_employment'!EB7-last_qrtr_tempemp!EC7</f>
        <v>10.100000000000001</v>
      </c>
      <c r="EC7" s="286">
        <f>'Data-temp_employment'!EC7</f>
        <v>53.9</v>
      </c>
      <c r="ED7" s="279" t="s">
        <v>14</v>
      </c>
      <c r="EE7" s="286">
        <f>'Data-temp_employment'!EE7-last_qrtr_tempemp!EF7</f>
        <v>2.5</v>
      </c>
      <c r="EF7" s="286">
        <f>'Data-temp_employment'!EF7-last_qrtr_tempemp!EG7</f>
        <v>18</v>
      </c>
      <c r="EG7" s="286">
        <f>'Data-temp_employment'!EG7-last_qrtr_tempemp!EH7</f>
        <v>14.100000000000023</v>
      </c>
      <c r="EH7" s="286">
        <f>'Data-temp_employment'!EH7-last_qrtr_tempemp!EI7</f>
        <v>14.199999999999989</v>
      </c>
      <c r="EI7" s="286">
        <f>'Data-temp_employment'!EI7-last_qrtr_tempemp!EJ7</f>
        <v>-15.699999999999989</v>
      </c>
      <c r="EJ7" s="286">
        <f>'Data-temp_employment'!EJ7-last_qrtr_tempemp!EK7</f>
        <v>-22</v>
      </c>
      <c r="EK7" s="286">
        <f>'Data-temp_employment'!EK7-last_qrtr_tempemp!EL7</f>
        <v>7</v>
      </c>
      <c r="EL7" s="286">
        <f>'Data-temp_employment'!EL7-last_qrtr_tempemp!EM7</f>
        <v>16</v>
      </c>
      <c r="EM7" s="286">
        <f>'Data-temp_employment'!EM7-last_qrtr_tempemp!EN7</f>
        <v>-7.1999999999999886</v>
      </c>
      <c r="EN7" s="286">
        <f>'Data-temp_employment'!EN7</f>
        <v>175.2</v>
      </c>
      <c r="EO7" s="279" t="s">
        <v>14</v>
      </c>
      <c r="EP7" s="286">
        <f>'Data-temp_employment'!EP7-last_qrtr_tempemp!EQ7</f>
        <v>72.900000000000091</v>
      </c>
      <c r="EQ7" s="286">
        <f>'Data-temp_employment'!EQ7-last_qrtr_tempemp!ER7</f>
        <v>311.90000000000009</v>
      </c>
      <c r="ER7" s="286">
        <f>'Data-temp_employment'!ER7-last_qrtr_tempemp!ES7</f>
        <v>-96.900000000000091</v>
      </c>
      <c r="ES7" s="286">
        <f>'Data-temp_employment'!ES7-last_qrtr_tempemp!ET7</f>
        <v>132.90000000000009</v>
      </c>
      <c r="ET7" s="286">
        <f>'Data-temp_employment'!ET7-last_qrtr_tempemp!EU7</f>
        <v>73.5</v>
      </c>
      <c r="EU7" s="286">
        <f>'Data-temp_employment'!EU7-last_qrtr_tempemp!EV7</f>
        <v>349.09999999999991</v>
      </c>
      <c r="EV7" s="286">
        <f>'Data-temp_employment'!EV7-last_qrtr_tempemp!EW7</f>
        <v>-160.59999999999991</v>
      </c>
      <c r="EW7" s="286">
        <f>'Data-temp_employment'!EW7-last_qrtr_tempemp!EX7</f>
        <v>149.19999999999982</v>
      </c>
      <c r="EX7" s="286">
        <f>'Data-temp_employment'!EX7-last_qrtr_tempemp!EY7</f>
        <v>58.5</v>
      </c>
      <c r="EY7" s="286">
        <f>'Data-temp_employment'!EY7</f>
        <v>3218.9</v>
      </c>
      <c r="EZ7" s="279" t="s">
        <v>14</v>
      </c>
      <c r="FA7" s="286">
        <f>'Data-temp_employment'!FA7-last_qrtr_tempemp!FB7</f>
        <v>45.300000000000182</v>
      </c>
      <c r="FB7" s="286">
        <f>'Data-temp_employment'!FB7-last_qrtr_tempemp!FC7</f>
        <v>45</v>
      </c>
      <c r="FC7" s="286">
        <f>'Data-temp_employment'!FC7-last_qrtr_tempemp!FD7</f>
        <v>4.8999999999996362</v>
      </c>
      <c r="FD7" s="286">
        <f>'Data-temp_employment'!FD7-last_qrtr_tempemp!FE7</f>
        <v>60.699999999999818</v>
      </c>
      <c r="FE7" s="286">
        <f>'Data-temp_employment'!FE7-last_qrtr_tempemp!FF7</f>
        <v>29</v>
      </c>
      <c r="FF7" s="286">
        <f>'Data-temp_employment'!FF7-last_qrtr_tempemp!FG7</f>
        <v>94.400000000000091</v>
      </c>
      <c r="FG7" s="286">
        <f>'Data-temp_employment'!FG7-last_qrtr_tempemp!FH7</f>
        <v>73.199999999999818</v>
      </c>
      <c r="FH7" s="286">
        <f>'Data-temp_employment'!FH7-last_qrtr_tempemp!FI7</f>
        <v>142.30000000000018</v>
      </c>
      <c r="FI7" s="286">
        <f>'Data-temp_employment'!FI7-last_qrtr_tempemp!FJ7</f>
        <v>55.899999999999636</v>
      </c>
      <c r="FJ7" s="286">
        <f>'Data-temp_employment'!FJ7</f>
        <v>2837.8</v>
      </c>
      <c r="FK7" s="279" t="s">
        <v>14</v>
      </c>
      <c r="FL7" s="286">
        <f>'Data-temp_employment'!FL7-last_qrtr_tempemp!FM7</f>
        <v>-72.599999999999909</v>
      </c>
      <c r="FM7" s="286">
        <f>'Data-temp_employment'!FM7-last_qrtr_tempemp!FN7</f>
        <v>-41.799999999999955</v>
      </c>
      <c r="FN7" s="286">
        <f>'Data-temp_employment'!FN7-last_qrtr_tempemp!FO7</f>
        <v>115.29999999999995</v>
      </c>
      <c r="FO7" s="286">
        <f>'Data-temp_employment'!FO7-last_qrtr_tempemp!FP7</f>
        <v>146.79999999999995</v>
      </c>
      <c r="FP7" s="286">
        <f>'Data-temp_employment'!FP7-last_qrtr_tempemp!FQ7</f>
        <v>9.7000000000000455</v>
      </c>
      <c r="FQ7" s="286">
        <f>'Data-temp_employment'!FQ7-last_qrtr_tempemp!FR7</f>
        <v>44.399999999999864</v>
      </c>
      <c r="FR7" s="286">
        <f>'Data-temp_employment'!FR7-last_qrtr_tempemp!FS7</f>
        <v>180.40000000000009</v>
      </c>
      <c r="FS7" s="286">
        <f>'Data-temp_employment'!FS7-last_qrtr_tempemp!FT7</f>
        <v>158.30000000000018</v>
      </c>
      <c r="FT7" s="286">
        <f>'Data-temp_employment'!FT7-last_qrtr_tempemp!FU7</f>
        <v>-55.099999999999909</v>
      </c>
      <c r="FU7" s="286">
        <f>'Data-temp_employment'!FU7</f>
        <v>2096.5</v>
      </c>
      <c r="FV7" s="279" t="s">
        <v>14</v>
      </c>
      <c r="FW7" s="286">
        <f>'Data-temp_employment'!FW7-last_qrtr_tempemp!FX7</f>
        <v>-256</v>
      </c>
      <c r="FX7" s="286">
        <f>'Data-temp_employment'!FX7-last_qrtr_tempemp!FY7</f>
        <v>-191.5</v>
      </c>
      <c r="FY7" s="286">
        <f>'Data-temp_employment'!FY7-last_qrtr_tempemp!FZ7</f>
        <v>534.20000000000027</v>
      </c>
      <c r="FZ7" s="286">
        <f>'Data-temp_employment'!FZ7-last_qrtr_tempemp!GA7</f>
        <v>351.59999999999991</v>
      </c>
      <c r="GA7" s="286">
        <f>'Data-temp_employment'!GA7-last_qrtr_tempemp!GB7</f>
        <v>-284.89999999999964</v>
      </c>
      <c r="GB7" s="286">
        <f>'Data-temp_employment'!GB7-last_qrtr_tempemp!GC7</f>
        <v>-155</v>
      </c>
      <c r="GC7" s="286">
        <f>'Data-temp_employment'!GC7-last_qrtr_tempemp!GD7</f>
        <v>645.09999999999991</v>
      </c>
      <c r="GD7" s="286">
        <f>'Data-temp_employment'!GD7-last_qrtr_tempemp!GE7</f>
        <v>313.5</v>
      </c>
      <c r="GE7" s="286">
        <f>'Data-temp_employment'!GE7-last_qrtr_tempemp!GF7</f>
        <v>-278.40000000000009</v>
      </c>
      <c r="GF7" s="286">
        <f>'Data-temp_employment'!GF7</f>
        <v>4221.1000000000004</v>
      </c>
      <c r="GG7" s="279" t="s">
        <v>14</v>
      </c>
      <c r="GH7" s="286">
        <f>'Data-temp_employment'!GH7-last_qrtr_tempemp!GI7</f>
        <v>-45.899999999999977</v>
      </c>
      <c r="GI7" s="286">
        <f>'Data-temp_employment'!GI7-last_qrtr_tempemp!GJ7</f>
        <v>-25.299999999999955</v>
      </c>
      <c r="GJ7" s="286">
        <f>'Data-temp_employment'!GJ7-last_qrtr_tempemp!GK7</f>
        <v>32</v>
      </c>
      <c r="GK7" s="286">
        <f>'Data-temp_employment'!GK7-last_qrtr_tempemp!GL7</f>
        <v>-5.6999999999999886</v>
      </c>
      <c r="GL7" s="286">
        <f>'Data-temp_employment'!GL7-last_qrtr_tempemp!GM7</f>
        <v>-45.800000000000011</v>
      </c>
      <c r="GM7" s="286">
        <f>'Data-temp_employment'!GM7-last_qrtr_tempemp!GN7</f>
        <v>-0.39999999999997726</v>
      </c>
      <c r="GN7" s="286">
        <f>'Data-temp_employment'!GN7-last_qrtr_tempemp!GO7</f>
        <v>73.799999999999955</v>
      </c>
      <c r="GO7" s="286">
        <f>'Data-temp_employment'!GO7-last_qrtr_tempemp!GP7</f>
        <v>7.8999999999999773</v>
      </c>
      <c r="GP7" s="286">
        <f>'Data-temp_employment'!GP7-last_qrtr_tempemp!GQ7</f>
        <v>-55.5</v>
      </c>
      <c r="GQ7" s="286">
        <f>'Data-temp_employment'!GQ7</f>
        <v>390.2</v>
      </c>
      <c r="GR7" s="279" t="s">
        <v>14</v>
      </c>
      <c r="GS7" s="286">
        <f>'Data-temp_employment'!GS7-last_qrtr_tempemp!GT7</f>
        <v>-2.6999999999998181</v>
      </c>
      <c r="GT7" s="286">
        <f>'Data-temp_employment'!GT7-last_qrtr_tempemp!GU7</f>
        <v>-30</v>
      </c>
      <c r="GU7" s="286">
        <f>'Data-temp_employment'!GU7-last_qrtr_tempemp!GV7</f>
        <v>15.599999999999909</v>
      </c>
      <c r="GV7" s="286">
        <f>'Data-temp_employment'!GV7-last_qrtr_tempemp!GW7</f>
        <v>213.89999999999964</v>
      </c>
      <c r="GW7" s="286">
        <f>'Data-temp_employment'!GW7-last_qrtr_tempemp!GX7</f>
        <v>-42.5</v>
      </c>
      <c r="GX7" s="286">
        <f>'Data-temp_employment'!GX7-last_qrtr_tempemp!GY7</f>
        <v>-3.9000000000000909</v>
      </c>
      <c r="GY7" s="286">
        <f>'Data-temp_employment'!GY7-last_qrtr_tempemp!GZ7</f>
        <v>9</v>
      </c>
      <c r="GZ7" s="286">
        <f>'Data-temp_employment'!GZ7-last_qrtr_tempemp!HA7</f>
        <v>241.20000000000027</v>
      </c>
      <c r="HA7" s="286">
        <f>'Data-temp_employment'!HA7-last_qrtr_tempemp!HB7</f>
        <v>-32.300000000000182</v>
      </c>
      <c r="HB7" s="286">
        <f>'Data-temp_employment'!HB7</f>
        <v>2405.6</v>
      </c>
      <c r="HC7" s="279" t="s">
        <v>14</v>
      </c>
      <c r="HD7" s="286">
        <f>'Data-temp_employment'!HD7-last_qrtr_tempemp!HE7</f>
        <v>-76.5</v>
      </c>
      <c r="HE7" s="286">
        <f>'Data-temp_employment'!HE7-last_qrtr_tempemp!HF7</f>
        <v>-36.700000000000045</v>
      </c>
      <c r="HF7" s="286">
        <f>'Data-temp_employment'!HF7-last_qrtr_tempemp!HG7</f>
        <v>147.29999999999995</v>
      </c>
      <c r="HG7" s="286">
        <f>'Data-temp_employment'!HG7-last_qrtr_tempemp!HH7</f>
        <v>157.10000000000014</v>
      </c>
      <c r="HH7" s="286">
        <f>'Data-temp_employment'!HH7-last_qrtr_tempemp!HI7</f>
        <v>-36.300000000000182</v>
      </c>
      <c r="HI7" s="286">
        <f>'Data-temp_employment'!HI7-last_qrtr_tempemp!HJ7</f>
        <v>13</v>
      </c>
      <c r="HJ7" s="286">
        <f>'Data-temp_employment'!HJ7-last_qrtr_tempemp!HK7</f>
        <v>184.09999999999991</v>
      </c>
      <c r="HK7" s="286">
        <f>'Data-temp_employment'!HK7-last_qrtr_tempemp!HL7</f>
        <v>237.60000000000014</v>
      </c>
      <c r="HL7" s="286">
        <f>'Data-temp_employment'!HL7-last_qrtr_tempemp!HM7</f>
        <v>13</v>
      </c>
      <c r="HM7" s="286">
        <f>'Data-temp_employment'!HM7</f>
        <v>1561.2</v>
      </c>
      <c r="HN7" s="279" t="s">
        <v>14</v>
      </c>
      <c r="HO7" s="286">
        <f>'Data-temp_employment'!HO7-last_qrtr_tempemp!HP7</f>
        <v>-179</v>
      </c>
      <c r="HP7" s="286">
        <f>'Data-temp_employment'!HP7-last_qrtr_tempemp!HQ7</f>
        <v>-207.90000000000009</v>
      </c>
      <c r="HQ7" s="286">
        <f>'Data-temp_employment'!HQ7-last_qrtr_tempemp!HR7</f>
        <v>288.70000000000027</v>
      </c>
      <c r="HR7" s="286">
        <f>'Data-temp_employment'!HR7-last_qrtr_tempemp!HS7</f>
        <v>350.90000000000009</v>
      </c>
      <c r="HS7" s="286">
        <f>'Data-temp_employment'!HS7-last_qrtr_tempemp!HT7</f>
        <v>-93</v>
      </c>
      <c r="HT7" s="286">
        <f>'Data-temp_employment'!HT7-last_qrtr_tempemp!HU7</f>
        <v>-88.699999999999818</v>
      </c>
      <c r="HU7" s="286">
        <f>'Data-temp_employment'!HU7-last_qrtr_tempemp!HV7</f>
        <v>398.60000000000036</v>
      </c>
      <c r="HV7" s="286">
        <f>'Data-temp_employment'!HV7-last_qrtr_tempemp!HW7</f>
        <v>352.09999999999991</v>
      </c>
      <c r="HW7" s="286">
        <f>'Data-temp_employment'!HW7-last_qrtr_tempemp!HX7</f>
        <v>-130.29999999999973</v>
      </c>
      <c r="HX7" s="286">
        <f>'Data-temp_employment'!HX7</f>
        <v>3510.1</v>
      </c>
      <c r="HY7" s="279" t="s">
        <v>14</v>
      </c>
      <c r="HZ7" s="286">
        <f>'Data-temp_employment'!HZ7-last_qrtr_tempemp!IA7</f>
        <v>-8.5</v>
      </c>
      <c r="IA7" s="286">
        <f>'Data-temp_employment'!IA7-last_qrtr_tempemp!IB7</f>
        <v>-24.299999999999983</v>
      </c>
      <c r="IB7" s="286">
        <f>'Data-temp_employment'!IB7-last_qrtr_tempemp!IC7</f>
        <v>-29.599999999999994</v>
      </c>
      <c r="IC7" s="286">
        <f>'Data-temp_employment'!IC7-last_qrtr_tempemp!ID7</f>
        <v>18.099999999999994</v>
      </c>
      <c r="ID7" s="286">
        <f>'Data-temp_employment'!ID7-last_qrtr_tempemp!IE7</f>
        <v>20</v>
      </c>
      <c r="IE7" s="286">
        <f>'Data-temp_employment'!IE7-last_qrtr_tempemp!IF7</f>
        <v>26.900000000000006</v>
      </c>
      <c r="IF7" s="286">
        <f>'Data-temp_employment'!IF7-last_qrtr_tempemp!IG7</f>
        <v>-29.5</v>
      </c>
      <c r="IG7" s="286">
        <f>'Data-temp_employment'!IG7-last_qrtr_tempemp!IH7</f>
        <v>4.9000000000000057</v>
      </c>
      <c r="IH7" s="286">
        <f>'Data-temp_employment'!IH7-last_qrtr_tempemp!II7</f>
        <v>10.799999999999983</v>
      </c>
      <c r="II7" s="286">
        <f>'Data-temp_employment'!II7</f>
        <v>153.19999999999999</v>
      </c>
      <c r="IJ7" s="279" t="s">
        <v>14</v>
      </c>
      <c r="IK7" s="286">
        <f>'Data-temp_employment'!IK7-last_qrtr_tempemp!IL7</f>
        <v>8.3999999999999986</v>
      </c>
      <c r="IL7" s="286">
        <f>'Data-temp_employment'!IL7-last_qrtr_tempemp!IM7</f>
        <v>2.8000000000000043</v>
      </c>
      <c r="IM7" s="286">
        <f>'Data-temp_employment'!IM7-last_qrtr_tempemp!IN7</f>
        <v>17.299999999999997</v>
      </c>
      <c r="IN7" s="286">
        <f>'Data-temp_employment'!IN7-last_qrtr_tempemp!IO7</f>
        <v>5.2000000000000028</v>
      </c>
      <c r="IO7" s="286">
        <f>'Data-temp_employment'!IO7-last_qrtr_tempemp!IP7</f>
        <v>3</v>
      </c>
      <c r="IP7" s="286">
        <f>'Data-temp_employment'!IP7-last_qrtr_tempemp!IQ7</f>
        <v>1.2000000000000028</v>
      </c>
      <c r="IQ7" s="286">
        <f>'Data-temp_employment'!IQ7-last_qrtr_tempemp!IR7</f>
        <v>11.300000000000004</v>
      </c>
      <c r="IR7" s="286">
        <f>'Data-temp_employment'!IR7-last_qrtr_tempemp!IS7</f>
        <v>12.100000000000001</v>
      </c>
      <c r="IS7" s="286">
        <f>'Data-temp_employment'!IS7-last_qrtr_tempemp!IT7</f>
        <v>-9.3999999999999986</v>
      </c>
      <c r="IT7" s="286">
        <f>'Data-temp_employment'!IT7</f>
        <v>53.1</v>
      </c>
      <c r="IU7" s="279" t="s">
        <v>14</v>
      </c>
      <c r="IV7" s="286">
        <f>'Data-temp_employment'!IV7-last_qrtr_tempemp!IW7</f>
        <v>-11.899999999999977</v>
      </c>
      <c r="IW7" s="286">
        <f>'Data-temp_employment'!IW7-last_qrtr_tempemp!IX7</f>
        <v>-12</v>
      </c>
      <c r="IX7" s="286">
        <f>'Data-temp_employment'!IX7-last_qrtr_tempemp!IY7</f>
        <v>-6.8999999999999773</v>
      </c>
      <c r="IY7" s="286">
        <f>'Data-temp_employment'!IY7-last_qrtr_tempemp!IZ7</f>
        <v>67.799999999999955</v>
      </c>
      <c r="IZ7" s="286">
        <f>'Data-temp_employment'!IZ7-last_qrtr_tempemp!JA7</f>
        <v>-46.200000000000045</v>
      </c>
      <c r="JA7" s="286">
        <f>'Data-temp_employment'!JA7-last_qrtr_tempemp!JB7</f>
        <v>-16.399999999999977</v>
      </c>
      <c r="JB7" s="286">
        <f>'Data-temp_employment'!JB7-last_qrtr_tempemp!JC7</f>
        <v>-8.5</v>
      </c>
      <c r="JC7" s="286">
        <f>'Data-temp_employment'!JC7-last_qrtr_tempemp!JD7</f>
        <v>77.600000000000023</v>
      </c>
      <c r="JD7" s="286">
        <f>'Data-temp_employment'!JD7-last_qrtr_tempemp!JE7</f>
        <v>-46</v>
      </c>
      <c r="JE7" s="286">
        <f>'Data-temp_employment'!JE7</f>
        <v>824.3</v>
      </c>
      <c r="JF7" s="279" t="s">
        <v>14</v>
      </c>
      <c r="JG7" s="286">
        <f>'Data-temp_employment'!JG7-last_qrtr_tempemp!JH7</f>
        <v>-101</v>
      </c>
      <c r="JH7" s="286">
        <f>'Data-temp_employment'!JH7-last_qrtr_tempemp!JI7</f>
        <v>-138.90000000000009</v>
      </c>
      <c r="JI7" s="286">
        <f>'Data-temp_employment'!JI7-last_qrtr_tempemp!JJ7</f>
        <v>116.20000000000027</v>
      </c>
      <c r="JJ7" s="286">
        <f>'Data-temp_employment'!JJ7-last_qrtr_tempemp!JK7</f>
        <v>312</v>
      </c>
      <c r="JK7" s="286">
        <f>'Data-temp_employment'!JK7-last_qrtr_tempemp!JL7</f>
        <v>74</v>
      </c>
      <c r="JL7" s="286">
        <f>'Data-temp_employment'!JL7-last_qrtr_tempemp!JM7</f>
        <v>-14</v>
      </c>
      <c r="JM7" s="286">
        <f>'Data-temp_employment'!JM7-last_qrtr_tempemp!JN7</f>
        <v>117</v>
      </c>
      <c r="JN7" s="286">
        <f>'Data-temp_employment'!JN7-last_qrtr_tempemp!JO7</f>
        <v>217.59999999999991</v>
      </c>
      <c r="JO7" s="286">
        <f>'Data-temp_employment'!JO7-last_qrtr_tempemp!JP7</f>
        <v>3.9000000000000909</v>
      </c>
      <c r="JP7" s="286">
        <f>'Data-temp_employment'!JP7</f>
        <v>2796.4</v>
      </c>
      <c r="JQ7" s="279" t="s">
        <v>14</v>
      </c>
      <c r="JR7" s="286">
        <f>'Data-temp_employment'!JR7-last_qrtr_tempemp!JS7</f>
        <v>-82.200000000000045</v>
      </c>
      <c r="JS7" s="286">
        <f>'Data-temp_employment'!JS7-last_qrtr_tempemp!JT7</f>
        <v>6.2999999999999545</v>
      </c>
      <c r="JT7" s="286">
        <f>'Data-temp_employment'!JT7-last_qrtr_tempemp!JU7</f>
        <v>38.700000000000045</v>
      </c>
      <c r="JU7" s="286">
        <f>'Data-temp_employment'!JU7-last_qrtr_tempemp!JV7</f>
        <v>130</v>
      </c>
      <c r="JV7" s="286">
        <f>'Data-temp_employment'!JV7-last_qrtr_tempemp!JW7</f>
        <v>-58.899999999999864</v>
      </c>
      <c r="JW7" s="286">
        <f>'Data-temp_employment'!JW7-last_qrtr_tempemp!JX7</f>
        <v>62.799999999999955</v>
      </c>
      <c r="JX7" s="286">
        <f>'Data-temp_employment'!JX7-last_qrtr_tempemp!JY7</f>
        <v>51.399999999999864</v>
      </c>
      <c r="JY7" s="286">
        <f>'Data-temp_employment'!JY7-last_qrtr_tempemp!JZ7</f>
        <v>129</v>
      </c>
      <c r="JZ7" s="286">
        <f>'Data-temp_employment'!JZ7-last_qrtr_tempemp!KA7</f>
        <v>-77.600000000000136</v>
      </c>
      <c r="KA7" s="286">
        <f>'Data-temp_employment'!KA7</f>
        <v>1278.2</v>
      </c>
      <c r="KB7" s="279" t="s">
        <v>14</v>
      </c>
      <c r="KC7" s="286">
        <f>'Data-temp_employment'!KC7-last_qrtr_tempemp!KD7</f>
        <v>6.8000000000001819</v>
      </c>
      <c r="KD7" s="286">
        <f>'Data-temp_employment'!KD7-last_qrtr_tempemp!KE7</f>
        <v>-119.19999999999982</v>
      </c>
      <c r="KE7" s="286">
        <f>'Data-temp_employment'!KE7-last_qrtr_tempemp!KF7</f>
        <v>128.69999999999982</v>
      </c>
      <c r="KF7" s="286">
        <f>'Data-temp_employment'!KF7-last_qrtr_tempemp!KG7</f>
        <v>261.09999999999991</v>
      </c>
      <c r="KG7" s="286">
        <f>'Data-temp_employment'!KG7-last_qrtr_tempemp!KH7</f>
        <v>47.300000000000182</v>
      </c>
      <c r="KH7" s="286">
        <f>'Data-temp_employment'!KH7-last_qrtr_tempemp!KI7</f>
        <v>-38.5</v>
      </c>
      <c r="KI7" s="286">
        <f>'Data-temp_employment'!KI7-last_qrtr_tempemp!KJ7</f>
        <v>192.70000000000027</v>
      </c>
      <c r="KJ7" s="286">
        <f>'Data-temp_employment'!KJ7-last_qrtr_tempemp!KK7</f>
        <v>246.09999999999991</v>
      </c>
      <c r="KK7" s="286">
        <f>'Data-temp_employment'!KK7-last_qrtr_tempemp!KL7</f>
        <v>60</v>
      </c>
      <c r="KL7" s="286">
        <f>'Data-temp_employment'!KL7</f>
        <v>2604.5</v>
      </c>
      <c r="KM7" s="279" t="s">
        <v>14</v>
      </c>
      <c r="KN7" s="286">
        <f>'Data-temp_employment'!KN7-last_qrtr_tempemp!KO7</f>
        <v>46.100000000000023</v>
      </c>
      <c r="KO7" s="286">
        <f>'Data-temp_employment'!KO7-last_qrtr_tempemp!KP7</f>
        <v>38.799999999999955</v>
      </c>
      <c r="KP7" s="286">
        <f>'Data-temp_employment'!KP7-last_qrtr_tempemp!KQ7</f>
        <v>102.39999999999998</v>
      </c>
      <c r="KQ7" s="286">
        <f>'Data-temp_employment'!KQ7-last_qrtr_tempemp!KR7</f>
        <v>51.199999999999932</v>
      </c>
      <c r="KR7" s="286">
        <f>'Data-temp_employment'!KR7-last_qrtr_tempemp!KS7</f>
        <v>-15.899999999999977</v>
      </c>
      <c r="KS7" s="286">
        <f>'Data-temp_employment'!KS7-last_qrtr_tempemp!KT7</f>
        <v>-3.1000000000000227</v>
      </c>
      <c r="KT7" s="286">
        <f>'Data-temp_employment'!KT7-last_qrtr_tempemp!KU7</f>
        <v>84.399999999999977</v>
      </c>
      <c r="KU7" s="286">
        <f>'Data-temp_employment'!KU7-last_qrtr_tempemp!KV7</f>
        <v>156.20000000000005</v>
      </c>
      <c r="KV7" s="286">
        <f>'Data-temp_employment'!KV7-last_qrtr_tempemp!KW7</f>
        <v>38.200000000000045</v>
      </c>
      <c r="KW7" s="286">
        <f>'Data-temp_employment'!KW7</f>
        <v>853.8</v>
      </c>
      <c r="KX7" s="279" t="s">
        <v>14</v>
      </c>
      <c r="KY7" s="286">
        <f>'Data-temp_employment'!KY7-last_qrtr_tempemp!KZ7</f>
        <v>-253.70000000000005</v>
      </c>
      <c r="KZ7" s="286">
        <f>'Data-temp_employment'!KZ7-last_qrtr_tempemp!LA7</f>
        <v>-169.60000000000014</v>
      </c>
      <c r="LA7" s="286">
        <f>'Data-temp_employment'!LA7-last_qrtr_tempemp!LB7</f>
        <v>515.09999999999991</v>
      </c>
      <c r="LB7" s="286">
        <f>'Data-temp_employment'!LB7-last_qrtr_tempemp!LC7</f>
        <v>146.5</v>
      </c>
      <c r="LC7" s="286">
        <f>'Data-temp_employment'!LC7-last_qrtr_tempemp!LD7</f>
        <v>-341.5</v>
      </c>
      <c r="LD7" s="286">
        <f>'Data-temp_employment'!LD7-last_qrtr_tempemp!LE7</f>
        <v>-149.89999999999986</v>
      </c>
      <c r="LE7" s="286">
        <f>'Data-temp_employment'!LE7-last_qrtr_tempemp!LF7</f>
        <v>647.10000000000014</v>
      </c>
      <c r="LF7" s="286">
        <f>'Data-temp_employment'!LF7-last_qrtr_tempemp!LG7</f>
        <v>218.5</v>
      </c>
      <c r="LG7" s="286">
        <f>'Data-temp_employment'!LG7-last_qrtr_tempemp!LH7</f>
        <v>-318.39999999999986</v>
      </c>
      <c r="LH7" s="286">
        <f>'Data-temp_employment'!LH7</f>
        <v>1860.8</v>
      </c>
      <c r="LI7" s="279" t="s">
        <v>14</v>
      </c>
      <c r="LJ7" s="286">
        <f>'Data-temp_employment'!LJ7-last_qrtr_tempemp!LK7</f>
        <v>24.399999999999977</v>
      </c>
      <c r="LK7" s="286">
        <f>'Data-temp_employment'!LK7-last_qrtr_tempemp!LL7</f>
        <v>24.799999999999955</v>
      </c>
      <c r="LL7" s="286">
        <f>'Data-temp_employment'!LL7-last_qrtr_tempemp!LM7</f>
        <v>17.899999999999977</v>
      </c>
      <c r="LM7" s="286">
        <f>'Data-temp_employment'!LM7-last_qrtr_tempemp!LN7</f>
        <v>26.399999999999977</v>
      </c>
      <c r="LN7" s="286">
        <f>'Data-temp_employment'!LN7-last_qrtr_tempemp!LO7</f>
        <v>8.6000000000000227</v>
      </c>
      <c r="LO7" s="286">
        <f>'Data-temp_employment'!LO7-last_qrtr_tempemp!LP7</f>
        <v>25.800000000000011</v>
      </c>
      <c r="LP7" s="286">
        <f>'Data-temp_employment'!LP7-last_qrtr_tempemp!LQ7</f>
        <v>23.300000000000011</v>
      </c>
      <c r="LQ7" s="286">
        <f>'Data-temp_employment'!LQ7-last_qrtr_tempemp!LR7</f>
        <v>15</v>
      </c>
      <c r="LR7" s="286">
        <f>'Data-temp_employment'!LR7-last_qrtr_tempemp!LS7</f>
        <v>2.9000000000000341</v>
      </c>
      <c r="LS7" s="286">
        <f>'Data-temp_employment'!LS7</f>
        <v>424.7</v>
      </c>
      <c r="LT7" s="279" t="s">
        <v>14</v>
      </c>
      <c r="LU7" s="286">
        <f>'Data-temp_employment'!LU7-last_qrtr_tempemp!LV7</f>
        <v>-3.0999999999999943</v>
      </c>
      <c r="LV7" s="286">
        <f>'Data-temp_employment'!LV7-last_qrtr_tempemp!LW7</f>
        <v>12.100000000000023</v>
      </c>
      <c r="LW7" s="286">
        <f>'Data-temp_employment'!LW7-last_qrtr_tempemp!LX7</f>
        <v>34.199999999999989</v>
      </c>
      <c r="LX7" s="286">
        <f>'Data-temp_employment'!LX7-last_qrtr_tempemp!LY7</f>
        <v>30.700000000000017</v>
      </c>
      <c r="LY7" s="286">
        <f>'Data-temp_employment'!LY7-last_qrtr_tempemp!LZ7</f>
        <v>-23.800000000000011</v>
      </c>
      <c r="LZ7" s="286">
        <f>'Data-temp_employment'!LZ7-last_qrtr_tempemp!MA7</f>
        <v>-1.2000000000000455</v>
      </c>
      <c r="MA7" s="286">
        <f>'Data-temp_employment'!MA7-last_qrtr_tempemp!MB7</f>
        <v>-7</v>
      </c>
      <c r="MB7" s="286">
        <f>'Data-temp_employment'!MB7-last_qrtr_tempemp!MC7</f>
        <v>3.9000000000000057</v>
      </c>
      <c r="MC7" s="286">
        <f>'Data-temp_employment'!MC7-last_qrtr_tempemp!MD7</f>
        <v>-28.100000000000023</v>
      </c>
      <c r="MD7" s="286">
        <f>'Data-temp_employment'!MD7</f>
        <v>265.5</v>
      </c>
      <c r="ME7" s="279" t="s">
        <v>14</v>
      </c>
      <c r="MF7" s="286">
        <f>'Data-temp_employment'!MF7-last_qrtr_tempemp!MG7</f>
        <v>-2.2000000000000455</v>
      </c>
      <c r="MG7" s="286">
        <f>'Data-temp_employment'!MG7-last_qrtr_tempemp!MH7</f>
        <v>36.699999999999932</v>
      </c>
      <c r="MH7" s="286">
        <f>'Data-temp_employment'!MH7-last_qrtr_tempemp!MI7</f>
        <v>33.5</v>
      </c>
      <c r="MI7" s="286">
        <f>'Data-temp_employment'!MI7-last_qrtr_tempemp!MJ7</f>
        <v>64.399999999999977</v>
      </c>
      <c r="MJ7" s="286">
        <f>'Data-temp_employment'!MJ7-last_qrtr_tempemp!MK7</f>
        <v>-35.300000000000068</v>
      </c>
      <c r="MK7" s="286">
        <f>'Data-temp_employment'!MK7-last_qrtr_tempemp!ML7</f>
        <v>19.600000000000023</v>
      </c>
      <c r="ML7" s="286">
        <f>'Data-temp_employment'!ML7-last_qrtr_tempemp!MM7</f>
        <v>36.399999999999977</v>
      </c>
      <c r="MM7" s="286">
        <f>'Data-temp_employment'!MM7-last_qrtr_tempemp!MN7</f>
        <v>50.5</v>
      </c>
      <c r="MN7" s="286">
        <f>'Data-temp_employment'!MN7-last_qrtr_tempemp!MO7</f>
        <v>-45.5</v>
      </c>
      <c r="MO7" s="286">
        <f>'Data-temp_employment'!MO7</f>
        <v>745.9</v>
      </c>
      <c r="MP7" s="279" t="s">
        <v>14</v>
      </c>
      <c r="MQ7" s="286">
        <f>'Data-temp_employment'!MQ7-last_qrtr_tempemp!MR7</f>
        <v>-67.799999999999955</v>
      </c>
      <c r="MR7" s="286">
        <f>'Data-temp_employment'!MR7-last_qrtr_tempemp!MS7</f>
        <v>-60</v>
      </c>
      <c r="MS7" s="286">
        <f>'Data-temp_employment'!MS7-last_qrtr_tempemp!MT7</f>
        <v>143.89999999999998</v>
      </c>
      <c r="MT7" s="286">
        <f>'Data-temp_employment'!MT7-last_qrtr_tempemp!MU7</f>
        <v>104.90000000000009</v>
      </c>
      <c r="MU7" s="286">
        <f>'Data-temp_employment'!MU7-last_qrtr_tempemp!MV7</f>
        <v>-46.100000000000023</v>
      </c>
      <c r="MV7" s="286">
        <f>'Data-temp_employment'!MV7-last_qrtr_tempemp!MW7</f>
        <v>-70</v>
      </c>
      <c r="MW7" s="286">
        <f>'Data-temp_employment'!MW7-last_qrtr_tempemp!MX7</f>
        <v>102.09999999999991</v>
      </c>
      <c r="MX7" s="286">
        <f>'Data-temp_employment'!MX7-last_qrtr_tempemp!MY7</f>
        <v>79.600000000000136</v>
      </c>
      <c r="MY7" s="286">
        <f>'Data-temp_employment'!MY7-last_qrtr_tempemp!MZ7</f>
        <v>-55.399999999999977</v>
      </c>
      <c r="MZ7" s="286">
        <f>'Data-temp_employment'!MZ7</f>
        <v>1120.9000000000001</v>
      </c>
      <c r="NA7" s="279" t="s">
        <v>14</v>
      </c>
      <c r="NB7" s="286">
        <f>'Data-temp_employment'!NB7-last_qrtr_tempemp!NC7</f>
        <v>-30.900000000000091</v>
      </c>
      <c r="NC7" s="286">
        <f>'Data-temp_employment'!NC7-last_qrtr_tempemp!ND7</f>
        <v>-30.700000000000045</v>
      </c>
      <c r="ND7" s="286">
        <f>'Data-temp_employment'!ND7-last_qrtr_tempemp!NE7</f>
        <v>22.5</v>
      </c>
      <c r="NE7" s="286">
        <f>'Data-temp_employment'!NE7-last_qrtr_tempemp!NF7</f>
        <v>43.800000000000182</v>
      </c>
      <c r="NF7" s="286">
        <f>'Data-temp_employment'!NF7-last_qrtr_tempemp!NG7</f>
        <v>1.1000000000001364</v>
      </c>
      <c r="NG7" s="286">
        <f>'Data-temp_employment'!NG7-last_qrtr_tempemp!NH7</f>
        <v>-12.400000000000091</v>
      </c>
      <c r="NH7" s="286">
        <f>'Data-temp_employment'!NH7-last_qrtr_tempemp!NI7</f>
        <v>22.900000000000091</v>
      </c>
      <c r="NI7" s="286">
        <f>'Data-temp_employment'!NI7-last_qrtr_tempemp!NJ7</f>
        <v>110.39999999999986</v>
      </c>
      <c r="NJ7" s="286">
        <f>'Data-temp_employment'!NJ7-last_qrtr_tempemp!NK7</f>
        <v>-9.7000000000000455</v>
      </c>
      <c r="NK7" s="286">
        <f>'Data-temp_employment'!NK7</f>
        <v>1227.0999999999999</v>
      </c>
      <c r="NL7" s="279" t="s">
        <v>14</v>
      </c>
      <c r="NM7" s="286">
        <f>'Data-temp_employment'!NM7-last_qrtr_tempemp!NN7</f>
        <v>28.099999999999909</v>
      </c>
      <c r="NN7" s="286">
        <f>'Data-temp_employment'!NN7-last_qrtr_tempemp!NO7</f>
        <v>351.70000000000005</v>
      </c>
      <c r="NO7" s="286">
        <f>'Data-temp_employment'!NO7-last_qrtr_tempemp!NP7</f>
        <v>-319.5</v>
      </c>
      <c r="NP7" s="286">
        <f>'Data-temp_employment'!NP7-last_qrtr_tempemp!NQ7</f>
        <v>-57.699999999999818</v>
      </c>
      <c r="NQ7" s="286">
        <f>'Data-temp_employment'!NQ7-last_qrtr_tempemp!NR7</f>
        <v>1.7999999999999545</v>
      </c>
      <c r="NR7" s="286">
        <f>'Data-temp_employment'!NR7-last_qrtr_tempemp!NS7</f>
        <v>423.69999999999982</v>
      </c>
      <c r="NS7" s="286">
        <f>'Data-temp_employment'!NS7-last_qrtr_tempemp!NT7</f>
        <v>-270.5</v>
      </c>
      <c r="NT7" s="286">
        <f>'Data-temp_employment'!NT7-last_qrtr_tempemp!NU7</f>
        <v>71.400000000000091</v>
      </c>
      <c r="NU7" s="286">
        <f>'Data-temp_employment'!NU7-last_qrtr_tempemp!NV7</f>
        <v>124.90000000000009</v>
      </c>
      <c r="NV7" s="286">
        <f>'Data-temp_employment'!NV7</f>
        <v>2066.1</v>
      </c>
      <c r="NW7" s="279" t="s">
        <v>14</v>
      </c>
      <c r="NX7" s="286">
        <f>'Data-temp_employment'!NX7-last_qrtr_tempemp!NY7</f>
        <v>76.400000000000091</v>
      </c>
      <c r="NY7" s="286">
        <f>'Data-temp_employment'!NY7-last_qrtr_tempemp!NZ7</f>
        <v>-7.1999999999998181</v>
      </c>
      <c r="NZ7" s="286">
        <f>'Data-temp_employment'!NZ7-last_qrtr_tempemp!OA7</f>
        <v>87.599999999999909</v>
      </c>
      <c r="OA7" s="286">
        <f>'Data-temp_employment'!OA7-last_qrtr_tempemp!OB7</f>
        <v>122.30000000000018</v>
      </c>
      <c r="OB7" s="286">
        <f>'Data-temp_employment'!OB7-last_qrtr_tempemp!OC7</f>
        <v>3.0999999999999091</v>
      </c>
      <c r="OC7" s="286">
        <f>'Data-temp_employment'!OC7-last_qrtr_tempemp!OD7</f>
        <v>-26.400000000000091</v>
      </c>
      <c r="OD7" s="286">
        <f>'Data-temp_employment'!OD7-last_qrtr_tempemp!OE7</f>
        <v>108.59999999999991</v>
      </c>
      <c r="OE7" s="286">
        <f>'Data-temp_employment'!OE7-last_qrtr_tempemp!OF7</f>
        <v>93.5</v>
      </c>
      <c r="OF7" s="286">
        <f>'Data-temp_employment'!OF7-last_qrtr_tempemp!OG7</f>
        <v>44.5</v>
      </c>
      <c r="OG7" s="286">
        <f>'Data-temp_employment'!OG7</f>
        <v>2490.9</v>
      </c>
      <c r="OH7" s="287" t="s">
        <v>14</v>
      </c>
      <c r="OI7" s="286"/>
      <c r="OJ7" s="286"/>
      <c r="OK7" s="286"/>
      <c r="OL7" s="286"/>
      <c r="OM7" s="286"/>
      <c r="ON7" s="286"/>
      <c r="OO7" s="286"/>
      <c r="OP7" s="286"/>
      <c r="OQ7" s="286"/>
      <c r="OR7" s="286"/>
      <c r="OS7" s="279" t="s">
        <v>14</v>
      </c>
      <c r="OT7" s="286">
        <f>'Data-temp_employment'!OT7-last_qrtr_tempemp!OU7</f>
        <v>0.39999999999999997</v>
      </c>
      <c r="OU7" s="286">
        <f>'Data-temp_employment'!OU7-last_qrtr_tempemp!OV7</f>
        <v>-0.2</v>
      </c>
      <c r="OV7" s="286">
        <f>'Data-temp_employment'!OV7-last_qrtr_tempemp!OW7</f>
        <v>-0.2</v>
      </c>
      <c r="OW7" s="286">
        <f>'Data-temp_employment'!OW7-last_qrtr_tempemp!OX7</f>
        <v>0.30000000000000004</v>
      </c>
      <c r="OX7" s="286">
        <f>'Data-temp_employment'!OX7-last_qrtr_tempemp!OY7</f>
        <v>0.39999999999999997</v>
      </c>
      <c r="OY7" s="286">
        <f>'Data-temp_employment'!OY7-last_qrtr_tempemp!OZ7</f>
        <v>0.29999999999999993</v>
      </c>
      <c r="OZ7" s="286">
        <f>'Data-temp_employment'!OZ7-last_qrtr_tempemp!PA7</f>
        <v>9.9999999999999978E-2</v>
      </c>
      <c r="PA7" s="286">
        <f>'Data-temp_employment'!PA7-last_qrtr_tempemp!PB7</f>
        <v>9.9999999999999978E-2</v>
      </c>
      <c r="PB7" s="286">
        <f>'Data-temp_employment'!PB7-last_qrtr_tempemp!PC7</f>
        <v>-0.29999999999999993</v>
      </c>
      <c r="PC7" s="286">
        <f>'Data-temp_employment'!PC7</f>
        <v>0.4</v>
      </c>
      <c r="PE7" s="319"/>
      <c r="PF7" s="319"/>
      <c r="PG7" s="319"/>
      <c r="PH7" s="319"/>
      <c r="PI7" s="319"/>
      <c r="PJ7" s="319"/>
      <c r="PK7" s="319"/>
      <c r="PL7" s="319"/>
      <c r="PM7" s="319"/>
      <c r="PN7" s="319"/>
      <c r="PO7" s="319"/>
      <c r="PP7" s="319"/>
      <c r="PQ7" s="319"/>
      <c r="PR7" s="319"/>
      <c r="PS7" s="319"/>
      <c r="PT7" s="319"/>
      <c r="PU7" s="319"/>
      <c r="PV7" s="319"/>
      <c r="PW7" s="319"/>
      <c r="PX7" s="319"/>
      <c r="PY7" s="319"/>
      <c r="PZ7" s="319"/>
      <c r="QA7" s="319"/>
      <c r="QB7" s="319"/>
      <c r="QC7" s="319"/>
      <c r="QD7" s="319"/>
      <c r="QE7" s="319"/>
      <c r="QF7" s="319"/>
      <c r="QG7" s="319"/>
      <c r="QH7" s="319"/>
      <c r="QI7" s="319"/>
      <c r="QJ7" s="319"/>
      <c r="QK7" s="319"/>
      <c r="QL7" s="319"/>
      <c r="QM7" s="319"/>
      <c r="QN7" s="319"/>
      <c r="QO7" s="319"/>
      <c r="QP7" s="319"/>
      <c r="QQ7" s="319"/>
      <c r="QR7" s="319"/>
      <c r="QS7" s="319"/>
      <c r="QT7" s="319"/>
      <c r="QU7" s="319"/>
      <c r="QV7" s="319"/>
      <c r="QW7" s="319"/>
      <c r="QX7" s="319"/>
      <c r="QY7" s="319"/>
      <c r="QZ7" s="319"/>
      <c r="RA7" s="319"/>
      <c r="RB7" s="319"/>
      <c r="RC7" s="319"/>
      <c r="RD7" s="319"/>
      <c r="RE7" s="319"/>
      <c r="RF7" s="319"/>
      <c r="RG7" s="319"/>
      <c r="RH7" s="319"/>
      <c r="RI7" s="319"/>
      <c r="RJ7" s="319"/>
      <c r="RK7" s="319"/>
      <c r="RL7" s="319"/>
      <c r="RM7" s="319"/>
      <c r="RN7" s="319"/>
      <c r="RO7" s="319"/>
      <c r="RP7" s="319"/>
    </row>
    <row r="8" spans="1:484">
      <c r="A8" s="269">
        <v>5</v>
      </c>
      <c r="B8" s="285" t="s">
        <v>15</v>
      </c>
      <c r="C8" s="286">
        <f>'Data-temp_employment'!C8-last_qrtr_tempemp!D8</f>
        <v>-0.5</v>
      </c>
      <c r="D8" s="286">
        <f>'Data-temp_employment'!D8-last_qrtr_tempemp!E8</f>
        <v>-0.30000000000000071</v>
      </c>
      <c r="E8" s="286">
        <f>'Data-temp_employment'!E8-last_qrtr_tempemp!F8</f>
        <v>0.59999999999999964</v>
      </c>
      <c r="F8" s="286">
        <f>'Data-temp_employment'!F8-last_qrtr_tempemp!G8</f>
        <v>0.80000000000000071</v>
      </c>
      <c r="G8" s="286">
        <f>'Data-temp_employment'!G8-last_qrtr_tempemp!H8</f>
        <v>-0.40000000000000036</v>
      </c>
      <c r="H8" s="286">
        <f>'Data-temp_employment'!H8-last_qrtr_tempemp!I8</f>
        <v>0.10000000000000142</v>
      </c>
      <c r="I8" s="286">
        <f>'Data-temp_employment'!I8-last_qrtr_tempemp!J8</f>
        <v>0.79999999999999893</v>
      </c>
      <c r="J8" s="286">
        <f>'Data-temp_employment'!J8-last_qrtr_tempemp!K8</f>
        <v>0.99999999999999822</v>
      </c>
      <c r="K8" s="286">
        <f>'Data-temp_employment'!K8-last_qrtr_tempemp!L8</f>
        <v>-0.5</v>
      </c>
      <c r="L8" s="286">
        <f>'Data-temp_employment'!L8</f>
        <v>16.5</v>
      </c>
      <c r="M8" s="285" t="s">
        <v>15</v>
      </c>
      <c r="N8" s="286">
        <f>'Data-temp_employment'!N8-last_qrtr_tempemp!O8</f>
        <v>-505.59999999999854</v>
      </c>
      <c r="O8" s="286">
        <f>'Data-temp_employment'!O8-last_qrtr_tempemp!P8</f>
        <v>-178.59999999999854</v>
      </c>
      <c r="P8" s="286">
        <f>'Data-temp_employment'!P8-last_qrtr_tempemp!Q8</f>
        <v>1038.5999999999985</v>
      </c>
      <c r="Q8" s="286">
        <f>'Data-temp_employment'!Q8-last_qrtr_tempemp!R8</f>
        <v>1447.5</v>
      </c>
      <c r="R8" s="286">
        <f>'Data-temp_employment'!R8-last_qrtr_tempemp!S8</f>
        <v>-370.09999999999854</v>
      </c>
      <c r="S8" s="286">
        <f>'Data-temp_employment'!S8-last_qrtr_tempemp!T8</f>
        <v>265.5</v>
      </c>
      <c r="T8" s="286">
        <f>'Data-temp_employment'!T8-last_qrtr_tempemp!U8</f>
        <v>1384.6999999999971</v>
      </c>
      <c r="U8" s="286">
        <f>'Data-temp_employment'!U8-last_qrtr_tempemp!V8</f>
        <v>1634.1999999999971</v>
      </c>
      <c r="V8" s="286">
        <f>'Data-temp_employment'!V8-last_qrtr_tempemp!W8</f>
        <v>-421.5</v>
      </c>
      <c r="W8" s="286">
        <f>'Data-temp_employment'!W8</f>
        <v>20602.099999999999</v>
      </c>
      <c r="X8" s="285" t="s">
        <v>15</v>
      </c>
      <c r="Y8" s="286">
        <f>'Data-temp_employment'!Y8-last_qrtr_tempemp!Z8</f>
        <v>-70.899999999999977</v>
      </c>
      <c r="Z8" s="286">
        <f>'Data-temp_employment'!Z8-last_qrtr_tempemp!AA8</f>
        <v>-46.700000000000045</v>
      </c>
      <c r="AA8" s="286">
        <f>'Data-temp_employment'!AA8-last_qrtr_tempemp!AB8</f>
        <v>84.099999999999909</v>
      </c>
      <c r="AB8" s="286">
        <f>'Data-temp_employment'!AB8-last_qrtr_tempemp!AC8</f>
        <v>91.899999999999977</v>
      </c>
      <c r="AC8" s="286">
        <f>'Data-temp_employment'!AC8-last_qrtr_tempemp!AD8</f>
        <v>-31.5</v>
      </c>
      <c r="AD8" s="286">
        <f>'Data-temp_employment'!AD8-last_qrtr_tempemp!AE8</f>
        <v>3.1000000000001364</v>
      </c>
      <c r="AE8" s="286">
        <f>'Data-temp_employment'!AE8-last_qrtr_tempemp!AF8</f>
        <v>102</v>
      </c>
      <c r="AF8" s="286">
        <f>'Data-temp_employment'!AF8-last_qrtr_tempemp!AG8</f>
        <v>67.100000000000136</v>
      </c>
      <c r="AG8" s="286">
        <f>'Data-temp_employment'!AG8-last_qrtr_tempemp!AH8</f>
        <v>-89.899999999999864</v>
      </c>
      <c r="AH8" s="286">
        <f>'Data-temp_employment'!AH8</f>
        <v>1088.2</v>
      </c>
      <c r="AI8" s="279" t="s">
        <v>15</v>
      </c>
      <c r="AJ8" s="286">
        <f>'Data-temp_employment'!AJ8-last_qrtr_tempemp!AK8</f>
        <v>-200.79999999999995</v>
      </c>
      <c r="AK8" s="286">
        <f>'Data-temp_employment'!AK8-last_qrtr_tempemp!AL8</f>
        <v>-738.19999999999982</v>
      </c>
      <c r="AL8" s="286">
        <f>'Data-temp_employment'!AL8-last_qrtr_tempemp!AM8</f>
        <v>720.60000000000014</v>
      </c>
      <c r="AM8" s="286">
        <f>'Data-temp_employment'!AM8-last_qrtr_tempemp!AN8</f>
        <v>381.40000000000009</v>
      </c>
      <c r="AN8" s="286">
        <f>'Data-temp_employment'!AN8-last_qrtr_tempemp!AO8</f>
        <v>-133.29999999999995</v>
      </c>
      <c r="AO8" s="286">
        <f>'Data-temp_employment'!AO8-last_qrtr_tempemp!AP8</f>
        <v>-598.5</v>
      </c>
      <c r="AP8" s="286">
        <f>'Data-temp_employment'!AP8-last_qrtr_tempemp!AQ8</f>
        <v>824</v>
      </c>
      <c r="AQ8" s="286">
        <f>'Data-temp_employment'!AQ8-last_qrtr_tempemp!AR8</f>
        <v>426.89999999999986</v>
      </c>
      <c r="AR8" s="286">
        <f>'Data-temp_employment'!AR8-last_qrtr_tempemp!AS8</f>
        <v>-192.60000000000014</v>
      </c>
      <c r="AS8" s="286">
        <f>'Data-temp_employment'!AS8</f>
        <v>2212.5</v>
      </c>
      <c r="AT8" s="279" t="s">
        <v>15</v>
      </c>
      <c r="AU8" s="286">
        <f>'Data-temp_employment'!AU8-last_qrtr_tempemp!AV8</f>
        <v>-337.90000000000009</v>
      </c>
      <c r="AV8" s="286">
        <f>'Data-temp_employment'!AV8-last_qrtr_tempemp!AW8</f>
        <v>-57.400000000000091</v>
      </c>
      <c r="AW8" s="286">
        <f>'Data-temp_employment'!AW8-last_qrtr_tempemp!AX8</f>
        <v>376.30000000000018</v>
      </c>
      <c r="AX8" s="286">
        <f>'Data-temp_employment'!AX8-last_qrtr_tempemp!AY8</f>
        <v>175.30000000000018</v>
      </c>
      <c r="AY8" s="286">
        <f>'Data-temp_employment'!AY8-last_qrtr_tempemp!AZ8</f>
        <v>-391.90000000000009</v>
      </c>
      <c r="AZ8" s="286">
        <f>'Data-temp_employment'!AZ8-last_qrtr_tempemp!BA8</f>
        <v>-5</v>
      </c>
      <c r="BA8" s="286">
        <f>'Data-temp_employment'!BA8-last_qrtr_tempemp!BB8</f>
        <v>676.80000000000018</v>
      </c>
      <c r="BB8" s="286">
        <f>'Data-temp_employment'!BB8-last_qrtr_tempemp!BC8</f>
        <v>430</v>
      </c>
      <c r="BC8" s="286">
        <f>'Data-temp_employment'!BC8-last_qrtr_tempemp!BD8</f>
        <v>-251</v>
      </c>
      <c r="BD8" s="286">
        <f>'Data-temp_employment'!BD8</f>
        <v>3389.5</v>
      </c>
      <c r="BE8" s="279" t="s">
        <v>15</v>
      </c>
      <c r="BF8" s="286">
        <f>'Data-temp_employment'!BF8-last_qrtr_tempemp!BG8</f>
        <v>24</v>
      </c>
      <c r="BG8" s="286">
        <f>'Data-temp_employment'!BG8-last_qrtr_tempemp!BH8</f>
        <v>325.5</v>
      </c>
      <c r="BH8" s="286">
        <f>'Data-temp_employment'!BH8-last_qrtr_tempemp!BI8</f>
        <v>-180.10000000000036</v>
      </c>
      <c r="BI8" s="286">
        <f>'Data-temp_employment'!BI8-last_qrtr_tempemp!BJ8</f>
        <v>104</v>
      </c>
      <c r="BJ8" s="286">
        <f>'Data-temp_employment'!BJ8-last_qrtr_tempemp!BK8</f>
        <v>23.100000000000364</v>
      </c>
      <c r="BK8" s="286">
        <f>'Data-temp_employment'!BK8-last_qrtr_tempemp!BL8</f>
        <v>565.30000000000018</v>
      </c>
      <c r="BL8" s="286">
        <f>'Data-temp_employment'!BL8-last_qrtr_tempemp!BM8</f>
        <v>6.1000000000003638</v>
      </c>
      <c r="BM8" s="286">
        <f>'Data-temp_employment'!BM8-last_qrtr_tempemp!BN8</f>
        <v>350.10000000000036</v>
      </c>
      <c r="BN8" s="286">
        <f>'Data-temp_employment'!BN8-last_qrtr_tempemp!BO8</f>
        <v>-3.5999999999994543</v>
      </c>
      <c r="BO8" s="286">
        <f>'Data-temp_employment'!BO8</f>
        <v>5320</v>
      </c>
      <c r="BP8" s="282" t="s">
        <v>15</v>
      </c>
      <c r="BQ8" s="286">
        <f>'Data-temp_employment'!BQ8-last_qrtr_tempemp!BR8</f>
        <v>60.900000000000091</v>
      </c>
      <c r="BR8" s="286">
        <f>'Data-temp_employment'!BR8-last_qrtr_tempemp!BS8</f>
        <v>25.299999999999727</v>
      </c>
      <c r="BS8" s="286">
        <f>'Data-temp_employment'!BS8-last_qrtr_tempemp!BT8</f>
        <v>70.799999999999955</v>
      </c>
      <c r="BT8" s="286">
        <f>'Data-temp_employment'!BT8-last_qrtr_tempemp!BU8</f>
        <v>106.40000000000009</v>
      </c>
      <c r="BU8" s="286">
        <f>'Data-temp_employment'!BU8-last_qrtr_tempemp!BV8</f>
        <v>-11.899999999999864</v>
      </c>
      <c r="BV8" s="286">
        <f>'Data-temp_employment'!BV8-last_qrtr_tempemp!BW8</f>
        <v>41.700000000000045</v>
      </c>
      <c r="BW8" s="286">
        <f>'Data-temp_employment'!BW8-last_qrtr_tempemp!BX8</f>
        <v>-22.899999999999864</v>
      </c>
      <c r="BX8" s="286">
        <f>'Data-temp_employment'!BX8-last_qrtr_tempemp!BY8</f>
        <v>39.600000000000136</v>
      </c>
      <c r="BY8" s="286">
        <f>'Data-temp_employment'!BY8-last_qrtr_tempemp!BZ8</f>
        <v>-44.799999999999955</v>
      </c>
      <c r="BZ8" s="286">
        <f>'Data-temp_employment'!BZ8</f>
        <v>1728.3000000000002</v>
      </c>
      <c r="CA8" s="282" t="s">
        <v>15</v>
      </c>
      <c r="CB8" s="286">
        <f>'Data-temp_employment'!CB8-last_qrtr_tempemp!CC8</f>
        <v>34.599999999999454</v>
      </c>
      <c r="CC8" s="286">
        <f>'Data-temp_employment'!CC8-last_qrtr_tempemp!CD8</f>
        <v>-61.199999999999818</v>
      </c>
      <c r="CD8" s="286">
        <f>'Data-temp_employment'!CD8-last_qrtr_tempemp!CE8</f>
        <v>-203.50000000000045</v>
      </c>
      <c r="CE8" s="286">
        <f>'Data-temp_employment'!CE8-last_qrtr_tempemp!CF8</f>
        <v>219.59999999999991</v>
      </c>
      <c r="CF8" s="286">
        <f>'Data-temp_employment'!CF8-last_qrtr_tempemp!CG8</f>
        <v>104.29999999999973</v>
      </c>
      <c r="CG8" s="286">
        <f>'Data-temp_employment'!CG8-last_qrtr_tempemp!CH8</f>
        <v>29.199999999999818</v>
      </c>
      <c r="CH8" s="286">
        <f>'Data-temp_employment'!CH8-last_qrtr_tempemp!CI8</f>
        <v>-164.39999999999964</v>
      </c>
      <c r="CI8" s="286">
        <f>'Data-temp_employment'!CI8-last_qrtr_tempemp!CJ8</f>
        <v>132.70000000000027</v>
      </c>
      <c r="CJ8" s="286">
        <f>'Data-temp_employment'!CJ8-last_qrtr_tempemp!CK8</f>
        <v>146.69999999999982</v>
      </c>
      <c r="CK8" s="286">
        <f>'Data-temp_employment'!CK8</f>
        <v>2984.1</v>
      </c>
      <c r="CL8" s="285" t="s">
        <v>15</v>
      </c>
      <c r="CM8" s="286">
        <f>'Data-temp_employment'!CM8-last_qrtr_tempemp!CN8</f>
        <v>-225.5</v>
      </c>
      <c r="CN8" s="286">
        <f>'Data-temp_employment'!CN8-last_qrtr_tempemp!CO8</f>
        <v>-165.60000000000036</v>
      </c>
      <c r="CO8" s="286">
        <f>'Data-temp_employment'!CO8-last_qrtr_tempemp!CP8</f>
        <v>224.69999999999982</v>
      </c>
      <c r="CP8" s="286">
        <f>'Data-temp_employment'!CP8-last_qrtr_tempemp!CQ8</f>
        <v>530.60000000000036</v>
      </c>
      <c r="CQ8" s="286">
        <f>'Data-temp_employment'!CQ8-last_qrtr_tempemp!CR8</f>
        <v>-209.80000000000018</v>
      </c>
      <c r="CR8" s="286">
        <f>'Data-temp_employment'!CR8-last_qrtr_tempemp!CS8</f>
        <v>50.5</v>
      </c>
      <c r="CS8" s="286">
        <f>'Data-temp_employment'!CS8-last_qrtr_tempemp!CT8</f>
        <v>430.10000000000036</v>
      </c>
      <c r="CT8" s="286">
        <f>'Data-temp_employment'!CT8-last_qrtr_tempemp!CU8</f>
        <v>545.80000000000018</v>
      </c>
      <c r="CU8" s="286">
        <f>'Data-temp_employment'!CU8-last_qrtr_tempemp!CV8</f>
        <v>-193.90000000000055</v>
      </c>
      <c r="CV8" s="286">
        <f>'Data-temp_employment'!CV8</f>
        <v>6243.8</v>
      </c>
      <c r="CW8" s="285" t="s">
        <v>15</v>
      </c>
      <c r="CX8" s="286">
        <f>'Data-temp_employment'!CX8-last_qrtr_tempemp!CY8</f>
        <v>-299.5</v>
      </c>
      <c r="CY8" s="286">
        <f>'Data-temp_employment'!CY8-last_qrtr_tempemp!CZ8</f>
        <v>-196.89999999999964</v>
      </c>
      <c r="CZ8" s="286">
        <f>'Data-temp_employment'!CZ8-last_qrtr_tempemp!DA8</f>
        <v>636.39999999999964</v>
      </c>
      <c r="DA8" s="286">
        <f>'Data-temp_employment'!DA8-last_qrtr_tempemp!DB8</f>
        <v>624.69999999999982</v>
      </c>
      <c r="DB8" s="286">
        <f>'Data-temp_employment'!DB8-last_qrtr_tempemp!DC8</f>
        <v>-233.30000000000018</v>
      </c>
      <c r="DC8" s="286">
        <f>'Data-temp_employment'!DC8-last_qrtr_tempemp!DD8</f>
        <v>-23.399999999999636</v>
      </c>
      <c r="DD8" s="286">
        <f>'Data-temp_employment'!DD8-last_qrtr_tempemp!DE8</f>
        <v>708.10000000000036</v>
      </c>
      <c r="DE8" s="286">
        <f>'Data-temp_employment'!DE8-last_qrtr_tempemp!DF8</f>
        <v>676.49999999999909</v>
      </c>
      <c r="DF8" s="286">
        <f>'Data-temp_employment'!DF8-last_qrtr_tempemp!DG8</f>
        <v>-276.39999999999964</v>
      </c>
      <c r="DG8" s="286">
        <f>'Data-temp_employment'!DG8</f>
        <v>8456.2999999999993</v>
      </c>
      <c r="DH8" s="285" t="s">
        <v>15</v>
      </c>
      <c r="DI8" s="286">
        <f>'Data-temp_employment'!DI8-last_qrtr_tempemp!DJ8</f>
        <v>10.300000000000182</v>
      </c>
      <c r="DJ8" s="286">
        <f>'Data-temp_employment'!DJ8-last_qrtr_tempemp!DK8</f>
        <v>175.20000000000073</v>
      </c>
      <c r="DK8" s="286">
        <f>'Data-temp_employment'!DK8-last_qrtr_tempemp!DL8</f>
        <v>158.79999999999927</v>
      </c>
      <c r="DL8" s="286">
        <f>'Data-temp_employment'!DL8-last_qrtr_tempemp!DM8</f>
        <v>289.69999999999982</v>
      </c>
      <c r="DM8" s="286">
        <f>'Data-temp_employment'!DM8-last_qrtr_tempemp!DN8</f>
        <v>64.100000000000364</v>
      </c>
      <c r="DN8" s="286">
        <f>'Data-temp_employment'!DN8-last_qrtr_tempemp!DO8</f>
        <v>237.30000000000018</v>
      </c>
      <c r="DO8" s="286">
        <f>'Data-temp_employment'!DO8-last_qrtr_tempemp!DP8</f>
        <v>232.19999999999982</v>
      </c>
      <c r="DP8" s="286">
        <f>'Data-temp_employment'!DP8-last_qrtr_tempemp!DQ8</f>
        <v>403.40000000000055</v>
      </c>
      <c r="DQ8" s="286">
        <f>'Data-temp_employment'!DQ8-last_qrtr_tempemp!DR8</f>
        <v>38.600000000000364</v>
      </c>
      <c r="DR8" s="286">
        <f>'Data-temp_employment'!DR8</f>
        <v>5848</v>
      </c>
      <c r="DS8" s="285" t="s">
        <v>15</v>
      </c>
      <c r="DT8" s="286">
        <f>'Data-temp_employment'!DT8-last_qrtr_tempemp!DU8</f>
        <v>9.1000000000000014</v>
      </c>
      <c r="DU8" s="286">
        <f>'Data-temp_employment'!DU8-last_qrtr_tempemp!DV8</f>
        <v>8.7999999999999972</v>
      </c>
      <c r="DV8" s="286">
        <f>'Data-temp_employment'!DV8-last_qrtr_tempemp!DW8</f>
        <v>18.700000000000003</v>
      </c>
      <c r="DW8" s="286">
        <f>'Data-temp_employment'!DW8-last_qrtr_tempemp!DX8</f>
        <v>2.6000000000000014</v>
      </c>
      <c r="DX8" s="286">
        <f>'Data-temp_employment'!DX8-last_qrtr_tempemp!DY8</f>
        <v>8.8999999999999986</v>
      </c>
      <c r="DY8" s="286">
        <f>'Data-temp_employment'!DY8-last_qrtr_tempemp!DZ8</f>
        <v>1.1999999999999957</v>
      </c>
      <c r="DZ8" s="286">
        <f>'Data-temp_employment'!DZ8-last_qrtr_tempemp!EA8</f>
        <v>14.200000000000003</v>
      </c>
      <c r="EA8" s="286">
        <f>'Data-temp_employment'!EA8-last_qrtr_tempemp!EB8</f>
        <v>8.3999999999999915</v>
      </c>
      <c r="EB8" s="286">
        <f>'Data-temp_employment'!EB8-last_qrtr_tempemp!EC8</f>
        <v>10.100000000000001</v>
      </c>
      <c r="EC8" s="286">
        <f>'Data-temp_employment'!EC8</f>
        <v>53.9</v>
      </c>
      <c r="ED8" s="279" t="s">
        <v>15</v>
      </c>
      <c r="EE8" s="286">
        <f>'Data-temp_employment'!EE8-last_qrtr_tempemp!EF8</f>
        <v>2.5999999999999943</v>
      </c>
      <c r="EF8" s="286">
        <f>'Data-temp_employment'!EF8-last_qrtr_tempemp!EG8</f>
        <v>18.699999999999989</v>
      </c>
      <c r="EG8" s="286">
        <f>'Data-temp_employment'!EG8-last_qrtr_tempemp!EH8</f>
        <v>14.199999999999989</v>
      </c>
      <c r="EH8" s="286">
        <f>'Data-temp_employment'!EH8-last_qrtr_tempemp!EI8</f>
        <v>14.5</v>
      </c>
      <c r="EI8" s="286">
        <f>'Data-temp_employment'!EI8-last_qrtr_tempemp!EJ8</f>
        <v>-15.800000000000011</v>
      </c>
      <c r="EJ8" s="286">
        <f>'Data-temp_employment'!EJ8-last_qrtr_tempemp!EK8</f>
        <v>-22.199999999999989</v>
      </c>
      <c r="EK8" s="286">
        <f>'Data-temp_employment'!EK8-last_qrtr_tempemp!EL8</f>
        <v>6.9000000000000057</v>
      </c>
      <c r="EL8" s="286">
        <f>'Data-temp_employment'!EL8-last_qrtr_tempemp!EM8</f>
        <v>16.200000000000017</v>
      </c>
      <c r="EM8" s="286">
        <f>'Data-temp_employment'!EM8-last_qrtr_tempemp!EN8</f>
        <v>-6.6999999999999886</v>
      </c>
      <c r="EN8" s="286">
        <f>'Data-temp_employment'!EN8</f>
        <v>175.2</v>
      </c>
      <c r="EO8" s="279" t="s">
        <v>15</v>
      </c>
      <c r="EP8" s="286">
        <f>'Data-temp_employment'!EP8-last_qrtr_tempemp!EQ8</f>
        <v>74.5</v>
      </c>
      <c r="EQ8" s="286">
        <f>'Data-temp_employment'!EQ8-last_qrtr_tempemp!ER8</f>
        <v>311.60000000000036</v>
      </c>
      <c r="ER8" s="286">
        <f>'Data-temp_employment'!ER8-last_qrtr_tempemp!ES8</f>
        <v>-94.400000000000091</v>
      </c>
      <c r="ES8" s="286">
        <f>'Data-temp_employment'!ES8-last_qrtr_tempemp!ET8</f>
        <v>132.70000000000027</v>
      </c>
      <c r="ET8" s="286">
        <f>'Data-temp_employment'!ET8-last_qrtr_tempemp!EU8</f>
        <v>74.199999999999818</v>
      </c>
      <c r="EU8" s="286">
        <f>'Data-temp_employment'!EU8-last_qrtr_tempemp!EV8</f>
        <v>347.69999999999982</v>
      </c>
      <c r="EV8" s="286">
        <f>'Data-temp_employment'!EV8-last_qrtr_tempemp!EW8</f>
        <v>-160.09999999999991</v>
      </c>
      <c r="EW8" s="286">
        <f>'Data-temp_employment'!EW8-last_qrtr_tempemp!EX8</f>
        <v>151</v>
      </c>
      <c r="EX8" s="286">
        <f>'Data-temp_employment'!EX8-last_qrtr_tempemp!EY8</f>
        <v>60.199999999999818</v>
      </c>
      <c r="EY8" s="286">
        <f>'Data-temp_employment'!EY8</f>
        <v>3217.9</v>
      </c>
      <c r="EZ8" s="279" t="s">
        <v>15</v>
      </c>
      <c r="FA8" s="286">
        <f>'Data-temp_employment'!FA8-last_qrtr_tempemp!FB8</f>
        <v>46</v>
      </c>
      <c r="FB8" s="286">
        <f>'Data-temp_employment'!FB8-last_qrtr_tempemp!FC8</f>
        <v>45.900000000000091</v>
      </c>
      <c r="FC8" s="286">
        <f>'Data-temp_employment'!FC8-last_qrtr_tempemp!FD8</f>
        <v>4.1999999999998181</v>
      </c>
      <c r="FD8" s="286">
        <f>'Data-temp_employment'!FD8-last_qrtr_tempemp!FE8</f>
        <v>61.900000000000091</v>
      </c>
      <c r="FE8" s="286">
        <f>'Data-temp_employment'!FE8-last_qrtr_tempemp!FF8</f>
        <v>29.100000000000364</v>
      </c>
      <c r="FF8" s="286">
        <f>'Data-temp_employment'!FF8-last_qrtr_tempemp!FG8</f>
        <v>95.099999999999909</v>
      </c>
      <c r="FG8" s="286">
        <f>'Data-temp_employment'!FG8-last_qrtr_tempemp!FH8</f>
        <v>72</v>
      </c>
      <c r="FH8" s="286">
        <f>'Data-temp_employment'!FH8-last_qrtr_tempemp!FI8</f>
        <v>142.10000000000036</v>
      </c>
      <c r="FI8" s="286">
        <f>'Data-temp_employment'!FI8-last_qrtr_tempemp!FJ8</f>
        <v>55.799999999999727</v>
      </c>
      <c r="FJ8" s="286">
        <f>'Data-temp_employment'!FJ8</f>
        <v>2835.6</v>
      </c>
      <c r="FK8" s="279" t="s">
        <v>15</v>
      </c>
      <c r="FL8" s="286">
        <f>'Data-temp_employment'!FL8-last_qrtr_tempemp!FM8</f>
        <v>-72.899999999999864</v>
      </c>
      <c r="FM8" s="286">
        <f>'Data-temp_employment'!FM8-last_qrtr_tempemp!FN8</f>
        <v>-42.200000000000045</v>
      </c>
      <c r="FN8" s="286">
        <f>'Data-temp_employment'!FN8-last_qrtr_tempemp!FO8</f>
        <v>114.70000000000005</v>
      </c>
      <c r="FO8" s="286">
        <f>'Data-temp_employment'!FO8-last_qrtr_tempemp!FP8</f>
        <v>147</v>
      </c>
      <c r="FP8" s="286">
        <f>'Data-temp_employment'!FP8-last_qrtr_tempemp!FQ8</f>
        <v>10</v>
      </c>
      <c r="FQ8" s="286">
        <f>'Data-temp_employment'!FQ8-last_qrtr_tempemp!FR8</f>
        <v>44.299999999999955</v>
      </c>
      <c r="FR8" s="286">
        <f>'Data-temp_employment'!FR8-last_qrtr_tempemp!FS8</f>
        <v>180.40000000000009</v>
      </c>
      <c r="FS8" s="286">
        <f>'Data-temp_employment'!FS8-last_qrtr_tempemp!FT8</f>
        <v>158.39999999999986</v>
      </c>
      <c r="FT8" s="286">
        <f>'Data-temp_employment'!FT8-last_qrtr_tempemp!FU8</f>
        <v>-54</v>
      </c>
      <c r="FU8" s="286">
        <f>'Data-temp_employment'!FU8</f>
        <v>2095.6</v>
      </c>
      <c r="FV8" s="279" t="s">
        <v>15</v>
      </c>
      <c r="FW8" s="286">
        <f>'Data-temp_employment'!FW8-last_qrtr_tempemp!FX8</f>
        <v>-254.89999999999964</v>
      </c>
      <c r="FX8" s="286">
        <f>'Data-temp_employment'!FX8-last_qrtr_tempemp!FY8</f>
        <v>-191.40000000000009</v>
      </c>
      <c r="FY8" s="286">
        <f>'Data-temp_employment'!FY8-last_qrtr_tempemp!FZ8</f>
        <v>531.80000000000018</v>
      </c>
      <c r="FZ8" s="286">
        <f>'Data-temp_employment'!FZ8-last_qrtr_tempemp!GA8</f>
        <v>351.59999999999991</v>
      </c>
      <c r="GA8" s="286">
        <f>'Data-temp_employment'!GA8-last_qrtr_tempemp!GB8</f>
        <v>-282.20000000000027</v>
      </c>
      <c r="GB8" s="286">
        <f>'Data-temp_employment'!GB8-last_qrtr_tempemp!GC8</f>
        <v>-151.20000000000073</v>
      </c>
      <c r="GC8" s="286">
        <f>'Data-temp_employment'!GC8-last_qrtr_tempemp!GD8</f>
        <v>642.00000000000045</v>
      </c>
      <c r="GD8" s="286">
        <f>'Data-temp_employment'!GD8-last_qrtr_tempemp!GE8</f>
        <v>312.29999999999973</v>
      </c>
      <c r="GE8" s="286">
        <f>'Data-temp_employment'!GE8-last_qrtr_tempemp!GF8</f>
        <v>-278.50000000000045</v>
      </c>
      <c r="GF8" s="286">
        <f>'Data-temp_employment'!GF8</f>
        <v>4216.5</v>
      </c>
      <c r="GG8" s="279" t="s">
        <v>15</v>
      </c>
      <c r="GH8" s="286">
        <f>'Data-temp_employment'!GH8-last_qrtr_tempemp!GI8</f>
        <v>-45.5</v>
      </c>
      <c r="GI8" s="286">
        <f>'Data-temp_employment'!GI8-last_qrtr_tempemp!GJ8</f>
        <v>-26.199999999999989</v>
      </c>
      <c r="GJ8" s="286">
        <f>'Data-temp_employment'!GJ8-last_qrtr_tempemp!GK8</f>
        <v>32.099999999999966</v>
      </c>
      <c r="GK8" s="286">
        <f>'Data-temp_employment'!GK8-last_qrtr_tempemp!GL8</f>
        <v>-5.6999999999999886</v>
      </c>
      <c r="GL8" s="286">
        <f>'Data-temp_employment'!GL8-last_qrtr_tempemp!GM8</f>
        <v>-45.300000000000011</v>
      </c>
      <c r="GM8" s="286">
        <f>'Data-temp_employment'!GM8-last_qrtr_tempemp!GN8</f>
        <v>-0.60000000000002274</v>
      </c>
      <c r="GN8" s="286">
        <f>'Data-temp_employment'!GN8-last_qrtr_tempemp!GO8</f>
        <v>74.399999999999977</v>
      </c>
      <c r="GO8" s="286">
        <f>'Data-temp_employment'!GO8-last_qrtr_tempemp!GP8</f>
        <v>7.8999999999999773</v>
      </c>
      <c r="GP8" s="286">
        <f>'Data-temp_employment'!GP8-last_qrtr_tempemp!GQ8</f>
        <v>-54.699999999999989</v>
      </c>
      <c r="GQ8" s="286">
        <f>'Data-temp_employment'!GQ8</f>
        <v>390</v>
      </c>
      <c r="GR8" s="279" t="s">
        <v>15</v>
      </c>
      <c r="GS8" s="286">
        <f>'Data-temp_employment'!GS8-last_qrtr_tempemp!GT8</f>
        <v>-1.5</v>
      </c>
      <c r="GT8" s="286">
        <f>'Data-temp_employment'!GT8-last_qrtr_tempemp!GU8</f>
        <v>-32.100000000000364</v>
      </c>
      <c r="GU8" s="286">
        <f>'Data-temp_employment'!GU8-last_qrtr_tempemp!GV8</f>
        <v>15</v>
      </c>
      <c r="GV8" s="286">
        <f>'Data-temp_employment'!GV8-last_qrtr_tempemp!GW8</f>
        <v>213.59999999999991</v>
      </c>
      <c r="GW8" s="286">
        <f>'Data-temp_employment'!GW8-last_qrtr_tempemp!GX8</f>
        <v>-39.900000000000091</v>
      </c>
      <c r="GX8" s="286">
        <f>'Data-temp_employment'!GX8-last_qrtr_tempemp!GY8</f>
        <v>-2.3000000000001819</v>
      </c>
      <c r="GY8" s="286">
        <f>'Data-temp_employment'!GY8-last_qrtr_tempemp!GZ8</f>
        <v>7.6999999999998181</v>
      </c>
      <c r="GZ8" s="286">
        <f>'Data-temp_employment'!GZ8-last_qrtr_tempemp!HA8</f>
        <v>240.90000000000009</v>
      </c>
      <c r="HA8" s="286">
        <f>'Data-temp_employment'!HA8-last_qrtr_tempemp!HB8</f>
        <v>-31.400000000000091</v>
      </c>
      <c r="HB8" s="286">
        <f>'Data-temp_employment'!HB8</f>
        <v>2402.6</v>
      </c>
      <c r="HC8" s="279" t="s">
        <v>15</v>
      </c>
      <c r="HD8" s="286">
        <f>'Data-temp_employment'!HD8-last_qrtr_tempemp!HE8</f>
        <v>-77.099999999999909</v>
      </c>
      <c r="HE8" s="286">
        <f>'Data-temp_employment'!HE8-last_qrtr_tempemp!HF8</f>
        <v>-37.5</v>
      </c>
      <c r="HF8" s="286">
        <f>'Data-temp_employment'!HF8-last_qrtr_tempemp!HG8</f>
        <v>148.40000000000009</v>
      </c>
      <c r="HG8" s="286">
        <f>'Data-temp_employment'!HG8-last_qrtr_tempemp!HH8</f>
        <v>158.70000000000005</v>
      </c>
      <c r="HH8" s="286">
        <f>'Data-temp_employment'!HH8-last_qrtr_tempemp!HI8</f>
        <v>-36.099999999999909</v>
      </c>
      <c r="HI8" s="286">
        <f>'Data-temp_employment'!HI8-last_qrtr_tempemp!HJ8</f>
        <v>11.700000000000045</v>
      </c>
      <c r="HJ8" s="286">
        <f>'Data-temp_employment'!HJ8-last_qrtr_tempemp!HK8</f>
        <v>182.79999999999995</v>
      </c>
      <c r="HK8" s="286">
        <f>'Data-temp_employment'!HK8-last_qrtr_tempemp!HL8</f>
        <v>237.79999999999995</v>
      </c>
      <c r="HL8" s="286">
        <f>'Data-temp_employment'!HL8-last_qrtr_tempemp!HM8</f>
        <v>14.399999999999864</v>
      </c>
      <c r="HM8" s="286">
        <f>'Data-temp_employment'!HM8</f>
        <v>1558.7</v>
      </c>
      <c r="HN8" s="279" t="s">
        <v>15</v>
      </c>
      <c r="HO8" s="286">
        <f>'Data-temp_employment'!HO8-last_qrtr_tempemp!HP8</f>
        <v>-176.80000000000018</v>
      </c>
      <c r="HP8" s="286">
        <f>'Data-temp_employment'!HP8-last_qrtr_tempemp!HQ8</f>
        <v>-204.10000000000036</v>
      </c>
      <c r="HQ8" s="286">
        <f>'Data-temp_employment'!HQ8-last_qrtr_tempemp!HR8</f>
        <v>285.20000000000027</v>
      </c>
      <c r="HR8" s="286">
        <f>'Data-temp_employment'!HR8-last_qrtr_tempemp!HS8</f>
        <v>349.89999999999964</v>
      </c>
      <c r="HS8" s="286">
        <f>'Data-temp_employment'!HS8-last_qrtr_tempemp!HT8</f>
        <v>-87.099999999999909</v>
      </c>
      <c r="HT8" s="286">
        <f>'Data-temp_employment'!HT8-last_qrtr_tempemp!HU8</f>
        <v>-85.300000000000182</v>
      </c>
      <c r="HU8" s="286">
        <f>'Data-temp_employment'!HU8-last_qrtr_tempemp!HV8</f>
        <v>396.59999999999991</v>
      </c>
      <c r="HV8" s="286">
        <f>'Data-temp_employment'!HV8-last_qrtr_tempemp!HW8</f>
        <v>350.60000000000036</v>
      </c>
      <c r="HW8" s="286">
        <f>'Data-temp_employment'!HW8-last_qrtr_tempemp!HX8</f>
        <v>-128</v>
      </c>
      <c r="HX8" s="286">
        <f>'Data-temp_employment'!HX8</f>
        <v>3504</v>
      </c>
      <c r="HY8" s="279" t="s">
        <v>15</v>
      </c>
      <c r="HZ8" s="286">
        <f>'Data-temp_employment'!HZ8-last_qrtr_tempemp!IA8</f>
        <v>-8.1999999999999886</v>
      </c>
      <c r="IA8" s="286">
        <f>'Data-temp_employment'!IA8-last_qrtr_tempemp!IB8</f>
        <v>-24.099999999999994</v>
      </c>
      <c r="IB8" s="286">
        <f>'Data-temp_employment'!IB8-last_qrtr_tempemp!IC8</f>
        <v>-29.900000000000006</v>
      </c>
      <c r="IC8" s="286">
        <f>'Data-temp_employment'!IC8-last_qrtr_tempemp!ID8</f>
        <v>18.099999999999994</v>
      </c>
      <c r="ID8" s="286">
        <f>'Data-temp_employment'!ID8-last_qrtr_tempemp!IE8</f>
        <v>20.099999999999994</v>
      </c>
      <c r="IE8" s="286">
        <f>'Data-temp_employment'!IE8-last_qrtr_tempemp!IF8</f>
        <v>27.100000000000023</v>
      </c>
      <c r="IF8" s="286">
        <f>'Data-temp_employment'!IF8-last_qrtr_tempemp!IG8</f>
        <v>-29.5</v>
      </c>
      <c r="IG8" s="286">
        <f>'Data-temp_employment'!IG8-last_qrtr_tempemp!IH8</f>
        <v>4.9000000000000057</v>
      </c>
      <c r="IH8" s="286">
        <f>'Data-temp_employment'!IH8-last_qrtr_tempemp!II8</f>
        <v>10.799999999999983</v>
      </c>
      <c r="II8" s="286">
        <f>'Data-temp_employment'!II8</f>
        <v>153</v>
      </c>
      <c r="IJ8" s="279" t="s">
        <v>15</v>
      </c>
      <c r="IK8" s="286">
        <f>'Data-temp_employment'!IK8-last_qrtr_tempemp!IL8</f>
        <v>8.3999999999999986</v>
      </c>
      <c r="IL8" s="286">
        <f>'Data-temp_employment'!IL8-last_qrtr_tempemp!IM8</f>
        <v>2.8000000000000043</v>
      </c>
      <c r="IM8" s="286">
        <f>'Data-temp_employment'!IM8-last_qrtr_tempemp!IN8</f>
        <v>17.299999999999997</v>
      </c>
      <c r="IN8" s="286">
        <f>'Data-temp_employment'!IN8-last_qrtr_tempemp!IO8</f>
        <v>5.2000000000000028</v>
      </c>
      <c r="IO8" s="286">
        <f>'Data-temp_employment'!IO8-last_qrtr_tempemp!IP8</f>
        <v>3</v>
      </c>
      <c r="IP8" s="286">
        <f>'Data-temp_employment'!IP8-last_qrtr_tempemp!IQ8</f>
        <v>1.2000000000000028</v>
      </c>
      <c r="IQ8" s="286">
        <f>'Data-temp_employment'!IQ8-last_qrtr_tempemp!IR8</f>
        <v>11.300000000000004</v>
      </c>
      <c r="IR8" s="286">
        <f>'Data-temp_employment'!IR8-last_qrtr_tempemp!IS8</f>
        <v>12.100000000000001</v>
      </c>
      <c r="IS8" s="286">
        <f>'Data-temp_employment'!IS8-last_qrtr_tempemp!IT8</f>
        <v>-9.3999999999999986</v>
      </c>
      <c r="IT8" s="286">
        <f>'Data-temp_employment'!IT8</f>
        <v>53.1</v>
      </c>
      <c r="IU8" s="279" t="s">
        <v>15</v>
      </c>
      <c r="IV8" s="286">
        <f>'Data-temp_employment'!IV8-last_qrtr_tempemp!IW8</f>
        <v>-10.399999999999977</v>
      </c>
      <c r="IW8" s="286">
        <f>'Data-temp_employment'!IW8-last_qrtr_tempemp!IX8</f>
        <v>-9.5</v>
      </c>
      <c r="IX8" s="286">
        <f>'Data-temp_employment'!IX8-last_qrtr_tempemp!IY8</f>
        <v>-6.1999999999999318</v>
      </c>
      <c r="IY8" s="286">
        <f>'Data-temp_employment'!IY8-last_qrtr_tempemp!IZ8</f>
        <v>68.699999999999932</v>
      </c>
      <c r="IZ8" s="286">
        <f>'Data-temp_employment'!IZ8-last_qrtr_tempemp!JA8</f>
        <v>-45.100000000000023</v>
      </c>
      <c r="JA8" s="286">
        <f>'Data-temp_employment'!JA8-last_qrtr_tempemp!JB8</f>
        <v>-16.600000000000023</v>
      </c>
      <c r="JB8" s="286">
        <f>'Data-temp_employment'!JB8-last_qrtr_tempemp!JC8</f>
        <v>-9.1000000000000227</v>
      </c>
      <c r="JC8" s="286">
        <f>'Data-temp_employment'!JC8-last_qrtr_tempemp!JD8</f>
        <v>77.5</v>
      </c>
      <c r="JD8" s="286">
        <f>'Data-temp_employment'!JD8-last_qrtr_tempemp!JE8</f>
        <v>-44.800000000000068</v>
      </c>
      <c r="JE8" s="286">
        <f>'Data-temp_employment'!JE8</f>
        <v>821.5</v>
      </c>
      <c r="JF8" s="279" t="s">
        <v>15</v>
      </c>
      <c r="JG8" s="286">
        <f>'Data-temp_employment'!JG8-last_qrtr_tempemp!JH8</f>
        <v>-100.70000000000027</v>
      </c>
      <c r="JH8" s="286">
        <f>'Data-temp_employment'!JH8-last_qrtr_tempemp!JI8</f>
        <v>-138</v>
      </c>
      <c r="JI8" s="286">
        <f>'Data-temp_employment'!JI8-last_qrtr_tempemp!JJ8</f>
        <v>114.09999999999991</v>
      </c>
      <c r="JJ8" s="286">
        <f>'Data-temp_employment'!JJ8-last_qrtr_tempemp!JK8</f>
        <v>310.90000000000009</v>
      </c>
      <c r="JK8" s="286">
        <f>'Data-temp_employment'!JK8-last_qrtr_tempemp!JL8</f>
        <v>75.600000000000364</v>
      </c>
      <c r="JL8" s="286">
        <f>'Data-temp_employment'!JL8-last_qrtr_tempemp!JM8</f>
        <v>-11.700000000000273</v>
      </c>
      <c r="JM8" s="286">
        <f>'Data-temp_employment'!JM8-last_qrtr_tempemp!JN8</f>
        <v>115.60000000000036</v>
      </c>
      <c r="JN8" s="286">
        <f>'Data-temp_employment'!JN8-last_qrtr_tempemp!JO8</f>
        <v>218.19999999999982</v>
      </c>
      <c r="JO8" s="286">
        <f>'Data-temp_employment'!JO8-last_qrtr_tempemp!JP8</f>
        <v>4.5999999999999091</v>
      </c>
      <c r="JP8" s="286">
        <f>'Data-temp_employment'!JP8</f>
        <v>2794.5</v>
      </c>
      <c r="JQ8" s="279" t="s">
        <v>15</v>
      </c>
      <c r="JR8" s="286">
        <f>'Data-temp_employment'!JR8-last_qrtr_tempemp!JS8</f>
        <v>-80.899999999999864</v>
      </c>
      <c r="JS8" s="286">
        <f>'Data-temp_employment'!JS8-last_qrtr_tempemp!JT8</f>
        <v>6.0999999999999091</v>
      </c>
      <c r="JT8" s="286">
        <f>'Data-temp_employment'!JT8-last_qrtr_tempemp!JU8</f>
        <v>36.900000000000091</v>
      </c>
      <c r="JU8" s="286">
        <f>'Data-temp_employment'!JU8-last_qrtr_tempemp!JV8</f>
        <v>129.69999999999982</v>
      </c>
      <c r="JV8" s="286">
        <f>'Data-temp_employment'!JV8-last_qrtr_tempemp!JW8</f>
        <v>-58.200000000000045</v>
      </c>
      <c r="JW8" s="286">
        <f>'Data-temp_employment'!JW8-last_qrtr_tempemp!JX8</f>
        <v>63.699999999999818</v>
      </c>
      <c r="JX8" s="286">
        <f>'Data-temp_employment'!JX8-last_qrtr_tempemp!JY8</f>
        <v>49.799999999999955</v>
      </c>
      <c r="JY8" s="286">
        <f>'Data-temp_employment'!JY8-last_qrtr_tempemp!JZ8</f>
        <v>129</v>
      </c>
      <c r="JZ8" s="286">
        <f>'Data-temp_employment'!JZ8-last_qrtr_tempemp!KA8</f>
        <v>-76.5</v>
      </c>
      <c r="KA8" s="286">
        <f>'Data-temp_employment'!KA8</f>
        <v>1274.9000000000001</v>
      </c>
      <c r="KB8" s="279" t="s">
        <v>15</v>
      </c>
      <c r="KC8" s="286">
        <f>'Data-temp_employment'!KC8-last_qrtr_tempemp!KD8</f>
        <v>9.4000000000000909</v>
      </c>
      <c r="KD8" s="286">
        <f>'Data-temp_employment'!KD8-last_qrtr_tempemp!KE8</f>
        <v>-117.20000000000027</v>
      </c>
      <c r="KE8" s="286">
        <f>'Data-temp_employment'!KE8-last_qrtr_tempemp!KF8</f>
        <v>126.19999999999982</v>
      </c>
      <c r="KF8" s="286">
        <f>'Data-temp_employment'!KF8-last_qrtr_tempemp!KG8</f>
        <v>261.30000000000018</v>
      </c>
      <c r="KG8" s="286">
        <f>'Data-temp_employment'!KG8-last_qrtr_tempemp!KH8</f>
        <v>49</v>
      </c>
      <c r="KH8" s="286">
        <f>'Data-temp_employment'!KH8-last_qrtr_tempemp!KI8</f>
        <v>-36</v>
      </c>
      <c r="KI8" s="286">
        <f>'Data-temp_employment'!KI8-last_qrtr_tempemp!KJ8</f>
        <v>191.70000000000027</v>
      </c>
      <c r="KJ8" s="286">
        <f>'Data-temp_employment'!KJ8-last_qrtr_tempemp!KK8</f>
        <v>245.69999999999982</v>
      </c>
      <c r="KK8" s="286">
        <f>'Data-temp_employment'!KK8-last_qrtr_tempemp!KL8</f>
        <v>60.5</v>
      </c>
      <c r="KL8" s="286">
        <f>'Data-temp_employment'!KL8</f>
        <v>2602</v>
      </c>
      <c r="KM8" s="279" t="s">
        <v>15</v>
      </c>
      <c r="KN8" s="286">
        <f>'Data-temp_employment'!KN8-last_qrtr_tempemp!KO8</f>
        <v>47.200000000000045</v>
      </c>
      <c r="KO8" s="286">
        <f>'Data-temp_employment'!KO8-last_qrtr_tempemp!KP8</f>
        <v>36.899999999999977</v>
      </c>
      <c r="KP8" s="286">
        <f>'Data-temp_employment'!KP8-last_qrtr_tempemp!KQ8</f>
        <v>101.5</v>
      </c>
      <c r="KQ8" s="286">
        <f>'Data-temp_employment'!KQ8-last_qrtr_tempemp!KR8</f>
        <v>51</v>
      </c>
      <c r="KR8" s="286">
        <f>'Data-temp_employment'!KR8-last_qrtr_tempemp!KS8</f>
        <v>-14.5</v>
      </c>
      <c r="KS8" s="286">
        <f>'Data-temp_employment'!KS8-last_qrtr_tempemp!KT8</f>
        <v>-2.8999999999999773</v>
      </c>
      <c r="KT8" s="286">
        <f>'Data-temp_employment'!KT8-last_qrtr_tempemp!KU8</f>
        <v>84.700000000000045</v>
      </c>
      <c r="KU8" s="286">
        <f>'Data-temp_employment'!KU8-last_qrtr_tempemp!KV8</f>
        <v>155.89999999999998</v>
      </c>
      <c r="KV8" s="286">
        <f>'Data-temp_employment'!KV8-last_qrtr_tempemp!KW8</f>
        <v>38.700000000000045</v>
      </c>
      <c r="KW8" s="286">
        <f>'Data-temp_employment'!KW8</f>
        <v>853.5</v>
      </c>
      <c r="KX8" s="279" t="s">
        <v>15</v>
      </c>
      <c r="KY8" s="286">
        <f>'Data-temp_employment'!KY8-last_qrtr_tempemp!KZ8</f>
        <v>-253.30000000000018</v>
      </c>
      <c r="KZ8" s="286">
        <f>'Data-temp_employment'!KZ8-last_qrtr_tempemp!LA8</f>
        <v>-170.70000000000005</v>
      </c>
      <c r="LA8" s="286">
        <f>'Data-temp_employment'!LA8-last_qrtr_tempemp!LB8</f>
        <v>515.90000000000009</v>
      </c>
      <c r="LB8" s="286">
        <f>'Data-temp_employment'!LB8-last_qrtr_tempemp!LC8</f>
        <v>146.29999999999995</v>
      </c>
      <c r="LC8" s="286">
        <f>'Data-temp_employment'!LC8-last_qrtr_tempemp!LD8</f>
        <v>-340.09999999999991</v>
      </c>
      <c r="LD8" s="286">
        <f>'Data-temp_employment'!LD8-last_qrtr_tempemp!LE8</f>
        <v>-150</v>
      </c>
      <c r="LE8" s="286">
        <f>'Data-temp_employment'!LE8-last_qrtr_tempemp!LF8</f>
        <v>645.19999999999982</v>
      </c>
      <c r="LF8" s="286">
        <f>'Data-temp_employment'!LF8-last_qrtr_tempemp!LG8</f>
        <v>218.10000000000014</v>
      </c>
      <c r="LG8" s="286">
        <f>'Data-temp_employment'!LG8-last_qrtr_tempemp!LH8</f>
        <v>-317.59999999999991</v>
      </c>
      <c r="LH8" s="286">
        <f>'Data-temp_employment'!LH8</f>
        <v>1858.6</v>
      </c>
      <c r="LI8" s="279" t="s">
        <v>15</v>
      </c>
      <c r="LJ8" s="286">
        <f>'Data-temp_employment'!LJ8-last_qrtr_tempemp!LK8</f>
        <v>24.699999999999989</v>
      </c>
      <c r="LK8" s="286">
        <f>'Data-temp_employment'!LK8-last_qrtr_tempemp!LL8</f>
        <v>25</v>
      </c>
      <c r="LL8" s="286">
        <f>'Data-temp_employment'!LL8-last_qrtr_tempemp!LM8</f>
        <v>17.699999999999989</v>
      </c>
      <c r="LM8" s="286">
        <f>'Data-temp_employment'!LM8-last_qrtr_tempemp!LN8</f>
        <v>26.399999999999977</v>
      </c>
      <c r="LN8" s="286">
        <f>'Data-temp_employment'!LN8-last_qrtr_tempemp!LO8</f>
        <v>8.6000000000000227</v>
      </c>
      <c r="LO8" s="286">
        <f>'Data-temp_employment'!LO8-last_qrtr_tempemp!LP8</f>
        <v>25.800000000000011</v>
      </c>
      <c r="LP8" s="286">
        <f>'Data-temp_employment'!LP8-last_qrtr_tempemp!LQ8</f>
        <v>23.300000000000011</v>
      </c>
      <c r="LQ8" s="286">
        <f>'Data-temp_employment'!LQ8-last_qrtr_tempemp!LR8</f>
        <v>15</v>
      </c>
      <c r="LR8" s="286">
        <f>'Data-temp_employment'!LR8-last_qrtr_tempemp!LS8</f>
        <v>2.8000000000000114</v>
      </c>
      <c r="LS8" s="286">
        <f>'Data-temp_employment'!LS8</f>
        <v>424.5</v>
      </c>
      <c r="LT8" s="279" t="s">
        <v>15</v>
      </c>
      <c r="LU8" s="286">
        <f>'Data-temp_employment'!LU8-last_qrtr_tempemp!LV8</f>
        <v>-3.0999999999999943</v>
      </c>
      <c r="LV8" s="286">
        <f>'Data-temp_employment'!LV8-last_qrtr_tempemp!LW8</f>
        <v>11.800000000000011</v>
      </c>
      <c r="LW8" s="286">
        <f>'Data-temp_employment'!LW8-last_qrtr_tempemp!LX8</f>
        <v>34.199999999999989</v>
      </c>
      <c r="LX8" s="286">
        <f>'Data-temp_employment'!LX8-last_qrtr_tempemp!LY8</f>
        <v>30.499999999999972</v>
      </c>
      <c r="LY8" s="286">
        <f>'Data-temp_employment'!LY8-last_qrtr_tempemp!LZ8</f>
        <v>-23.5</v>
      </c>
      <c r="LZ8" s="286">
        <f>'Data-temp_employment'!LZ8-last_qrtr_tempemp!MA8</f>
        <v>-1.6000000000000227</v>
      </c>
      <c r="MA8" s="286">
        <f>'Data-temp_employment'!MA8-last_qrtr_tempemp!MB8</f>
        <v>-6.9000000000000341</v>
      </c>
      <c r="MB8" s="286">
        <f>'Data-temp_employment'!MB8-last_qrtr_tempemp!MC8</f>
        <v>3.7000000000000171</v>
      </c>
      <c r="MC8" s="286">
        <f>'Data-temp_employment'!MC8-last_qrtr_tempemp!MD8</f>
        <v>-27.800000000000011</v>
      </c>
      <c r="MD8" s="286">
        <f>'Data-temp_employment'!MD8</f>
        <v>265.5</v>
      </c>
      <c r="ME8" s="279" t="s">
        <v>15</v>
      </c>
      <c r="MF8" s="286">
        <f>'Data-temp_employment'!MF8-last_qrtr_tempemp!MG8</f>
        <v>-2.1999999999999318</v>
      </c>
      <c r="MG8" s="286">
        <f>'Data-temp_employment'!MG8-last_qrtr_tempemp!MH8</f>
        <v>37.899999999999977</v>
      </c>
      <c r="MH8" s="286">
        <f>'Data-temp_employment'!MH8-last_qrtr_tempemp!MI8</f>
        <v>34.600000000000023</v>
      </c>
      <c r="MI8" s="286">
        <f>'Data-temp_employment'!MI8-last_qrtr_tempemp!MJ8</f>
        <v>65.299999999999955</v>
      </c>
      <c r="MJ8" s="286">
        <f>'Data-temp_employment'!MJ8-last_qrtr_tempemp!MK8</f>
        <v>-34.900000000000091</v>
      </c>
      <c r="MK8" s="286">
        <f>'Data-temp_employment'!MK8-last_qrtr_tempemp!ML8</f>
        <v>19.899999999999977</v>
      </c>
      <c r="ML8" s="286">
        <f>'Data-temp_employment'!ML8-last_qrtr_tempemp!MM8</f>
        <v>36</v>
      </c>
      <c r="MM8" s="286">
        <f>'Data-temp_employment'!MM8-last_qrtr_tempemp!MN8</f>
        <v>51.100000000000023</v>
      </c>
      <c r="MN8" s="286">
        <f>'Data-temp_employment'!MN8-last_qrtr_tempemp!MO8</f>
        <v>-45.199999999999932</v>
      </c>
      <c r="MO8" s="286">
        <f>'Data-temp_employment'!MO8</f>
        <v>745.9</v>
      </c>
      <c r="MP8" s="279" t="s">
        <v>15</v>
      </c>
      <c r="MQ8" s="286">
        <f>'Data-temp_employment'!MQ8-last_qrtr_tempemp!MR8</f>
        <v>-67.400000000000091</v>
      </c>
      <c r="MR8" s="286">
        <f>'Data-temp_employment'!MR8-last_qrtr_tempemp!MS8</f>
        <v>-60.300000000000182</v>
      </c>
      <c r="MS8" s="286">
        <f>'Data-temp_employment'!MS8-last_qrtr_tempemp!MT8</f>
        <v>141.30000000000007</v>
      </c>
      <c r="MT8" s="286">
        <f>'Data-temp_employment'!MT8-last_qrtr_tempemp!MU8</f>
        <v>104.60000000000002</v>
      </c>
      <c r="MU8" s="286">
        <f>'Data-temp_employment'!MU8-last_qrtr_tempemp!MV8</f>
        <v>-43.499999999999886</v>
      </c>
      <c r="MV8" s="286">
        <f>'Data-temp_employment'!MV8-last_qrtr_tempemp!MW8</f>
        <v>-67.700000000000045</v>
      </c>
      <c r="MW8" s="286">
        <f>'Data-temp_employment'!MW8-last_qrtr_tempemp!MX8</f>
        <v>100.70000000000005</v>
      </c>
      <c r="MX8" s="286">
        <f>'Data-temp_employment'!MX8-last_qrtr_tempemp!MY8</f>
        <v>78.099999999999909</v>
      </c>
      <c r="MY8" s="286">
        <f>'Data-temp_employment'!MY8-last_qrtr_tempemp!MZ8</f>
        <v>-55.300000000000068</v>
      </c>
      <c r="MZ8" s="286">
        <f>'Data-temp_employment'!MZ8</f>
        <v>1119</v>
      </c>
      <c r="NA8" s="279" t="s">
        <v>15</v>
      </c>
      <c r="NB8" s="286">
        <f>'Data-temp_employment'!NB8-last_qrtr_tempemp!NC8</f>
        <v>-29.899999999999864</v>
      </c>
      <c r="NC8" s="286">
        <f>'Data-temp_employment'!NC8-last_qrtr_tempemp!ND8</f>
        <v>-32</v>
      </c>
      <c r="ND8" s="286">
        <f>'Data-temp_employment'!ND8-last_qrtr_tempemp!NE8</f>
        <v>23.099999999999909</v>
      </c>
      <c r="NE8" s="286">
        <f>'Data-temp_employment'!NE8-last_qrtr_tempemp!NF8</f>
        <v>43.200000000000045</v>
      </c>
      <c r="NF8" s="286">
        <f>'Data-temp_employment'!NF8-last_qrtr_tempemp!NG8</f>
        <v>1.7999999999999545</v>
      </c>
      <c r="NG8" s="286">
        <f>'Data-temp_employment'!NG8-last_qrtr_tempemp!NH8</f>
        <v>-11.299999999999955</v>
      </c>
      <c r="NH8" s="286">
        <f>'Data-temp_employment'!NH8-last_qrtr_tempemp!NI8</f>
        <v>23</v>
      </c>
      <c r="NI8" s="286">
        <f>'Data-temp_employment'!NI8-last_qrtr_tempemp!NJ8</f>
        <v>110.29999999999995</v>
      </c>
      <c r="NJ8" s="286">
        <f>'Data-temp_employment'!NJ8-last_qrtr_tempemp!NK8</f>
        <v>-9.4000000000000909</v>
      </c>
      <c r="NK8" s="286">
        <f>'Data-temp_employment'!NK8</f>
        <v>1225.4000000000001</v>
      </c>
      <c r="NL8" s="279" t="s">
        <v>15</v>
      </c>
      <c r="NM8" s="286">
        <f>'Data-temp_employment'!NM8-last_qrtr_tempemp!NN8</f>
        <v>27.799999999999955</v>
      </c>
      <c r="NN8" s="286">
        <f>'Data-temp_employment'!NN8-last_qrtr_tempemp!NO8</f>
        <v>351.09999999999991</v>
      </c>
      <c r="NO8" s="286">
        <f>'Data-temp_employment'!NO8-last_qrtr_tempemp!NP8</f>
        <v>-318.20000000000005</v>
      </c>
      <c r="NP8" s="286">
        <f>'Data-temp_employment'!NP8-last_qrtr_tempemp!NQ8</f>
        <v>-57</v>
      </c>
      <c r="NQ8" s="286">
        <f>'Data-temp_employment'!NQ8-last_qrtr_tempemp!NR8</f>
        <v>2.2000000000000455</v>
      </c>
      <c r="NR8" s="286">
        <f>'Data-temp_employment'!NR8-last_qrtr_tempemp!NS8</f>
        <v>423.40000000000009</v>
      </c>
      <c r="NS8" s="286">
        <f>'Data-temp_employment'!NS8-last_qrtr_tempemp!NT8</f>
        <v>-270.09999999999991</v>
      </c>
      <c r="NT8" s="286">
        <f>'Data-temp_employment'!NT8-last_qrtr_tempemp!NU8</f>
        <v>71.800000000000182</v>
      </c>
      <c r="NU8" s="286">
        <f>'Data-temp_employment'!NU8-last_qrtr_tempemp!NV8</f>
        <v>125.40000000000009</v>
      </c>
      <c r="NV8" s="286">
        <f>'Data-temp_employment'!NV8</f>
        <v>2065.8000000000002</v>
      </c>
      <c r="NW8" s="279" t="s">
        <v>15</v>
      </c>
      <c r="NX8" s="286">
        <f>'Data-temp_employment'!NX8-last_qrtr_tempemp!NY8</f>
        <v>75.200000000000273</v>
      </c>
      <c r="NY8" s="286">
        <f>'Data-temp_employment'!NY8-last_qrtr_tempemp!NZ8</f>
        <v>-7.3000000000001819</v>
      </c>
      <c r="NZ8" s="286">
        <f>'Data-temp_employment'!NZ8-last_qrtr_tempemp!OA8</f>
        <v>88.799999999999727</v>
      </c>
      <c r="OA8" s="286">
        <f>'Data-temp_employment'!OA8-last_qrtr_tempemp!OB8</f>
        <v>123.69999999999982</v>
      </c>
      <c r="OB8" s="286">
        <f>'Data-temp_employment'!OB8-last_qrtr_tempemp!OC8</f>
        <v>3.0999999999999091</v>
      </c>
      <c r="OC8" s="286">
        <f>'Data-temp_employment'!OC8-last_qrtr_tempemp!OD8</f>
        <v>-27.300000000000182</v>
      </c>
      <c r="OD8" s="286">
        <f>'Data-temp_employment'!OD8-last_qrtr_tempemp!OE8</f>
        <v>108.59999999999991</v>
      </c>
      <c r="OE8" s="286">
        <f>'Data-temp_employment'!OE8-last_qrtr_tempemp!OF8</f>
        <v>94.299999999999727</v>
      </c>
      <c r="OF8" s="286">
        <f>'Data-temp_employment'!OF8-last_qrtr_tempemp!OG8</f>
        <v>45.599999999999909</v>
      </c>
      <c r="OG8" s="286">
        <f>'Data-temp_employment'!OG8</f>
        <v>2490.5</v>
      </c>
      <c r="OH8" s="287" t="s">
        <v>15</v>
      </c>
      <c r="OI8" s="286"/>
      <c r="OJ8" s="286"/>
      <c r="OK8" s="286"/>
      <c r="OL8" s="286"/>
      <c r="OM8" s="286"/>
      <c r="ON8" s="286"/>
      <c r="OO8" s="286"/>
      <c r="OP8" s="286"/>
      <c r="OQ8" s="286"/>
      <c r="OR8" s="286"/>
      <c r="OS8" s="134" t="s">
        <v>15</v>
      </c>
      <c r="OT8" s="286">
        <f>'Data-temp_employment'!OT8-last_qrtr_tempemp!OU8</f>
        <v>0.39999999999999997</v>
      </c>
      <c r="OU8" s="286">
        <f>'Data-temp_employment'!OU8-last_qrtr_tempemp!OV8</f>
        <v>-0.2</v>
      </c>
      <c r="OV8" s="286">
        <f>'Data-temp_employment'!OV8-last_qrtr_tempemp!OW8</f>
        <v>-0.2</v>
      </c>
      <c r="OW8" s="286">
        <f>'Data-temp_employment'!OW8-last_qrtr_tempemp!OX8</f>
        <v>0.30000000000000004</v>
      </c>
      <c r="OX8" s="286">
        <f>'Data-temp_employment'!OX8-last_qrtr_tempemp!OY8</f>
        <v>0.39999999999999997</v>
      </c>
      <c r="OY8" s="286">
        <f>'Data-temp_employment'!OY8-last_qrtr_tempemp!OZ8</f>
        <v>0.29999999999999993</v>
      </c>
      <c r="OZ8" s="286">
        <f>'Data-temp_employment'!OZ8-last_qrtr_tempemp!PA8</f>
        <v>9.9999999999999978E-2</v>
      </c>
      <c r="PA8" s="286">
        <f>'Data-temp_employment'!PA8-last_qrtr_tempemp!PB8</f>
        <v>0.19999999999999996</v>
      </c>
      <c r="PB8" s="286">
        <f>'Data-temp_employment'!PB8-last_qrtr_tempemp!PC8</f>
        <v>-0.19999999999999996</v>
      </c>
      <c r="PC8" s="286">
        <f>'Data-temp_employment'!PC8</f>
        <v>0.4</v>
      </c>
      <c r="PE8" s="319"/>
      <c r="PF8" s="319"/>
      <c r="PG8" s="319"/>
      <c r="PH8" s="319"/>
      <c r="PI8" s="319"/>
      <c r="PJ8" s="319"/>
      <c r="PK8" s="319"/>
      <c r="PL8" s="319"/>
      <c r="PM8" s="319"/>
      <c r="PN8" s="319"/>
      <c r="PO8" s="319"/>
      <c r="PP8" s="319"/>
      <c r="PQ8" s="319"/>
      <c r="PR8" s="319"/>
      <c r="PS8" s="319"/>
      <c r="PT8" s="319"/>
      <c r="PU8" s="319"/>
      <c r="PV8" s="319"/>
      <c r="PW8" s="319"/>
      <c r="PX8" s="319"/>
      <c r="PY8" s="319"/>
      <c r="PZ8" s="319"/>
      <c r="QA8" s="319"/>
      <c r="QB8" s="319"/>
      <c r="QC8" s="319"/>
      <c r="QD8" s="319"/>
      <c r="QE8" s="319"/>
      <c r="QF8" s="319"/>
      <c r="QG8" s="319"/>
      <c r="QH8" s="319"/>
      <c r="QI8" s="319"/>
      <c r="QJ8" s="319"/>
      <c r="QK8" s="319"/>
      <c r="QL8" s="319"/>
      <c r="QM8" s="319"/>
      <c r="QN8" s="319"/>
      <c r="QO8" s="319"/>
      <c r="QP8" s="319"/>
      <c r="QQ8" s="319"/>
      <c r="QR8" s="319"/>
      <c r="QS8" s="319"/>
      <c r="QT8" s="319"/>
      <c r="QU8" s="319"/>
      <c r="QV8" s="319"/>
      <c r="QW8" s="319"/>
      <c r="QX8" s="319"/>
      <c r="QY8" s="319"/>
      <c r="QZ8" s="319"/>
      <c r="RA8" s="319"/>
      <c r="RB8" s="319"/>
      <c r="RC8" s="319"/>
      <c r="RD8" s="319"/>
      <c r="RE8" s="319"/>
      <c r="RF8" s="319"/>
      <c r="RG8" s="319"/>
      <c r="RH8" s="319"/>
      <c r="RI8" s="319"/>
      <c r="RJ8" s="319"/>
      <c r="RK8" s="319"/>
      <c r="RL8" s="319"/>
      <c r="RM8" s="319"/>
      <c r="RN8" s="319"/>
      <c r="RO8" s="319"/>
      <c r="RP8" s="319"/>
    </row>
    <row r="9" spans="1:484">
      <c r="A9" s="269">
        <v>6</v>
      </c>
      <c r="B9" s="285" t="s">
        <v>16</v>
      </c>
      <c r="C9" s="286">
        <f>'Data-temp_employment'!C9-last_qrtr_tempemp!D9</f>
        <v>-0.59999999999999964</v>
      </c>
      <c r="D9" s="286">
        <f>'Data-temp_employment'!D9-last_qrtr_tempemp!E9</f>
        <v>-0.29999999999999893</v>
      </c>
      <c r="E9" s="286">
        <f>'Data-temp_employment'!E9-last_qrtr_tempemp!F9</f>
        <v>0.60000000000000142</v>
      </c>
      <c r="F9" s="286">
        <f>'Data-temp_employment'!F9-last_qrtr_tempemp!G9</f>
        <v>0.90000000000000036</v>
      </c>
      <c r="G9" s="286">
        <f>'Data-temp_employment'!G9-last_qrtr_tempemp!H9</f>
        <v>-0.40000000000000036</v>
      </c>
      <c r="H9" s="286">
        <f>'Data-temp_employment'!H9-last_qrtr_tempemp!I9</f>
        <v>0</v>
      </c>
      <c r="I9" s="286">
        <f>'Data-temp_employment'!I9-last_qrtr_tempemp!J9</f>
        <v>0.80000000000000071</v>
      </c>
      <c r="J9" s="286">
        <f>'Data-temp_employment'!J9-last_qrtr_tempemp!K9</f>
        <v>0.89999999999999858</v>
      </c>
      <c r="K9" s="286">
        <f>'Data-temp_employment'!K9-last_qrtr_tempemp!L9</f>
        <v>-0.40000000000000036</v>
      </c>
      <c r="L9" s="286">
        <f>'Data-temp_employment'!L9</f>
        <v>16.600000000000001</v>
      </c>
      <c r="M9" s="285" t="s">
        <v>16</v>
      </c>
      <c r="N9" s="286">
        <f>'Data-temp_employment'!N9-last_qrtr_tempemp!O9</f>
        <v>-507.29999999999927</v>
      </c>
      <c r="O9" s="286">
        <f>'Data-temp_employment'!O9-last_qrtr_tempemp!P9</f>
        <v>-177.79999999999927</v>
      </c>
      <c r="P9" s="286">
        <f>'Data-temp_employment'!P9-last_qrtr_tempemp!Q9</f>
        <v>1045.1000000000022</v>
      </c>
      <c r="Q9" s="286">
        <f>'Data-temp_employment'!Q9-last_qrtr_tempemp!R9</f>
        <v>1453.8999999999978</v>
      </c>
      <c r="R9" s="286">
        <f>'Data-temp_employment'!R9-last_qrtr_tempemp!S9</f>
        <v>-361.90000000000146</v>
      </c>
      <c r="S9" s="286">
        <f>'Data-temp_employment'!S9-last_qrtr_tempemp!T9</f>
        <v>270.10000000000218</v>
      </c>
      <c r="T9" s="286">
        <f>'Data-temp_employment'!T9-last_qrtr_tempemp!U9</f>
        <v>1383.8000000000029</v>
      </c>
      <c r="U9" s="286">
        <f>'Data-temp_employment'!U9-last_qrtr_tempemp!V9</f>
        <v>1633.3999999999978</v>
      </c>
      <c r="V9" s="286">
        <f>'Data-temp_employment'!V9-last_qrtr_tempemp!W9</f>
        <v>-419.39999999999782</v>
      </c>
      <c r="W9" s="286">
        <f>'Data-temp_employment'!W9</f>
        <v>20578.099999999999</v>
      </c>
      <c r="X9" s="285" t="s">
        <v>16</v>
      </c>
      <c r="Y9" s="286">
        <f>'Data-temp_employment'!Y9-last_qrtr_tempemp!Z9</f>
        <v>-71.200000000000045</v>
      </c>
      <c r="Z9" s="286">
        <f>'Data-temp_employment'!Z9-last_qrtr_tempemp!AA9</f>
        <v>-46.399999999999864</v>
      </c>
      <c r="AA9" s="286">
        <f>'Data-temp_employment'!AA9-last_qrtr_tempemp!AB9</f>
        <v>82.199999999999932</v>
      </c>
      <c r="AB9" s="286">
        <f>'Data-temp_employment'!AB9-last_qrtr_tempemp!AC9</f>
        <v>92</v>
      </c>
      <c r="AC9" s="286">
        <f>'Data-temp_employment'!AC9-last_qrtr_tempemp!AD9</f>
        <v>-31.599999999999909</v>
      </c>
      <c r="AD9" s="286">
        <f>'Data-temp_employment'!AD9-last_qrtr_tempemp!AE9</f>
        <v>4.5999999999999091</v>
      </c>
      <c r="AE9" s="286">
        <f>'Data-temp_employment'!AE9-last_qrtr_tempemp!AF9</f>
        <v>101.30000000000007</v>
      </c>
      <c r="AF9" s="286">
        <f>'Data-temp_employment'!AF9-last_qrtr_tempemp!AG9</f>
        <v>67</v>
      </c>
      <c r="AG9" s="286">
        <f>'Data-temp_employment'!AG9-last_qrtr_tempemp!AH9</f>
        <v>-90.100000000000136</v>
      </c>
      <c r="AH9" s="286">
        <f>'Data-temp_employment'!AH9</f>
        <v>1087.5999999999999</v>
      </c>
      <c r="AI9" s="279" t="s">
        <v>16</v>
      </c>
      <c r="AJ9" s="286">
        <f>'Data-temp_employment'!AJ9-last_qrtr_tempemp!AK9</f>
        <v>-196.5</v>
      </c>
      <c r="AK9" s="286">
        <f>'Data-temp_employment'!AK9-last_qrtr_tempemp!AL9</f>
        <v>-731.89999999999986</v>
      </c>
      <c r="AL9" s="286">
        <f>'Data-temp_employment'!AL9-last_qrtr_tempemp!AM9</f>
        <v>725.39999999999986</v>
      </c>
      <c r="AM9" s="286">
        <f>'Data-temp_employment'!AM9-last_qrtr_tempemp!AN9</f>
        <v>377.39999999999986</v>
      </c>
      <c r="AN9" s="286">
        <f>'Data-temp_employment'!AN9-last_qrtr_tempemp!AO9</f>
        <v>-131.20000000000005</v>
      </c>
      <c r="AO9" s="286">
        <f>'Data-temp_employment'!AO9-last_qrtr_tempemp!AP9</f>
        <v>-596</v>
      </c>
      <c r="AP9" s="286">
        <f>'Data-temp_employment'!AP9-last_qrtr_tempemp!AQ9</f>
        <v>824.5</v>
      </c>
      <c r="AQ9" s="286">
        <f>'Data-temp_employment'!AQ9-last_qrtr_tempemp!AR9</f>
        <v>426.70000000000005</v>
      </c>
      <c r="AR9" s="286">
        <f>'Data-temp_employment'!AR9-last_qrtr_tempemp!AS9</f>
        <v>-190.59999999999991</v>
      </c>
      <c r="AS9" s="286">
        <f>'Data-temp_employment'!AS9</f>
        <v>2202.1999999999998</v>
      </c>
      <c r="AT9" s="279" t="s">
        <v>16</v>
      </c>
      <c r="AU9" s="286">
        <f>'Data-temp_employment'!AU9-last_qrtr_tempemp!AV9</f>
        <v>-337.20000000000027</v>
      </c>
      <c r="AV9" s="286">
        <f>'Data-temp_employment'!AV9-last_qrtr_tempemp!AW9</f>
        <v>-57.400000000000091</v>
      </c>
      <c r="AW9" s="286">
        <f>'Data-temp_employment'!AW9-last_qrtr_tempemp!AX9</f>
        <v>377.09999999999991</v>
      </c>
      <c r="AX9" s="286">
        <f>'Data-temp_employment'!AX9-last_qrtr_tempemp!AY9</f>
        <v>177.80000000000018</v>
      </c>
      <c r="AY9" s="286">
        <f>'Data-temp_employment'!AY9-last_qrtr_tempemp!AZ9</f>
        <v>-390.90000000000009</v>
      </c>
      <c r="AZ9" s="286">
        <f>'Data-temp_employment'!AZ9-last_qrtr_tempemp!BA9</f>
        <v>-3.6999999999998181</v>
      </c>
      <c r="BA9" s="286">
        <f>'Data-temp_employment'!BA9-last_qrtr_tempemp!BB9</f>
        <v>677</v>
      </c>
      <c r="BB9" s="286">
        <f>'Data-temp_employment'!BB9-last_qrtr_tempemp!BC9</f>
        <v>429.19999999999982</v>
      </c>
      <c r="BC9" s="286">
        <f>'Data-temp_employment'!BC9-last_qrtr_tempemp!BD9</f>
        <v>-254</v>
      </c>
      <c r="BD9" s="286">
        <f>'Data-temp_employment'!BD9</f>
        <v>3384.8</v>
      </c>
      <c r="BE9" s="279" t="s">
        <v>16</v>
      </c>
      <c r="BF9" s="286">
        <f>'Data-temp_employment'!BF9-last_qrtr_tempemp!BG9</f>
        <v>21.199999999999818</v>
      </c>
      <c r="BG9" s="286">
        <f>'Data-temp_employment'!BG9-last_qrtr_tempemp!BH9</f>
        <v>324.30000000000018</v>
      </c>
      <c r="BH9" s="286">
        <f>'Data-temp_employment'!BH9-last_qrtr_tempemp!BI9</f>
        <v>-178.30000000000018</v>
      </c>
      <c r="BI9" s="286">
        <f>'Data-temp_employment'!BI9-last_qrtr_tempemp!BJ9</f>
        <v>108.5</v>
      </c>
      <c r="BJ9" s="286">
        <f>'Data-temp_employment'!BJ9-last_qrtr_tempemp!BK9</f>
        <v>25</v>
      </c>
      <c r="BK9" s="286">
        <f>'Data-temp_employment'!BK9-last_qrtr_tempemp!BL9</f>
        <v>563.80000000000018</v>
      </c>
      <c r="BL9" s="286">
        <f>'Data-temp_employment'!BL9-last_qrtr_tempemp!BM9</f>
        <v>5.9000000000005457</v>
      </c>
      <c r="BM9" s="286">
        <f>'Data-temp_employment'!BM9-last_qrtr_tempemp!BN9</f>
        <v>349.09999999999945</v>
      </c>
      <c r="BN9" s="286">
        <f>'Data-temp_employment'!BN9-last_qrtr_tempemp!BO9</f>
        <v>-3.6999999999998181</v>
      </c>
      <c r="BO9" s="286">
        <f>'Data-temp_employment'!BO9</f>
        <v>5315.1</v>
      </c>
      <c r="BP9" s="282" t="s">
        <v>16</v>
      </c>
      <c r="BQ9" s="286">
        <f>'Data-temp_employment'!BQ9-last_qrtr_tempemp!BR9</f>
        <v>58.299999999999955</v>
      </c>
      <c r="BR9" s="286">
        <f>'Data-temp_employment'!BR9-last_qrtr_tempemp!BS9</f>
        <v>24.199999999999818</v>
      </c>
      <c r="BS9" s="286">
        <f>'Data-temp_employment'!BS9-last_qrtr_tempemp!BT9</f>
        <v>72.399999999999864</v>
      </c>
      <c r="BT9" s="286">
        <f>'Data-temp_employment'!BT9-last_qrtr_tempemp!BU9</f>
        <v>107.70000000000027</v>
      </c>
      <c r="BU9" s="286">
        <f>'Data-temp_employment'!BU9-last_qrtr_tempemp!BV9</f>
        <v>-10.899999999999864</v>
      </c>
      <c r="BV9" s="286">
        <f>'Data-temp_employment'!BV9-last_qrtr_tempemp!BW9</f>
        <v>42.400000000000091</v>
      </c>
      <c r="BW9" s="286">
        <f>'Data-temp_employment'!BW9-last_qrtr_tempemp!BX9</f>
        <v>-21.399999999999864</v>
      </c>
      <c r="BX9" s="286">
        <f>'Data-temp_employment'!BX9-last_qrtr_tempemp!BY9</f>
        <v>40.200000000000273</v>
      </c>
      <c r="BY9" s="286">
        <f>'Data-temp_employment'!BY9-last_qrtr_tempemp!BZ9</f>
        <v>-44.400000000000091</v>
      </c>
      <c r="BZ9" s="286">
        <f>'Data-temp_employment'!BZ9</f>
        <v>1726.8000000000002</v>
      </c>
      <c r="CA9" s="282" t="s">
        <v>16</v>
      </c>
      <c r="CB9" s="286">
        <f>'Data-temp_employment'!CB9-last_qrtr_tempemp!CC9</f>
        <v>35.599999999999909</v>
      </c>
      <c r="CC9" s="286">
        <f>'Data-temp_employment'!CC9-last_qrtr_tempemp!CD9</f>
        <v>-64</v>
      </c>
      <c r="CD9" s="286">
        <f>'Data-temp_employment'!CD9-last_qrtr_tempemp!CE9</f>
        <v>-203.19999999999982</v>
      </c>
      <c r="CE9" s="286">
        <f>'Data-temp_employment'!CE9-last_qrtr_tempemp!CF9</f>
        <v>220.29999999999973</v>
      </c>
      <c r="CF9" s="286">
        <f>'Data-temp_employment'!CF9-last_qrtr_tempemp!CG9</f>
        <v>105.59999999999991</v>
      </c>
      <c r="CG9" s="286">
        <f>'Data-temp_employment'!CG9-last_qrtr_tempemp!CH9</f>
        <v>27.699999999999818</v>
      </c>
      <c r="CH9" s="286">
        <f>'Data-temp_employment'!CH9-last_qrtr_tempemp!CI9</f>
        <v>-166.40000000000055</v>
      </c>
      <c r="CI9" s="286">
        <f>'Data-temp_employment'!CI9-last_qrtr_tempemp!CJ9</f>
        <v>133.59999999999945</v>
      </c>
      <c r="CJ9" s="286">
        <f>'Data-temp_employment'!CJ9-last_qrtr_tempemp!CK9</f>
        <v>149.59999999999991</v>
      </c>
      <c r="CK9" s="286">
        <f>'Data-temp_employment'!CK9</f>
        <v>2983.2</v>
      </c>
      <c r="CL9" s="285" t="s">
        <v>16</v>
      </c>
      <c r="CM9" s="286">
        <f>'Data-temp_employment'!CM9-last_qrtr_tempemp!CN9</f>
        <v>-223.70000000000073</v>
      </c>
      <c r="CN9" s="286">
        <f>'Data-temp_employment'!CN9-last_qrtr_tempemp!CO9</f>
        <v>-165.69999999999982</v>
      </c>
      <c r="CO9" s="286">
        <f>'Data-temp_employment'!CO9-last_qrtr_tempemp!CP9</f>
        <v>226.39999999999964</v>
      </c>
      <c r="CP9" s="286">
        <f>'Data-temp_employment'!CP9-last_qrtr_tempemp!CQ9</f>
        <v>531</v>
      </c>
      <c r="CQ9" s="286">
        <f>'Data-temp_employment'!CQ9-last_qrtr_tempemp!CR9</f>
        <v>-207.5</v>
      </c>
      <c r="CR9" s="286">
        <f>'Data-temp_employment'!CR9-last_qrtr_tempemp!CS9</f>
        <v>50.5</v>
      </c>
      <c r="CS9" s="286">
        <f>'Data-temp_employment'!CS9-last_qrtr_tempemp!CT9</f>
        <v>430.09999999999945</v>
      </c>
      <c r="CT9" s="286">
        <f>'Data-temp_employment'!CT9-last_qrtr_tempemp!CU9</f>
        <v>546.30000000000018</v>
      </c>
      <c r="CU9" s="286">
        <f>'Data-temp_employment'!CU9-last_qrtr_tempemp!CV9</f>
        <v>-191.79999999999927</v>
      </c>
      <c r="CV9" s="286">
        <f>'Data-temp_employment'!CV9</f>
        <v>6240.7</v>
      </c>
      <c r="CW9" s="285" t="s">
        <v>16</v>
      </c>
      <c r="CX9" s="286">
        <f>'Data-temp_employment'!CX9-last_qrtr_tempemp!CY9</f>
        <v>-300.30000000000018</v>
      </c>
      <c r="CY9" s="286">
        <f>'Data-temp_employment'!CY9-last_qrtr_tempemp!CZ9</f>
        <v>-196.89999999999964</v>
      </c>
      <c r="CZ9" s="286">
        <f>'Data-temp_employment'!CZ9-last_qrtr_tempemp!DA9</f>
        <v>639.19999999999891</v>
      </c>
      <c r="DA9" s="286">
        <f>'Data-temp_employment'!DA9-last_qrtr_tempemp!DB9</f>
        <v>628.5</v>
      </c>
      <c r="DB9" s="286">
        <f>'Data-temp_employment'!DB9-last_qrtr_tempemp!DC9</f>
        <v>-228.60000000000036</v>
      </c>
      <c r="DC9" s="286">
        <f>'Data-temp_employment'!DC9-last_qrtr_tempemp!DD9</f>
        <v>-17.200000000000728</v>
      </c>
      <c r="DD9" s="286">
        <f>'Data-temp_employment'!DD9-last_qrtr_tempemp!DE9</f>
        <v>705.19999999999982</v>
      </c>
      <c r="DE9" s="286">
        <f>'Data-temp_employment'!DE9-last_qrtr_tempemp!DF9</f>
        <v>674.29999999999927</v>
      </c>
      <c r="DF9" s="286">
        <f>'Data-temp_employment'!DF9-last_qrtr_tempemp!DG9</f>
        <v>-275.19999999999982</v>
      </c>
      <c r="DG9" s="286">
        <f>'Data-temp_employment'!DG9</f>
        <v>8440.4</v>
      </c>
      <c r="DH9" s="285" t="s">
        <v>16</v>
      </c>
      <c r="DI9" s="286">
        <f>'Data-temp_employment'!DI9-last_qrtr_tempemp!DJ9</f>
        <v>7.6000000000003638</v>
      </c>
      <c r="DJ9" s="286">
        <f>'Data-temp_employment'!DJ9-last_qrtr_tempemp!DK9</f>
        <v>176.10000000000036</v>
      </c>
      <c r="DK9" s="286">
        <f>'Data-temp_employment'!DK9-last_qrtr_tempemp!DL9</f>
        <v>160.80000000000018</v>
      </c>
      <c r="DL9" s="286">
        <f>'Data-temp_employment'!DL9-last_qrtr_tempemp!DM9</f>
        <v>291.69999999999982</v>
      </c>
      <c r="DM9" s="286">
        <f>'Data-temp_employment'!DM9-last_qrtr_tempemp!DN9</f>
        <v>65.300000000000182</v>
      </c>
      <c r="DN9" s="286">
        <f>'Data-temp_employment'!DN9-last_qrtr_tempemp!DO9</f>
        <v>235.69999999999982</v>
      </c>
      <c r="DO9" s="286">
        <f>'Data-temp_employment'!DO9-last_qrtr_tempemp!DP9</f>
        <v>234.29999999999927</v>
      </c>
      <c r="DP9" s="286">
        <f>'Data-temp_employment'!DP9-last_qrtr_tempemp!DQ9</f>
        <v>404.30000000000018</v>
      </c>
      <c r="DQ9" s="286">
        <f>'Data-temp_employment'!DQ9-last_qrtr_tempemp!DR9</f>
        <v>37.600000000000364</v>
      </c>
      <c r="DR9" s="286">
        <f>'Data-temp_employment'!DR9</f>
        <v>5843.1</v>
      </c>
      <c r="DS9" s="285" t="s">
        <v>16</v>
      </c>
      <c r="DT9" s="286">
        <f>'Data-temp_employment'!DT9-last_qrtr_tempemp!DU9</f>
        <v>9.1000000000000014</v>
      </c>
      <c r="DU9" s="286">
        <f>'Data-temp_employment'!DU9-last_qrtr_tempemp!DV9</f>
        <v>8.7999999999999972</v>
      </c>
      <c r="DV9" s="286">
        <f>'Data-temp_employment'!DV9-last_qrtr_tempemp!DW9</f>
        <v>18.700000000000003</v>
      </c>
      <c r="DW9" s="286">
        <f>'Data-temp_employment'!DW9-last_qrtr_tempemp!DX9</f>
        <v>2.6000000000000014</v>
      </c>
      <c r="DX9" s="286">
        <f>'Data-temp_employment'!DX9-last_qrtr_tempemp!DY9</f>
        <v>8.8999999999999986</v>
      </c>
      <c r="DY9" s="286">
        <f>'Data-temp_employment'!DY9-last_qrtr_tempemp!DZ9</f>
        <v>1.1999999999999957</v>
      </c>
      <c r="DZ9" s="286">
        <f>'Data-temp_employment'!DZ9-last_qrtr_tempemp!EA9</f>
        <v>14.200000000000003</v>
      </c>
      <c r="EA9" s="286">
        <f>'Data-temp_employment'!EA9-last_qrtr_tempemp!EB9</f>
        <v>8.3999999999999915</v>
      </c>
      <c r="EB9" s="286">
        <f>'Data-temp_employment'!EB9-last_qrtr_tempemp!EC9</f>
        <v>10.100000000000001</v>
      </c>
      <c r="EC9" s="286">
        <f>'Data-temp_employment'!EC9</f>
        <v>53.9</v>
      </c>
      <c r="ED9" s="279" t="s">
        <v>16</v>
      </c>
      <c r="EE9" s="286">
        <f>'Data-temp_employment'!EE9-last_qrtr_tempemp!EF9</f>
        <v>2.6999999999999886</v>
      </c>
      <c r="EF9" s="286">
        <f>'Data-temp_employment'!EF9-last_qrtr_tempemp!EG9</f>
        <v>17.400000000000006</v>
      </c>
      <c r="EG9" s="286">
        <f>'Data-temp_employment'!EG9-last_qrtr_tempemp!EH9</f>
        <v>14.800000000000011</v>
      </c>
      <c r="EH9" s="286">
        <f>'Data-temp_employment'!EH9-last_qrtr_tempemp!EI9</f>
        <v>15.300000000000011</v>
      </c>
      <c r="EI9" s="286">
        <f>'Data-temp_employment'!EI9-last_qrtr_tempemp!EJ9</f>
        <v>-15.799999999999983</v>
      </c>
      <c r="EJ9" s="286">
        <f>'Data-temp_employment'!EJ9-last_qrtr_tempemp!EK9</f>
        <v>-22.5</v>
      </c>
      <c r="EK9" s="286">
        <f>'Data-temp_employment'!EK9-last_qrtr_tempemp!EL9</f>
        <v>7</v>
      </c>
      <c r="EL9" s="286">
        <f>'Data-temp_employment'!EL9-last_qrtr_tempemp!EM9</f>
        <v>17.099999999999994</v>
      </c>
      <c r="EM9" s="286">
        <f>'Data-temp_employment'!EM9-last_qrtr_tempemp!EN9</f>
        <v>-6.0999999999999943</v>
      </c>
      <c r="EN9" s="286">
        <f>'Data-temp_employment'!EN9</f>
        <v>174.9</v>
      </c>
      <c r="EO9" s="279" t="s">
        <v>16</v>
      </c>
      <c r="EP9" s="286">
        <f>'Data-temp_employment'!EP9-last_qrtr_tempemp!EQ9</f>
        <v>72.699999999999818</v>
      </c>
      <c r="EQ9" s="286">
        <f>'Data-temp_employment'!EQ9-last_qrtr_tempemp!ER9</f>
        <v>311</v>
      </c>
      <c r="ER9" s="286">
        <f>'Data-temp_employment'!ER9-last_qrtr_tempemp!ES9</f>
        <v>-91.099999999999909</v>
      </c>
      <c r="ES9" s="286">
        <f>'Data-temp_employment'!ES9-last_qrtr_tempemp!ET9</f>
        <v>132.29999999999973</v>
      </c>
      <c r="ET9" s="286">
        <f>'Data-temp_employment'!ET9-last_qrtr_tempemp!EU9</f>
        <v>74.199999999999818</v>
      </c>
      <c r="EU9" s="286">
        <f>'Data-temp_employment'!EU9-last_qrtr_tempemp!EV9</f>
        <v>347</v>
      </c>
      <c r="EV9" s="286">
        <f>'Data-temp_employment'!EV9-last_qrtr_tempemp!EW9</f>
        <v>-159.20000000000027</v>
      </c>
      <c r="EW9" s="286">
        <f>'Data-temp_employment'!EW9-last_qrtr_tempemp!EX9</f>
        <v>149.89999999999964</v>
      </c>
      <c r="EX9" s="286">
        <f>'Data-temp_employment'!EX9-last_qrtr_tempemp!EY9</f>
        <v>60.099999999999909</v>
      </c>
      <c r="EY9" s="286">
        <f>'Data-temp_employment'!EY9</f>
        <v>3215.2</v>
      </c>
      <c r="EZ9" s="279" t="s">
        <v>16</v>
      </c>
      <c r="FA9" s="286">
        <f>'Data-temp_employment'!FA9-last_qrtr_tempemp!FB9</f>
        <v>46.5</v>
      </c>
      <c r="FB9" s="286">
        <f>'Data-temp_employment'!FB9-last_qrtr_tempemp!FC9</f>
        <v>47</v>
      </c>
      <c r="FC9" s="286">
        <f>'Data-temp_employment'!FC9-last_qrtr_tempemp!FD9</f>
        <v>2.8000000000001819</v>
      </c>
      <c r="FD9" s="286">
        <f>'Data-temp_employment'!FD9-last_qrtr_tempemp!FE9</f>
        <v>60.800000000000182</v>
      </c>
      <c r="FE9" s="286">
        <f>'Data-temp_employment'!FE9-last_qrtr_tempemp!FF9</f>
        <v>28.599999999999909</v>
      </c>
      <c r="FF9" s="286">
        <f>'Data-temp_employment'!FF9-last_qrtr_tempemp!FG9</f>
        <v>96.400000000000091</v>
      </c>
      <c r="FG9" s="286">
        <f>'Data-temp_employment'!FG9-last_qrtr_tempemp!FH9</f>
        <v>73</v>
      </c>
      <c r="FH9" s="286">
        <f>'Data-temp_employment'!FH9-last_qrtr_tempemp!FI9</f>
        <v>142.19999999999982</v>
      </c>
      <c r="FI9" s="286">
        <f>'Data-temp_employment'!FI9-last_qrtr_tempemp!FJ9</f>
        <v>53.199999999999818</v>
      </c>
      <c r="FJ9" s="286">
        <f>'Data-temp_employment'!FJ9</f>
        <v>2834.4</v>
      </c>
      <c r="FK9" s="279" t="s">
        <v>16</v>
      </c>
      <c r="FL9" s="286">
        <f>'Data-temp_employment'!FL9-last_qrtr_tempemp!FM9</f>
        <v>-73.399999999999864</v>
      </c>
      <c r="FM9" s="286">
        <f>'Data-temp_employment'!FM9-last_qrtr_tempemp!FN9</f>
        <v>-41.599999999999909</v>
      </c>
      <c r="FN9" s="286">
        <f>'Data-temp_employment'!FN9-last_qrtr_tempemp!FO9</f>
        <v>113.79999999999995</v>
      </c>
      <c r="FO9" s="286">
        <f>'Data-temp_employment'!FO9-last_qrtr_tempemp!FP9</f>
        <v>148.20000000000005</v>
      </c>
      <c r="FP9" s="286">
        <f>'Data-temp_employment'!FP9-last_qrtr_tempemp!FQ9</f>
        <v>10.100000000000136</v>
      </c>
      <c r="FQ9" s="286">
        <f>'Data-temp_employment'!FQ9-last_qrtr_tempemp!FR9</f>
        <v>45.700000000000045</v>
      </c>
      <c r="FR9" s="286">
        <f>'Data-temp_employment'!FR9-last_qrtr_tempemp!FS9</f>
        <v>181.09999999999991</v>
      </c>
      <c r="FS9" s="286">
        <f>'Data-temp_employment'!FS9-last_qrtr_tempemp!FT9</f>
        <v>157.59999999999991</v>
      </c>
      <c r="FT9" s="286">
        <f>'Data-temp_employment'!FT9-last_qrtr_tempemp!FU9</f>
        <v>-54.299999999999955</v>
      </c>
      <c r="FU9" s="286">
        <f>'Data-temp_employment'!FU9</f>
        <v>2094</v>
      </c>
      <c r="FV9" s="279" t="s">
        <v>16</v>
      </c>
      <c r="FW9" s="286">
        <f>'Data-temp_employment'!FW9-last_qrtr_tempemp!FX9</f>
        <v>-253.80000000000018</v>
      </c>
      <c r="FX9" s="286">
        <f>'Data-temp_employment'!FX9-last_qrtr_tempemp!FY9</f>
        <v>-187.30000000000018</v>
      </c>
      <c r="FY9" s="286">
        <f>'Data-temp_employment'!FY9-last_qrtr_tempemp!FZ9</f>
        <v>534</v>
      </c>
      <c r="FZ9" s="286">
        <f>'Data-temp_employment'!FZ9-last_qrtr_tempemp!GA9</f>
        <v>351.40000000000009</v>
      </c>
      <c r="GA9" s="286">
        <f>'Data-temp_employment'!GA9-last_qrtr_tempemp!GB9</f>
        <v>-280.5</v>
      </c>
      <c r="GB9" s="286">
        <f>'Data-temp_employment'!GB9-last_qrtr_tempemp!GC9</f>
        <v>-149.80000000000018</v>
      </c>
      <c r="GC9" s="286">
        <f>'Data-temp_employment'!GC9-last_qrtr_tempemp!GD9</f>
        <v>641.40000000000009</v>
      </c>
      <c r="GD9" s="286">
        <f>'Data-temp_employment'!GD9-last_qrtr_tempemp!GE9</f>
        <v>312.20000000000027</v>
      </c>
      <c r="GE9" s="286">
        <f>'Data-temp_employment'!GE9-last_qrtr_tempemp!GF9</f>
        <v>-278.5</v>
      </c>
      <c r="GF9" s="286">
        <f>'Data-temp_employment'!GF9</f>
        <v>4212.6000000000004</v>
      </c>
      <c r="GG9" s="279" t="s">
        <v>16</v>
      </c>
      <c r="GH9" s="286">
        <f>'Data-temp_employment'!GH9-last_qrtr_tempemp!GI9</f>
        <v>-45.5</v>
      </c>
      <c r="GI9" s="286">
        <f>'Data-temp_employment'!GI9-last_qrtr_tempemp!GJ9</f>
        <v>-25.800000000000011</v>
      </c>
      <c r="GJ9" s="286">
        <f>'Data-temp_employment'!GJ9-last_qrtr_tempemp!GK9</f>
        <v>31.199999999999989</v>
      </c>
      <c r="GK9" s="286">
        <f>'Data-temp_employment'!GK9-last_qrtr_tempemp!GL9</f>
        <v>-4.6999999999999886</v>
      </c>
      <c r="GL9" s="286">
        <f>'Data-temp_employment'!GL9-last_qrtr_tempemp!GM9</f>
        <v>-45.599999999999966</v>
      </c>
      <c r="GM9" s="286">
        <f>'Data-temp_employment'!GM9-last_qrtr_tempemp!GN9</f>
        <v>0.10000000000002274</v>
      </c>
      <c r="GN9" s="286">
        <f>'Data-temp_employment'!GN9-last_qrtr_tempemp!GO9</f>
        <v>73.899999999999977</v>
      </c>
      <c r="GO9" s="286">
        <f>'Data-temp_employment'!GO9-last_qrtr_tempemp!GP9</f>
        <v>8.4000000000000341</v>
      </c>
      <c r="GP9" s="286">
        <f>'Data-temp_employment'!GP9-last_qrtr_tempemp!GQ9</f>
        <v>-54.199999999999989</v>
      </c>
      <c r="GQ9" s="286">
        <f>'Data-temp_employment'!GQ9</f>
        <v>389.6</v>
      </c>
      <c r="GR9" s="279" t="s">
        <v>16</v>
      </c>
      <c r="GS9" s="286">
        <f>'Data-temp_employment'!GS9-last_qrtr_tempemp!GT9</f>
        <v>-2.5</v>
      </c>
      <c r="GT9" s="286">
        <f>'Data-temp_employment'!GT9-last_qrtr_tempemp!GU9</f>
        <v>-32</v>
      </c>
      <c r="GU9" s="286">
        <f>'Data-temp_employment'!GU9-last_qrtr_tempemp!GV9</f>
        <v>13.599999999999909</v>
      </c>
      <c r="GV9" s="286">
        <f>'Data-temp_employment'!GV9-last_qrtr_tempemp!GW9</f>
        <v>217.5</v>
      </c>
      <c r="GW9" s="286">
        <f>'Data-temp_employment'!GW9-last_qrtr_tempemp!GX9</f>
        <v>-39.400000000000091</v>
      </c>
      <c r="GX9" s="286">
        <f>'Data-temp_employment'!GX9-last_qrtr_tempemp!GY9</f>
        <v>-1.8000000000001819</v>
      </c>
      <c r="GY9" s="286">
        <f>'Data-temp_employment'!GY9-last_qrtr_tempemp!GZ9</f>
        <v>6.5</v>
      </c>
      <c r="GZ9" s="286">
        <f>'Data-temp_employment'!GZ9-last_qrtr_tempemp!HA9</f>
        <v>240.59999999999991</v>
      </c>
      <c r="HA9" s="286">
        <f>'Data-temp_employment'!HA9-last_qrtr_tempemp!HB9</f>
        <v>-30.299999999999727</v>
      </c>
      <c r="HB9" s="286">
        <f>'Data-temp_employment'!HB9</f>
        <v>2398.8000000000002</v>
      </c>
      <c r="HC9" s="279" t="s">
        <v>16</v>
      </c>
      <c r="HD9" s="286">
        <f>'Data-temp_employment'!HD9-last_qrtr_tempemp!HE9</f>
        <v>-78.299999999999955</v>
      </c>
      <c r="HE9" s="286">
        <f>'Data-temp_employment'!HE9-last_qrtr_tempemp!HF9</f>
        <v>-36.5</v>
      </c>
      <c r="HF9" s="286">
        <f>'Data-temp_employment'!HF9-last_qrtr_tempemp!HG9</f>
        <v>150.39999999999986</v>
      </c>
      <c r="HG9" s="286">
        <f>'Data-temp_employment'!HG9-last_qrtr_tempemp!HH9</f>
        <v>159.20000000000005</v>
      </c>
      <c r="HH9" s="286">
        <f>'Data-temp_employment'!HH9-last_qrtr_tempemp!HI9</f>
        <v>-36.599999999999909</v>
      </c>
      <c r="HI9" s="286">
        <f>'Data-temp_employment'!HI9-last_qrtr_tempemp!HJ9</f>
        <v>11.299999999999955</v>
      </c>
      <c r="HJ9" s="286">
        <f>'Data-temp_employment'!HJ9-last_qrtr_tempemp!HK9</f>
        <v>184.60000000000014</v>
      </c>
      <c r="HK9" s="286">
        <f>'Data-temp_employment'!HK9-last_qrtr_tempemp!HL9</f>
        <v>237.70000000000005</v>
      </c>
      <c r="HL9" s="286">
        <f>'Data-temp_employment'!HL9-last_qrtr_tempemp!HM9</f>
        <v>13.599999999999909</v>
      </c>
      <c r="HM9" s="286">
        <f>'Data-temp_employment'!HM9</f>
        <v>1555.8</v>
      </c>
      <c r="HN9" s="279" t="s">
        <v>16</v>
      </c>
      <c r="HO9" s="286">
        <f>'Data-temp_employment'!HO9-last_qrtr_tempemp!HP9</f>
        <v>-176.09999999999991</v>
      </c>
      <c r="HP9" s="286">
        <f>'Data-temp_employment'!HP9-last_qrtr_tempemp!HQ9</f>
        <v>-208.30000000000018</v>
      </c>
      <c r="HQ9" s="286">
        <f>'Data-temp_employment'!HQ9-last_qrtr_tempemp!HR9</f>
        <v>288.29999999999973</v>
      </c>
      <c r="HR9" s="286">
        <f>'Data-temp_employment'!HR9-last_qrtr_tempemp!HS9</f>
        <v>353.30000000000018</v>
      </c>
      <c r="HS9" s="286">
        <f>'Data-temp_employment'!HS9-last_qrtr_tempemp!HT9</f>
        <v>-81</v>
      </c>
      <c r="HT9" s="286">
        <f>'Data-temp_employment'!HT9-last_qrtr_tempemp!HU9</f>
        <v>-84.199999999999818</v>
      </c>
      <c r="HU9" s="286">
        <f>'Data-temp_employment'!HU9-last_qrtr_tempemp!HV9</f>
        <v>391.70000000000027</v>
      </c>
      <c r="HV9" s="286">
        <f>'Data-temp_employment'!HV9-last_qrtr_tempemp!HW9</f>
        <v>351</v>
      </c>
      <c r="HW9" s="286">
        <f>'Data-temp_employment'!HW9-last_qrtr_tempemp!HX9</f>
        <v>-124.79999999999973</v>
      </c>
      <c r="HX9" s="286">
        <f>'Data-temp_employment'!HX9</f>
        <v>3496.8</v>
      </c>
      <c r="HY9" s="279" t="s">
        <v>16</v>
      </c>
      <c r="HZ9" s="286">
        <f>'Data-temp_employment'!HZ9-last_qrtr_tempemp!IA9</f>
        <v>-7.5999999999999943</v>
      </c>
      <c r="IA9" s="286">
        <f>'Data-temp_employment'!IA9-last_qrtr_tempemp!IB9</f>
        <v>-24.900000000000006</v>
      </c>
      <c r="IB9" s="286">
        <f>'Data-temp_employment'!IB9-last_qrtr_tempemp!IC9</f>
        <v>-30.400000000000006</v>
      </c>
      <c r="IC9" s="286">
        <f>'Data-temp_employment'!IC9-last_qrtr_tempemp!ID9</f>
        <v>17.899999999999977</v>
      </c>
      <c r="ID9" s="286">
        <f>'Data-temp_employment'!ID9-last_qrtr_tempemp!IE9</f>
        <v>20.900000000000006</v>
      </c>
      <c r="IE9" s="286">
        <f>'Data-temp_employment'!IE9-last_qrtr_tempemp!IF9</f>
        <v>26.900000000000006</v>
      </c>
      <c r="IF9" s="286">
        <f>'Data-temp_employment'!IF9-last_qrtr_tempemp!IG9</f>
        <v>-30.199999999999989</v>
      </c>
      <c r="IG9" s="286">
        <f>'Data-temp_employment'!IG9-last_qrtr_tempemp!IH9</f>
        <v>4.7999999999999829</v>
      </c>
      <c r="IH9" s="286">
        <f>'Data-temp_employment'!IH9-last_qrtr_tempemp!II9</f>
        <v>11.099999999999994</v>
      </c>
      <c r="II9" s="286">
        <f>'Data-temp_employment'!II9</f>
        <v>152.80000000000001</v>
      </c>
      <c r="IJ9" s="279" t="s">
        <v>16</v>
      </c>
      <c r="IK9" s="286">
        <f>'Data-temp_employment'!IK9-last_qrtr_tempemp!IL9</f>
        <v>8.3999999999999986</v>
      </c>
      <c r="IL9" s="286">
        <f>'Data-temp_employment'!IL9-last_qrtr_tempemp!IM9</f>
        <v>3.3000000000000043</v>
      </c>
      <c r="IM9" s="286">
        <f>'Data-temp_employment'!IM9-last_qrtr_tempemp!IN9</f>
        <v>17.799999999999997</v>
      </c>
      <c r="IN9" s="286">
        <f>'Data-temp_employment'!IN9-last_qrtr_tempemp!IO9</f>
        <v>2.6000000000000014</v>
      </c>
      <c r="IO9" s="286">
        <f>'Data-temp_employment'!IO9-last_qrtr_tempemp!IP9</f>
        <v>3</v>
      </c>
      <c r="IP9" s="286">
        <f>'Data-temp_employment'!IP9-last_qrtr_tempemp!IQ9</f>
        <v>0.80000000000000426</v>
      </c>
      <c r="IQ9" s="286">
        <f>'Data-temp_employment'!IQ9-last_qrtr_tempemp!IR9</f>
        <v>14.000000000000007</v>
      </c>
      <c r="IR9" s="286">
        <f>'Data-temp_employment'!IR9-last_qrtr_tempemp!IS9</f>
        <v>11.900000000000006</v>
      </c>
      <c r="IS9" s="286">
        <f>'Data-temp_employment'!IS9-last_qrtr_tempemp!IT9</f>
        <v>-9.1000000000000014</v>
      </c>
      <c r="IT9" s="286">
        <f>'Data-temp_employment'!IT9</f>
        <v>53.1</v>
      </c>
      <c r="IU9" s="279" t="s">
        <v>16</v>
      </c>
      <c r="IV9" s="286">
        <f>'Data-temp_employment'!IV9-last_qrtr_tempemp!IW9</f>
        <v>-10.899999999999977</v>
      </c>
      <c r="IW9" s="286">
        <f>'Data-temp_employment'!IW9-last_qrtr_tempemp!IX9</f>
        <v>-10.700000000000045</v>
      </c>
      <c r="IX9" s="286">
        <f>'Data-temp_employment'!IX9-last_qrtr_tempemp!IY9</f>
        <v>-7.0999999999999091</v>
      </c>
      <c r="IY9" s="286">
        <f>'Data-temp_employment'!IY9-last_qrtr_tempemp!IZ9</f>
        <v>70.300000000000068</v>
      </c>
      <c r="IZ9" s="286">
        <f>'Data-temp_employment'!IZ9-last_qrtr_tempemp!JA9</f>
        <v>-42.600000000000023</v>
      </c>
      <c r="JA9" s="286">
        <f>'Data-temp_employment'!JA9-last_qrtr_tempemp!JB9</f>
        <v>-15</v>
      </c>
      <c r="JB9" s="286">
        <f>'Data-temp_employment'!JB9-last_qrtr_tempemp!JC9</f>
        <v>-10.899999999999977</v>
      </c>
      <c r="JC9" s="286">
        <f>'Data-temp_employment'!JC9-last_qrtr_tempemp!JD9</f>
        <v>77.399999999999977</v>
      </c>
      <c r="JD9" s="286">
        <f>'Data-temp_employment'!JD9-last_qrtr_tempemp!JE9</f>
        <v>-44.300000000000068</v>
      </c>
      <c r="JE9" s="286">
        <f>'Data-temp_employment'!JE9</f>
        <v>818.9</v>
      </c>
      <c r="JF9" s="279" t="s">
        <v>16</v>
      </c>
      <c r="JG9" s="286">
        <f>'Data-temp_employment'!JG9-last_qrtr_tempemp!JH9</f>
        <v>-101.5</v>
      </c>
      <c r="JH9" s="286">
        <f>'Data-temp_employment'!JH9-last_qrtr_tempemp!JI9</f>
        <v>-138.10000000000036</v>
      </c>
      <c r="JI9" s="286">
        <f>'Data-temp_employment'!JI9-last_qrtr_tempemp!JJ9</f>
        <v>113.20000000000027</v>
      </c>
      <c r="JJ9" s="286">
        <f>'Data-temp_employment'!JJ9-last_qrtr_tempemp!JK9</f>
        <v>311.09999999999991</v>
      </c>
      <c r="JK9" s="286">
        <f>'Data-temp_employment'!JK9-last_qrtr_tempemp!JL9</f>
        <v>76.300000000000182</v>
      </c>
      <c r="JL9" s="286">
        <f>'Data-temp_employment'!JL9-last_qrtr_tempemp!JM9</f>
        <v>-12.099999999999909</v>
      </c>
      <c r="JM9" s="286">
        <f>'Data-temp_employment'!JM9-last_qrtr_tempemp!JN9</f>
        <v>115.90000000000009</v>
      </c>
      <c r="JN9" s="286">
        <f>'Data-temp_employment'!JN9-last_qrtr_tempemp!JO9</f>
        <v>218.5</v>
      </c>
      <c r="JO9" s="286">
        <f>'Data-temp_employment'!JO9-last_qrtr_tempemp!JP9</f>
        <v>5.3000000000001819</v>
      </c>
      <c r="JP9" s="286">
        <f>'Data-temp_employment'!JP9</f>
        <v>2792.2</v>
      </c>
      <c r="JQ9" s="279" t="s">
        <v>16</v>
      </c>
      <c r="JR9" s="286">
        <f>'Data-temp_employment'!JR9-last_qrtr_tempemp!JS9</f>
        <v>-79</v>
      </c>
      <c r="JS9" s="286">
        <f>'Data-temp_employment'!JS9-last_qrtr_tempemp!JT9</f>
        <v>7.9000000000000909</v>
      </c>
      <c r="JT9" s="286">
        <f>'Data-temp_employment'!JT9-last_qrtr_tempemp!JU9</f>
        <v>37.299999999999955</v>
      </c>
      <c r="JU9" s="286">
        <f>'Data-temp_employment'!JU9-last_qrtr_tempemp!JV9</f>
        <v>131.70000000000005</v>
      </c>
      <c r="JV9" s="286">
        <f>'Data-temp_employment'!JV9-last_qrtr_tempemp!JW9</f>
        <v>-58.400000000000091</v>
      </c>
      <c r="JW9" s="286">
        <f>'Data-temp_employment'!JW9-last_qrtr_tempemp!JX9</f>
        <v>65</v>
      </c>
      <c r="JX9" s="286">
        <f>'Data-temp_employment'!JX9-last_qrtr_tempemp!JY9</f>
        <v>49.5</v>
      </c>
      <c r="JY9" s="286">
        <f>'Data-temp_employment'!JY9-last_qrtr_tempemp!JZ9</f>
        <v>129.40000000000009</v>
      </c>
      <c r="JZ9" s="286">
        <f>'Data-temp_employment'!JZ9-last_qrtr_tempemp!KA9</f>
        <v>-76.100000000000136</v>
      </c>
      <c r="KA9" s="286">
        <f>'Data-temp_employment'!KA9</f>
        <v>1270.4000000000001</v>
      </c>
      <c r="KB9" s="279" t="s">
        <v>16</v>
      </c>
      <c r="KC9" s="286">
        <f>'Data-temp_employment'!KC9-last_qrtr_tempemp!KD9</f>
        <v>8</v>
      </c>
      <c r="KD9" s="286">
        <f>'Data-temp_employment'!KD9-last_qrtr_tempemp!KE9</f>
        <v>-116.80000000000018</v>
      </c>
      <c r="KE9" s="286">
        <f>'Data-temp_employment'!KE9-last_qrtr_tempemp!KF9</f>
        <v>125.69999999999982</v>
      </c>
      <c r="KF9" s="286">
        <f>'Data-temp_employment'!KF9-last_qrtr_tempemp!KG9</f>
        <v>262.39999999999964</v>
      </c>
      <c r="KG9" s="286">
        <f>'Data-temp_employment'!KG9-last_qrtr_tempemp!KH9</f>
        <v>51</v>
      </c>
      <c r="KH9" s="286">
        <f>'Data-temp_employment'!KH9-last_qrtr_tempemp!KI9</f>
        <v>-35.300000000000182</v>
      </c>
      <c r="KI9" s="286">
        <f>'Data-temp_employment'!KI9-last_qrtr_tempemp!KJ9</f>
        <v>190.80000000000018</v>
      </c>
      <c r="KJ9" s="286">
        <f>'Data-temp_employment'!KJ9-last_qrtr_tempemp!KK9</f>
        <v>246.39999999999964</v>
      </c>
      <c r="KK9" s="286">
        <f>'Data-temp_employment'!KK9-last_qrtr_tempemp!KL9</f>
        <v>61</v>
      </c>
      <c r="KL9" s="286">
        <f>'Data-temp_employment'!KL9</f>
        <v>2599.5</v>
      </c>
      <c r="KM9" s="279" t="s">
        <v>16</v>
      </c>
      <c r="KN9" s="286">
        <f>'Data-temp_employment'!KN9-last_qrtr_tempemp!KO9</f>
        <v>48</v>
      </c>
      <c r="KO9" s="286">
        <f>'Data-temp_employment'!KO9-last_qrtr_tempemp!KP9</f>
        <v>37.399999999999977</v>
      </c>
      <c r="KP9" s="286">
        <f>'Data-temp_employment'!KP9-last_qrtr_tempemp!KQ9</f>
        <v>103.70000000000005</v>
      </c>
      <c r="KQ9" s="286">
        <f>'Data-temp_employment'!KQ9-last_qrtr_tempemp!KR9</f>
        <v>49.200000000000045</v>
      </c>
      <c r="KR9" s="286">
        <f>'Data-temp_employment'!KR9-last_qrtr_tempemp!KS9</f>
        <v>-16.899999999999977</v>
      </c>
      <c r="KS9" s="286">
        <f>'Data-temp_employment'!KS9-last_qrtr_tempemp!KT9</f>
        <v>-3.2000000000000455</v>
      </c>
      <c r="KT9" s="286">
        <f>'Data-temp_employment'!KT9-last_qrtr_tempemp!KU9</f>
        <v>87.599999999999909</v>
      </c>
      <c r="KU9" s="286">
        <f>'Data-temp_employment'!KU9-last_qrtr_tempemp!KV9</f>
        <v>156.20000000000005</v>
      </c>
      <c r="KV9" s="286">
        <f>'Data-temp_employment'!KV9-last_qrtr_tempemp!KW9</f>
        <v>38.299999999999955</v>
      </c>
      <c r="KW9" s="286">
        <f>'Data-temp_employment'!KW9</f>
        <v>852.1</v>
      </c>
      <c r="KX9" s="279" t="s">
        <v>16</v>
      </c>
      <c r="KY9" s="286">
        <f>'Data-temp_employment'!KY9-last_qrtr_tempemp!KZ9</f>
        <v>-252.09999999999991</v>
      </c>
      <c r="KZ9" s="286">
        <f>'Data-temp_employment'!KZ9-last_qrtr_tempemp!LA9</f>
        <v>-169.39999999999986</v>
      </c>
      <c r="LA9" s="286">
        <f>'Data-temp_employment'!LA9-last_qrtr_tempemp!LB9</f>
        <v>515.79999999999995</v>
      </c>
      <c r="LB9" s="286">
        <f>'Data-temp_employment'!LB9-last_qrtr_tempemp!LC9</f>
        <v>145.79999999999995</v>
      </c>
      <c r="LC9" s="286">
        <f>'Data-temp_employment'!LC9-last_qrtr_tempemp!LD9</f>
        <v>-340.09999999999991</v>
      </c>
      <c r="LD9" s="286">
        <f>'Data-temp_employment'!LD9-last_qrtr_tempemp!LE9</f>
        <v>-150.19999999999982</v>
      </c>
      <c r="LE9" s="286">
        <f>'Data-temp_employment'!LE9-last_qrtr_tempemp!LF9</f>
        <v>644.09999999999991</v>
      </c>
      <c r="LF9" s="286">
        <f>'Data-temp_employment'!LF9-last_qrtr_tempemp!LG9</f>
        <v>218.40000000000009</v>
      </c>
      <c r="LG9" s="286">
        <f>'Data-temp_employment'!LG9-last_qrtr_tempemp!LH9</f>
        <v>-316.89999999999986</v>
      </c>
      <c r="LH9" s="286">
        <f>'Data-temp_employment'!LH9</f>
        <v>1857.8</v>
      </c>
      <c r="LI9" s="279" t="s">
        <v>16</v>
      </c>
      <c r="LJ9" s="286">
        <f>'Data-temp_employment'!LJ9-last_qrtr_tempemp!LK9</f>
        <v>24.199999999999989</v>
      </c>
      <c r="LK9" s="286">
        <f>'Data-temp_employment'!LK9-last_qrtr_tempemp!LL9</f>
        <v>25.299999999999955</v>
      </c>
      <c r="LL9" s="286">
        <f>'Data-temp_employment'!LL9-last_qrtr_tempemp!LM9</f>
        <v>19.099999999999966</v>
      </c>
      <c r="LM9" s="286">
        <f>'Data-temp_employment'!LM9-last_qrtr_tempemp!LN9</f>
        <v>25.100000000000023</v>
      </c>
      <c r="LN9" s="286">
        <f>'Data-temp_employment'!LN9-last_qrtr_tempemp!LO9</f>
        <v>8</v>
      </c>
      <c r="LO9" s="286">
        <f>'Data-temp_employment'!LO9-last_qrtr_tempemp!LP9</f>
        <v>25.699999999999989</v>
      </c>
      <c r="LP9" s="286">
        <f>'Data-temp_employment'!LP9-last_qrtr_tempemp!LQ9</f>
        <v>25</v>
      </c>
      <c r="LQ9" s="286">
        <f>'Data-temp_employment'!LQ9-last_qrtr_tempemp!LR9</f>
        <v>15.400000000000034</v>
      </c>
      <c r="LR9" s="286">
        <f>'Data-temp_employment'!LR9-last_qrtr_tempemp!LS9</f>
        <v>2.2000000000000455</v>
      </c>
      <c r="LS9" s="286">
        <f>'Data-temp_employment'!LS9</f>
        <v>424.5</v>
      </c>
      <c r="LT9" s="279" t="s">
        <v>16</v>
      </c>
      <c r="LU9" s="286">
        <f>'Data-temp_employment'!LU9-last_qrtr_tempemp!LV9</f>
        <v>-3.1999999999999886</v>
      </c>
      <c r="LV9" s="286">
        <f>'Data-temp_employment'!LV9-last_qrtr_tempemp!LW9</f>
        <v>12.300000000000011</v>
      </c>
      <c r="LW9" s="286">
        <f>'Data-temp_employment'!LW9-last_qrtr_tempemp!LX9</f>
        <v>34.199999999999989</v>
      </c>
      <c r="LX9" s="286">
        <f>'Data-temp_employment'!LX9-last_qrtr_tempemp!LY9</f>
        <v>31.400000000000006</v>
      </c>
      <c r="LY9" s="286">
        <f>'Data-temp_employment'!LY9-last_qrtr_tempemp!LZ9</f>
        <v>-23.300000000000011</v>
      </c>
      <c r="LZ9" s="286">
        <f>'Data-temp_employment'!LZ9-last_qrtr_tempemp!MA9</f>
        <v>-1.7999999999999545</v>
      </c>
      <c r="MA9" s="286">
        <f>'Data-temp_employment'!MA9-last_qrtr_tempemp!MB9</f>
        <v>-6.4000000000000341</v>
      </c>
      <c r="MB9" s="286">
        <f>'Data-temp_employment'!MB9-last_qrtr_tempemp!MC9</f>
        <v>2.0999999999999943</v>
      </c>
      <c r="MC9" s="286">
        <f>'Data-temp_employment'!MC9-last_qrtr_tempemp!MD9</f>
        <v>-27.400000000000034</v>
      </c>
      <c r="MD9" s="286">
        <f>'Data-temp_employment'!MD9</f>
        <v>265.5</v>
      </c>
      <c r="ME9" s="279" t="s">
        <v>16</v>
      </c>
      <c r="MF9" s="286">
        <f>'Data-temp_employment'!MF9-last_qrtr_tempemp!MG9</f>
        <v>-2.8000000000000682</v>
      </c>
      <c r="MG9" s="286">
        <f>'Data-temp_employment'!MG9-last_qrtr_tempemp!MH9</f>
        <v>39.5</v>
      </c>
      <c r="MH9" s="286">
        <f>'Data-temp_employment'!MH9-last_qrtr_tempemp!MI9</f>
        <v>34.899999999999977</v>
      </c>
      <c r="MI9" s="286">
        <f>'Data-temp_employment'!MI9-last_qrtr_tempemp!MJ9</f>
        <v>65.700000000000045</v>
      </c>
      <c r="MJ9" s="286">
        <f>'Data-temp_employment'!MJ9-last_qrtr_tempemp!MK9</f>
        <v>-35.800000000000068</v>
      </c>
      <c r="MK9" s="286">
        <f>'Data-temp_employment'!MK9-last_qrtr_tempemp!ML9</f>
        <v>20.100000000000023</v>
      </c>
      <c r="ML9" s="286">
        <f>'Data-temp_employment'!ML9-last_qrtr_tempemp!MM9</f>
        <v>35.800000000000068</v>
      </c>
      <c r="MM9" s="286">
        <f>'Data-temp_employment'!MM9-last_qrtr_tempemp!MN9</f>
        <v>51.5</v>
      </c>
      <c r="MN9" s="286">
        <f>'Data-temp_employment'!MN9-last_qrtr_tempemp!MO9</f>
        <v>-45.200000000000045</v>
      </c>
      <c r="MO9" s="286">
        <f>'Data-temp_employment'!MO9</f>
        <v>744.6</v>
      </c>
      <c r="MP9" s="279" t="s">
        <v>16</v>
      </c>
      <c r="MQ9" s="286">
        <f>'Data-temp_employment'!MQ9-last_qrtr_tempemp!MR9</f>
        <v>-67.800000000000068</v>
      </c>
      <c r="MR9" s="286">
        <f>'Data-temp_employment'!MR9-last_qrtr_tempemp!MS9</f>
        <v>-61.5</v>
      </c>
      <c r="MS9" s="286">
        <f>'Data-temp_employment'!MS9-last_qrtr_tempemp!MT9</f>
        <v>140.49999999999989</v>
      </c>
      <c r="MT9" s="286">
        <f>'Data-temp_employment'!MT9-last_qrtr_tempemp!MU9</f>
        <v>106.40000000000009</v>
      </c>
      <c r="MU9" s="286">
        <f>'Data-temp_employment'!MU9-last_qrtr_tempemp!MV9</f>
        <v>-42.099999999999909</v>
      </c>
      <c r="MV9" s="286">
        <f>'Data-temp_employment'!MV9-last_qrtr_tempemp!MW9</f>
        <v>-66.199999999999818</v>
      </c>
      <c r="MW9" s="286">
        <f>'Data-temp_employment'!MW9-last_qrtr_tempemp!MX9</f>
        <v>98.5</v>
      </c>
      <c r="MX9" s="286">
        <f>'Data-temp_employment'!MX9-last_qrtr_tempemp!MY9</f>
        <v>77.5</v>
      </c>
      <c r="MY9" s="286">
        <f>'Data-temp_employment'!MY9-last_qrtr_tempemp!MZ9</f>
        <v>-55.700000000000045</v>
      </c>
      <c r="MZ9" s="286">
        <f>'Data-temp_employment'!MZ9</f>
        <v>1117.4000000000001</v>
      </c>
      <c r="NA9" s="279" t="s">
        <v>16</v>
      </c>
      <c r="NB9" s="286">
        <f>'Data-temp_employment'!NB9-last_qrtr_tempemp!NC9</f>
        <v>-29.599999999999909</v>
      </c>
      <c r="NC9" s="286">
        <f>'Data-temp_employment'!NC9-last_qrtr_tempemp!ND9</f>
        <v>-33.900000000000091</v>
      </c>
      <c r="ND9" s="286">
        <f>'Data-temp_employment'!ND9-last_qrtr_tempemp!NE9</f>
        <v>22.299999999999955</v>
      </c>
      <c r="NE9" s="286">
        <f>'Data-temp_employment'!NE9-last_qrtr_tempemp!NF9</f>
        <v>43.400000000000091</v>
      </c>
      <c r="NF9" s="286">
        <f>'Data-temp_employment'!NF9-last_qrtr_tempemp!NG9</f>
        <v>3.3999999999998636</v>
      </c>
      <c r="NG9" s="286">
        <f>'Data-temp_employment'!NG9-last_qrtr_tempemp!NH9</f>
        <v>-11.599999999999909</v>
      </c>
      <c r="NH9" s="286">
        <f>'Data-temp_employment'!NH9-last_qrtr_tempemp!NI9</f>
        <v>21.699999999999818</v>
      </c>
      <c r="NI9" s="286">
        <f>'Data-temp_employment'!NI9-last_qrtr_tempemp!NJ9</f>
        <v>110.40000000000009</v>
      </c>
      <c r="NJ9" s="286">
        <f>'Data-temp_employment'!NJ9-last_qrtr_tempemp!NK9</f>
        <v>-8.5</v>
      </c>
      <c r="NK9" s="286">
        <f>'Data-temp_employment'!NK9</f>
        <v>1223.5</v>
      </c>
      <c r="NL9" s="279" t="s">
        <v>16</v>
      </c>
      <c r="NM9" s="286">
        <f>'Data-temp_employment'!NM9-last_qrtr_tempemp!NN9</f>
        <v>27.799999999999955</v>
      </c>
      <c r="NN9" s="286">
        <f>'Data-temp_employment'!NN9-last_qrtr_tempemp!NO9</f>
        <v>352.40000000000009</v>
      </c>
      <c r="NO9" s="286">
        <f>'Data-temp_employment'!NO9-last_qrtr_tempemp!NP9</f>
        <v>-313.70000000000005</v>
      </c>
      <c r="NP9" s="286">
        <f>'Data-temp_employment'!NP9-last_qrtr_tempemp!NQ9</f>
        <v>-57</v>
      </c>
      <c r="NQ9" s="286">
        <f>'Data-temp_employment'!NQ9-last_qrtr_tempemp!NR9</f>
        <v>2.0999999999999091</v>
      </c>
      <c r="NR9" s="286">
        <f>'Data-temp_employment'!NR9-last_qrtr_tempemp!NS9</f>
        <v>422.29999999999995</v>
      </c>
      <c r="NS9" s="286">
        <f>'Data-temp_employment'!NS9-last_qrtr_tempemp!NT9</f>
        <v>-269.79999999999995</v>
      </c>
      <c r="NT9" s="286">
        <f>'Data-temp_employment'!NT9-last_qrtr_tempemp!NU9</f>
        <v>72.400000000000091</v>
      </c>
      <c r="NU9" s="286">
        <f>'Data-temp_employment'!NU9-last_qrtr_tempemp!NV9</f>
        <v>124</v>
      </c>
      <c r="NV9" s="286">
        <f>'Data-temp_employment'!NV9</f>
        <v>2064.1999999999998</v>
      </c>
      <c r="NW9" s="279" t="s">
        <v>16</v>
      </c>
      <c r="NX9" s="286">
        <f>'Data-temp_employment'!NX9-last_qrtr_tempemp!NY9</f>
        <v>75.800000000000182</v>
      </c>
      <c r="NY9" s="286">
        <f>'Data-temp_employment'!NY9-last_qrtr_tempemp!NZ9</f>
        <v>-7.8000000000001819</v>
      </c>
      <c r="NZ9" s="286">
        <f>'Data-temp_employment'!NZ9-last_qrtr_tempemp!OA9</f>
        <v>88.900000000000091</v>
      </c>
      <c r="OA9" s="286">
        <f>'Data-temp_employment'!OA9-last_qrtr_tempemp!OB9</f>
        <v>123.59999999999991</v>
      </c>
      <c r="OB9" s="286">
        <f>'Data-temp_employment'!OB9-last_qrtr_tempemp!OC9</f>
        <v>4.3999999999996362</v>
      </c>
      <c r="OC9" s="286">
        <f>'Data-temp_employment'!OC9-last_qrtr_tempemp!OD9</f>
        <v>-26.5</v>
      </c>
      <c r="OD9" s="286">
        <f>'Data-temp_employment'!OD9-last_qrtr_tempemp!OE9</f>
        <v>109.30000000000018</v>
      </c>
      <c r="OE9" s="286">
        <f>'Data-temp_employment'!OE9-last_qrtr_tempemp!OF9</f>
        <v>93.800000000000182</v>
      </c>
      <c r="OF9" s="286">
        <f>'Data-temp_employment'!OF9-last_qrtr_tempemp!OG9</f>
        <v>45.400000000000091</v>
      </c>
      <c r="OG9" s="286">
        <f>'Data-temp_employment'!OG9</f>
        <v>2489.6999999999998</v>
      </c>
      <c r="OH9" s="287" t="s">
        <v>16</v>
      </c>
      <c r="OI9" s="286"/>
      <c r="OJ9" s="286"/>
      <c r="OK9" s="286"/>
      <c r="OL9" s="286"/>
      <c r="OM9" s="286"/>
      <c r="ON9" s="286"/>
      <c r="OO9" s="286"/>
      <c r="OP9" s="286"/>
      <c r="OQ9" s="286"/>
      <c r="OR9" s="286"/>
      <c r="OS9" s="134" t="s">
        <v>16</v>
      </c>
      <c r="OT9" s="286">
        <f>'Data-temp_employment'!OT9-last_qrtr_tempemp!OU9</f>
        <v>9.9999999999999978E-2</v>
      </c>
      <c r="OU9" s="286">
        <f>'Data-temp_employment'!OU9-last_qrtr_tempemp!OV9</f>
        <v>-0.10000000000000003</v>
      </c>
      <c r="OV9" s="286">
        <f>'Data-temp_employment'!OV9-last_qrtr_tempemp!OW9</f>
        <v>0</v>
      </c>
      <c r="OW9" s="286">
        <f>'Data-temp_employment'!OW9-last_qrtr_tempemp!OX9</f>
        <v>0.5</v>
      </c>
      <c r="OX9" s="286">
        <f>'Data-temp_employment'!OX9-last_qrtr_tempemp!OY9</f>
        <v>0.29999999999999993</v>
      </c>
      <c r="OY9" s="286">
        <f>'Data-temp_employment'!OY9-last_qrtr_tempemp!OZ9</f>
        <v>0.39999999999999997</v>
      </c>
      <c r="OZ9" s="286">
        <f>'Data-temp_employment'!OZ9-last_qrtr_tempemp!PA9</f>
        <v>9.9999999999999978E-2</v>
      </c>
      <c r="PA9" s="286">
        <f>'Data-temp_employment'!PA9-last_qrtr_tempemp!PB9</f>
        <v>-0.70000000000000007</v>
      </c>
      <c r="PB9" s="286">
        <f>'Data-temp_employment'!PB9-last_qrtr_tempemp!PC9</f>
        <v>-0.4</v>
      </c>
      <c r="PC9" s="286">
        <f>'Data-temp_employment'!PC9</f>
        <v>0.4</v>
      </c>
      <c r="PE9" s="319"/>
      <c r="PF9" s="319"/>
      <c r="PG9" s="319"/>
      <c r="PH9" s="319"/>
      <c r="PI9" s="319"/>
      <c r="PJ9" s="319"/>
      <c r="PK9" s="319"/>
      <c r="PL9" s="319"/>
      <c r="PM9" s="319"/>
      <c r="PN9" s="319"/>
      <c r="PO9" s="319"/>
      <c r="PP9" s="319"/>
      <c r="PQ9" s="319"/>
      <c r="PR9" s="319"/>
      <c r="PS9" s="319"/>
      <c r="PT9" s="319"/>
      <c r="PU9" s="319"/>
      <c r="PV9" s="319"/>
      <c r="PW9" s="319"/>
      <c r="PX9" s="319"/>
      <c r="PY9" s="319"/>
      <c r="PZ9" s="319"/>
      <c r="QA9" s="319"/>
      <c r="QB9" s="319"/>
      <c r="QC9" s="319"/>
      <c r="QD9" s="319"/>
      <c r="QE9" s="319"/>
      <c r="QF9" s="319"/>
      <c r="QG9" s="319"/>
      <c r="QH9" s="319"/>
      <c r="QI9" s="319"/>
      <c r="QJ9" s="319"/>
      <c r="QK9" s="319"/>
      <c r="QL9" s="319"/>
      <c r="QM9" s="319"/>
      <c r="QN9" s="319"/>
      <c r="QO9" s="319"/>
      <c r="QP9" s="319"/>
      <c r="QQ9" s="319"/>
      <c r="QR9" s="319"/>
      <c r="QS9" s="319"/>
      <c r="QT9" s="319"/>
      <c r="QU9" s="319"/>
      <c r="QV9" s="319"/>
      <c r="QW9" s="319"/>
      <c r="QX9" s="319"/>
      <c r="QY9" s="319"/>
      <c r="QZ9" s="319"/>
      <c r="RA9" s="319"/>
      <c r="RB9" s="319"/>
      <c r="RC9" s="319"/>
      <c r="RD9" s="319"/>
      <c r="RE9" s="319"/>
      <c r="RF9" s="319"/>
      <c r="RG9" s="319"/>
      <c r="RH9" s="319"/>
      <c r="RI9" s="319"/>
      <c r="RJ9" s="319"/>
      <c r="RK9" s="319"/>
      <c r="RL9" s="319"/>
      <c r="RM9" s="319"/>
      <c r="RN9" s="319"/>
      <c r="RO9" s="319"/>
      <c r="RP9" s="319"/>
    </row>
    <row r="10" spans="1:484">
      <c r="A10" s="269">
        <v>7</v>
      </c>
      <c r="B10" s="285" t="s">
        <v>35</v>
      </c>
      <c r="C10" s="286">
        <f>'Data-temp_employment'!C10-last_qrtr_tempemp!D10</f>
        <v>0</v>
      </c>
      <c r="D10" s="286">
        <f>'Data-temp_employment'!D10-last_qrtr_tempemp!E10</f>
        <v>-1.0999999999999996</v>
      </c>
      <c r="E10" s="286">
        <f>'Data-temp_employment'!E10-last_qrtr_tempemp!F10</f>
        <v>0.59999999999999964</v>
      </c>
      <c r="F10" s="286">
        <f>'Data-temp_employment'!F10-last_qrtr_tempemp!G10</f>
        <v>0</v>
      </c>
      <c r="G10" s="286">
        <f>'Data-temp_employment'!G10-last_qrtr_tempemp!H10</f>
        <v>0.40000000000000036</v>
      </c>
      <c r="H10" s="286">
        <f>'Data-temp_employment'!H10-last_qrtr_tempemp!I10</f>
        <v>-0.59999999999999964</v>
      </c>
      <c r="I10" s="286">
        <f>'Data-temp_employment'!I10-last_qrtr_tempemp!J10</f>
        <v>0.90000000000000036</v>
      </c>
      <c r="J10" s="286">
        <f>'Data-temp_employment'!J10-last_qrtr_tempemp!K10</f>
        <v>-0.19999999999999929</v>
      </c>
      <c r="K10" s="286">
        <f>'Data-temp_employment'!K10-last_qrtr_tempemp!L10</f>
        <v>-0.30000000000000071</v>
      </c>
      <c r="L10" s="286">
        <f>'Data-temp_employment'!L10</f>
        <v>8.8000000000000007</v>
      </c>
      <c r="M10" s="285" t="s">
        <v>35</v>
      </c>
      <c r="N10" s="286">
        <f>'Data-temp_employment'!N10-last_qrtr_tempemp!O10</f>
        <v>0.89999999999997726</v>
      </c>
      <c r="O10" s="286">
        <f>'Data-temp_employment'!O10-last_qrtr_tempemp!P10</f>
        <v>-37.800000000000011</v>
      </c>
      <c r="P10" s="286">
        <f>'Data-temp_employment'!P10-last_qrtr_tempemp!Q10</f>
        <v>31.5</v>
      </c>
      <c r="Q10" s="286">
        <f>'Data-temp_employment'!Q10-last_qrtr_tempemp!R10</f>
        <v>8.5</v>
      </c>
      <c r="R10" s="286">
        <f>'Data-temp_employment'!R10-last_qrtr_tempemp!S10</f>
        <v>14.300000000000011</v>
      </c>
      <c r="S10" s="286">
        <f>'Data-temp_employment'!S10-last_qrtr_tempemp!T10</f>
        <v>-21.100000000000023</v>
      </c>
      <c r="T10" s="286">
        <f>'Data-temp_employment'!T10-last_qrtr_tempemp!U10</f>
        <v>42.800000000000011</v>
      </c>
      <c r="U10" s="286">
        <f>'Data-temp_employment'!U10-last_qrtr_tempemp!V10</f>
        <v>2.0999999999999659</v>
      </c>
      <c r="V10" s="286">
        <f>'Data-temp_employment'!V10-last_qrtr_tempemp!W10</f>
        <v>-13.599999999999966</v>
      </c>
      <c r="W10" s="286">
        <f>'Data-temp_employment'!W10</f>
        <v>331.1</v>
      </c>
      <c r="X10" s="285" t="s">
        <v>35</v>
      </c>
      <c r="Y10" s="286">
        <f>'Data-temp_employment'!Y10-last_qrtr_tempemp!Z10</f>
        <v>0</v>
      </c>
      <c r="Z10" s="286">
        <f>'Data-temp_employment'!Z10-last_qrtr_tempemp!AA10</f>
        <v>0</v>
      </c>
      <c r="AA10" s="286">
        <f>'Data-temp_employment'!AA10-last_qrtr_tempemp!AB10</f>
        <v>0</v>
      </c>
      <c r="AB10" s="286">
        <f>'Data-temp_employment'!AB10-last_qrtr_tempemp!AC10</f>
        <v>0</v>
      </c>
      <c r="AC10" s="286">
        <f>'Data-temp_employment'!AC10-last_qrtr_tempemp!AD10</f>
        <v>0</v>
      </c>
      <c r="AD10" s="286">
        <f>'Data-temp_employment'!AD10-last_qrtr_tempemp!AE10</f>
        <v>0</v>
      </c>
      <c r="AE10" s="286">
        <f>'Data-temp_employment'!AE10-last_qrtr_tempemp!AF10</f>
        <v>0</v>
      </c>
      <c r="AF10" s="286">
        <f>'Data-temp_employment'!AF10-last_qrtr_tempemp!AG10</f>
        <v>0</v>
      </c>
      <c r="AG10" s="286">
        <f>'Data-temp_employment'!AG10-last_qrtr_tempemp!AH10</f>
        <v>0</v>
      </c>
      <c r="AH10" s="286">
        <f>'Data-temp_employment'!AH10</f>
        <v>0</v>
      </c>
      <c r="AI10" s="279" t="s">
        <v>35</v>
      </c>
      <c r="AJ10" s="286">
        <f>'Data-temp_employment'!AJ10-last_qrtr_tempemp!AK10</f>
        <v>0.39999999999999858</v>
      </c>
      <c r="AK10" s="286">
        <f>'Data-temp_employment'!AK10-last_qrtr_tempemp!AL10</f>
        <v>-33.5</v>
      </c>
      <c r="AL10" s="286">
        <f>'Data-temp_employment'!AL10-last_qrtr_tempemp!AM10</f>
        <v>41.2</v>
      </c>
      <c r="AM10" s="286">
        <f>'Data-temp_employment'!AM10-last_qrtr_tempemp!AN10</f>
        <v>0</v>
      </c>
      <c r="AN10" s="286">
        <f>'Data-temp_employment'!AN10-last_qrtr_tempemp!AO10</f>
        <v>0</v>
      </c>
      <c r="AO10" s="286">
        <f>'Data-temp_employment'!AO10-last_qrtr_tempemp!AP10</f>
        <v>-38.700000000000003</v>
      </c>
      <c r="AP10" s="286">
        <f>'Data-temp_employment'!AP10-last_qrtr_tempemp!AQ10</f>
        <v>41.699999999999996</v>
      </c>
      <c r="AQ10" s="286">
        <f>'Data-temp_employment'!AQ10-last_qrtr_tempemp!AR10</f>
        <v>1.8000000000000007</v>
      </c>
      <c r="AR10" s="286">
        <f>'Data-temp_employment'!AR10-last_qrtr_tempemp!AS10</f>
        <v>-3.3999999999999986</v>
      </c>
      <c r="AS10" s="286">
        <f>'Data-temp_employment'!AS10</f>
        <v>25.3</v>
      </c>
      <c r="AT10" s="279" t="s">
        <v>35</v>
      </c>
      <c r="AU10" s="286">
        <f>'Data-temp_employment'!AU10-last_qrtr_tempemp!AV10</f>
        <v>6.3999999999999986</v>
      </c>
      <c r="AV10" s="286">
        <f>'Data-temp_employment'!AV10-last_qrtr_tempemp!AW10</f>
        <v>-2.1000000000000014</v>
      </c>
      <c r="AW10" s="286">
        <f>'Data-temp_employment'!AW10-last_qrtr_tempemp!AX10</f>
        <v>0.89999999999999858</v>
      </c>
      <c r="AX10" s="286">
        <f>'Data-temp_employment'!AX10-last_qrtr_tempemp!AY10</f>
        <v>-9.1000000000000014</v>
      </c>
      <c r="AY10" s="286">
        <f>'Data-temp_employment'!AY10-last_qrtr_tempemp!AZ10</f>
        <v>8.3999999999999986</v>
      </c>
      <c r="AZ10" s="286">
        <f>'Data-temp_employment'!AZ10-last_qrtr_tempemp!BA10</f>
        <v>1.4000000000000057</v>
      </c>
      <c r="BA10" s="286">
        <f>'Data-temp_employment'!BA10-last_qrtr_tempemp!BB10</f>
        <v>0.89999999999999858</v>
      </c>
      <c r="BB10" s="286">
        <f>'Data-temp_employment'!BB10-last_qrtr_tempemp!BC10</f>
        <v>-9.7999999999999972</v>
      </c>
      <c r="BC10" s="286">
        <f>'Data-temp_employment'!BC10-last_qrtr_tempemp!BD10</f>
        <v>5.5999999999999943</v>
      </c>
      <c r="BD10" s="286">
        <f>'Data-temp_employment'!BD10</f>
        <v>53.7</v>
      </c>
      <c r="BE10" s="279" t="s">
        <v>35</v>
      </c>
      <c r="BF10" s="286">
        <f>'Data-temp_employment'!BF10-last_qrtr_tempemp!BG10</f>
        <v>-10.900000000000006</v>
      </c>
      <c r="BG10" s="286">
        <f>'Data-temp_employment'!BG10-last_qrtr_tempemp!BH10</f>
        <v>4</v>
      </c>
      <c r="BH10" s="286">
        <f>'Data-temp_employment'!BH10-last_qrtr_tempemp!BI10</f>
        <v>-0.40000000000000568</v>
      </c>
      <c r="BI10" s="286">
        <f>'Data-temp_employment'!BI10-last_qrtr_tempemp!BJ10</f>
        <v>10.799999999999997</v>
      </c>
      <c r="BJ10" s="286">
        <f>'Data-temp_employment'!BJ10-last_qrtr_tempemp!BK10</f>
        <v>3.5</v>
      </c>
      <c r="BK10" s="286">
        <f>'Data-temp_employment'!BK10-last_qrtr_tempemp!BL10</f>
        <v>15.900000000000006</v>
      </c>
      <c r="BL10" s="286">
        <f>'Data-temp_employment'!BL10-last_qrtr_tempemp!BM10</f>
        <v>6.6000000000000085</v>
      </c>
      <c r="BM10" s="286">
        <f>'Data-temp_employment'!BM10-last_qrtr_tempemp!BN10</f>
        <v>5.7999999999999972</v>
      </c>
      <c r="BN10" s="286">
        <f>'Data-temp_employment'!BN10-last_qrtr_tempemp!BO10</f>
        <v>-16</v>
      </c>
      <c r="BO10" s="286">
        <f>'Data-temp_employment'!BO10</f>
        <v>79.5</v>
      </c>
      <c r="BP10" s="282" t="s">
        <v>35</v>
      </c>
      <c r="BQ10" s="286">
        <f>'Data-temp_employment'!BQ10-last_qrtr_tempemp!BR10</f>
        <v>3.0999999999999979</v>
      </c>
      <c r="BR10" s="286">
        <f>'Data-temp_employment'!BR10-last_qrtr_tempemp!BS10</f>
        <v>4.5999999999999979</v>
      </c>
      <c r="BS10" s="286">
        <f>'Data-temp_employment'!BS10-last_qrtr_tempemp!BT10</f>
        <v>0.29999999999999716</v>
      </c>
      <c r="BT10" s="286">
        <f>'Data-temp_employment'!BT10-last_qrtr_tempemp!BU10</f>
        <v>5.6999999999999993</v>
      </c>
      <c r="BU10" s="286">
        <f>'Data-temp_employment'!BU10-last_qrtr_tempemp!BV10</f>
        <v>0.80000000000000071</v>
      </c>
      <c r="BV10" s="286">
        <f>'Data-temp_employment'!BV10-last_qrtr_tempemp!BW10</f>
        <v>9.4000000000000021</v>
      </c>
      <c r="BW10" s="286">
        <f>'Data-temp_employment'!BW10-last_qrtr_tempemp!BX10</f>
        <v>0.40000000000000213</v>
      </c>
      <c r="BX10" s="286">
        <f>'Data-temp_employment'!BX10-last_qrtr_tempemp!BY10</f>
        <v>0.70000000000000284</v>
      </c>
      <c r="BY10" s="286">
        <f>'Data-temp_employment'!BY10-last_qrtr_tempemp!BZ10</f>
        <v>-4.2000000000000028</v>
      </c>
      <c r="BZ10" s="286">
        <f>'Data-temp_employment'!BZ10</f>
        <v>31.3</v>
      </c>
      <c r="CA10" s="282" t="s">
        <v>35</v>
      </c>
      <c r="CB10" s="286">
        <f>'Data-temp_employment'!CB10-last_qrtr_tempemp!CC10</f>
        <v>3.1000000000000227</v>
      </c>
      <c r="CC10" s="286">
        <f>'Data-temp_employment'!CC10-last_qrtr_tempemp!CD10</f>
        <v>-10.600000000000023</v>
      </c>
      <c r="CD10" s="286">
        <f>'Data-temp_employment'!CD10-last_qrtr_tempemp!CE10</f>
        <v>-10.999999999999972</v>
      </c>
      <c r="CE10" s="286">
        <f>'Data-temp_employment'!CE10-last_qrtr_tempemp!CF10</f>
        <v>0.30000000000001137</v>
      </c>
      <c r="CF10" s="286">
        <f>'Data-temp_employment'!CF10-last_qrtr_tempemp!CG10</f>
        <v>2.1000000000000227</v>
      </c>
      <c r="CG10" s="286">
        <f>'Data-temp_employment'!CG10-last_qrtr_tempemp!CH10</f>
        <v>-8.4000000000000057</v>
      </c>
      <c r="CH10" s="286">
        <f>'Data-temp_employment'!CH10-last_qrtr_tempemp!CI10</f>
        <v>-7.9000000000000341</v>
      </c>
      <c r="CI10" s="286">
        <f>'Data-temp_employment'!CI10-last_qrtr_tempemp!CJ10</f>
        <v>3.5999999999999659</v>
      </c>
      <c r="CJ10" s="286">
        <f>'Data-temp_employment'!CJ10-last_qrtr_tempemp!CK10</f>
        <v>4.5999999999999943</v>
      </c>
      <c r="CK10" s="286">
        <f>'Data-temp_employment'!CK10</f>
        <v>140.69999999999999</v>
      </c>
      <c r="CL10" s="285" t="s">
        <v>35</v>
      </c>
      <c r="CM10" s="286">
        <f>'Data-temp_employment'!CM10-last_qrtr_tempemp!CN10</f>
        <v>-9.9999999999994316E-2</v>
      </c>
      <c r="CN10" s="286">
        <f>'Data-temp_employment'!CN10-last_qrtr_tempemp!CO10</f>
        <v>-27.799999999999997</v>
      </c>
      <c r="CO10" s="286">
        <f>'Data-temp_employment'!CO10-last_qrtr_tempemp!CP10</f>
        <v>11.5</v>
      </c>
      <c r="CP10" s="286">
        <f>'Data-temp_employment'!CP10-last_qrtr_tempemp!CQ10</f>
        <v>-2.6000000000000085</v>
      </c>
      <c r="CQ10" s="286">
        <f>'Data-temp_employment'!CQ10-last_qrtr_tempemp!CR10</f>
        <v>-1.4000000000000057</v>
      </c>
      <c r="CR10" s="286">
        <f>'Data-temp_employment'!CR10-last_qrtr_tempemp!CS10</f>
        <v>-25.900000000000006</v>
      </c>
      <c r="CS10" s="286">
        <f>'Data-temp_employment'!CS10-last_qrtr_tempemp!CT10</f>
        <v>15.599999999999994</v>
      </c>
      <c r="CT10" s="286">
        <f>'Data-temp_employment'!CT10-last_qrtr_tempemp!CU10</f>
        <v>-0.89999999999999147</v>
      </c>
      <c r="CU10" s="286">
        <f>'Data-temp_employment'!CU10-last_qrtr_tempemp!CV10</f>
        <v>1.8000000000000114</v>
      </c>
      <c r="CV10" s="286">
        <f>'Data-temp_employment'!CV10</f>
        <v>108.6</v>
      </c>
      <c r="CW10" s="285" t="s">
        <v>35</v>
      </c>
      <c r="CX10" s="286">
        <f>'Data-temp_employment'!CX10-last_qrtr_tempemp!CY10</f>
        <v>-2.6000000000000085</v>
      </c>
      <c r="CY10" s="286">
        <f>'Data-temp_employment'!CY10-last_qrtr_tempemp!CZ10</f>
        <v>-18.700000000000003</v>
      </c>
      <c r="CZ10" s="286">
        <f>'Data-temp_employment'!CZ10-last_qrtr_tempemp!DA10</f>
        <v>11.400000000000006</v>
      </c>
      <c r="DA10" s="286">
        <f>'Data-temp_employment'!DA10-last_qrtr_tempemp!DB10</f>
        <v>7.2000000000000028</v>
      </c>
      <c r="DB10" s="286">
        <f>'Data-temp_employment'!DB10-last_qrtr_tempemp!DC10</f>
        <v>6.5999999999999943</v>
      </c>
      <c r="DC10" s="286">
        <f>'Data-temp_employment'!DC10-last_qrtr_tempemp!DD10</f>
        <v>-1.0999999999999943</v>
      </c>
      <c r="DD10" s="286">
        <f>'Data-temp_employment'!DD10-last_qrtr_tempemp!DE10</f>
        <v>16</v>
      </c>
      <c r="DE10" s="286">
        <f>'Data-temp_employment'!DE10-last_qrtr_tempemp!DF10</f>
        <v>1.7999999999999972</v>
      </c>
      <c r="DF10" s="286">
        <f>'Data-temp_employment'!DF10-last_qrtr_tempemp!DG10</f>
        <v>-7</v>
      </c>
      <c r="DG10" s="286">
        <f>'Data-temp_employment'!DG10</f>
        <v>106.8</v>
      </c>
      <c r="DH10" s="285" t="s">
        <v>35</v>
      </c>
      <c r="DI10" s="286">
        <f>'Data-temp_employment'!DI10-last_qrtr_tempemp!DJ10</f>
        <v>3.5</v>
      </c>
      <c r="DJ10" s="286">
        <f>'Data-temp_employment'!DJ10-last_qrtr_tempemp!DK10</f>
        <v>8.5999999999999943</v>
      </c>
      <c r="DK10" s="286">
        <f>'Data-temp_employment'!DK10-last_qrtr_tempemp!DL10</f>
        <v>8.5</v>
      </c>
      <c r="DL10" s="286">
        <f>'Data-temp_employment'!DL10-last_qrtr_tempemp!DM10</f>
        <v>4</v>
      </c>
      <c r="DM10" s="286">
        <f>'Data-temp_employment'!DM10-last_qrtr_tempemp!DN10</f>
        <v>9.1000000000000085</v>
      </c>
      <c r="DN10" s="286">
        <f>'Data-temp_employment'!DN10-last_qrtr_tempemp!DO10</f>
        <v>6</v>
      </c>
      <c r="DO10" s="286">
        <f>'Data-temp_employment'!DO10-last_qrtr_tempemp!DP10</f>
        <v>11.299999999999997</v>
      </c>
      <c r="DP10" s="286">
        <f>'Data-temp_employment'!DP10-last_qrtr_tempemp!DQ10</f>
        <v>1.2000000000000028</v>
      </c>
      <c r="DQ10" s="286">
        <f>'Data-temp_employment'!DQ10-last_qrtr_tempemp!DR10</f>
        <v>-8.3999999999999915</v>
      </c>
      <c r="DR10" s="286">
        <f>'Data-temp_employment'!DR10</f>
        <v>115.8</v>
      </c>
      <c r="DS10" s="285" t="s">
        <v>35</v>
      </c>
      <c r="DT10" s="286">
        <f>'Data-temp_employment'!DT10-last_qrtr_tempemp!DU10</f>
        <v>0</v>
      </c>
      <c r="DU10" s="286">
        <f>'Data-temp_employment'!DU10-last_qrtr_tempemp!DV10</f>
        <v>0</v>
      </c>
      <c r="DV10" s="286">
        <f>'Data-temp_employment'!DV10-last_qrtr_tempemp!DW10</f>
        <v>0</v>
      </c>
      <c r="DW10" s="286">
        <f>'Data-temp_employment'!DW10-last_qrtr_tempemp!DX10</f>
        <v>0</v>
      </c>
      <c r="DX10" s="286">
        <f>'Data-temp_employment'!DX10-last_qrtr_tempemp!DY10</f>
        <v>0</v>
      </c>
      <c r="DY10" s="286">
        <f>'Data-temp_employment'!DY10-last_qrtr_tempemp!DZ10</f>
        <v>0</v>
      </c>
      <c r="DZ10" s="286">
        <f>'Data-temp_employment'!DZ10-last_qrtr_tempemp!EA10</f>
        <v>0</v>
      </c>
      <c r="EA10" s="286">
        <f>'Data-temp_employment'!EA10-last_qrtr_tempemp!EB10</f>
        <v>0</v>
      </c>
      <c r="EB10" s="286">
        <f>'Data-temp_employment'!EB10-last_qrtr_tempemp!EC10</f>
        <v>0</v>
      </c>
      <c r="EC10" s="286">
        <f>'Data-temp_employment'!EC10</f>
        <v>0</v>
      </c>
      <c r="ED10" s="279" t="s">
        <v>35</v>
      </c>
      <c r="EE10" s="286">
        <f>'Data-temp_employment'!EE10-last_qrtr_tempemp!EF10</f>
        <v>-0.10000000000000053</v>
      </c>
      <c r="EF10" s="286">
        <f>'Data-temp_employment'!EF10-last_qrtr_tempemp!EG10</f>
        <v>0.20000000000000018</v>
      </c>
      <c r="EG10" s="286">
        <f>'Data-temp_employment'!EG10-last_qrtr_tempemp!EH10</f>
        <v>-0.20000000000000018</v>
      </c>
      <c r="EH10" s="286">
        <f>'Data-temp_employment'!EH10-last_qrtr_tempemp!EI10</f>
        <v>-0.79999999999999982</v>
      </c>
      <c r="EI10" s="286">
        <f>'Data-temp_employment'!EI10-last_qrtr_tempemp!EJ10</f>
        <v>0.29999999999999982</v>
      </c>
      <c r="EJ10" s="286">
        <f>'Data-temp_employment'!EJ10-last_qrtr_tempemp!EK10</f>
        <v>7.8</v>
      </c>
      <c r="EK10" s="286">
        <f>'Data-temp_employment'!EK10-last_qrtr_tempemp!EL10</f>
        <v>0</v>
      </c>
      <c r="EL10" s="286">
        <f>'Data-temp_employment'!EL10-last_qrtr_tempemp!EM10</f>
        <v>-1.6999999999999993</v>
      </c>
      <c r="EM10" s="286">
        <f>'Data-temp_employment'!EM10-last_qrtr_tempemp!EN10</f>
        <v>0.20000000000000018</v>
      </c>
      <c r="EN10" s="286">
        <f>'Data-temp_employment'!EN10</f>
        <v>5.5</v>
      </c>
      <c r="EO10" s="279" t="s">
        <v>35</v>
      </c>
      <c r="EP10" s="286">
        <f>'Data-temp_employment'!EP10-last_qrtr_tempemp!EQ10</f>
        <v>1.2000000000000028</v>
      </c>
      <c r="EQ10" s="286">
        <f>'Data-temp_employment'!EQ10-last_qrtr_tempemp!ER10</f>
        <v>9.1000000000000014</v>
      </c>
      <c r="ER10" s="286">
        <f>'Data-temp_employment'!ER10-last_qrtr_tempemp!ES10</f>
        <v>-2.1000000000000085</v>
      </c>
      <c r="ES10" s="286">
        <f>'Data-temp_employment'!ES10-last_qrtr_tempemp!ET10</f>
        <v>0.10000000000000853</v>
      </c>
      <c r="ET10" s="286">
        <f>'Data-temp_employment'!ET10-last_qrtr_tempemp!EU10</f>
        <v>4.5</v>
      </c>
      <c r="EU10" s="286">
        <f>'Data-temp_employment'!EU10-last_qrtr_tempemp!EV10</f>
        <v>14.900000000000006</v>
      </c>
      <c r="EV10" s="286">
        <f>'Data-temp_employment'!EV10-last_qrtr_tempemp!EW10</f>
        <v>0.89999999999999147</v>
      </c>
      <c r="EW10" s="286">
        <f>'Data-temp_employment'!EW10-last_qrtr_tempemp!EX10</f>
        <v>1.2000000000000028</v>
      </c>
      <c r="EX10" s="286">
        <f>'Data-temp_employment'!EX10-last_qrtr_tempemp!EY10</f>
        <v>1.9000000000000057</v>
      </c>
      <c r="EY10" s="286">
        <f>'Data-temp_employment'!EY10</f>
        <v>95.6</v>
      </c>
      <c r="EZ10" s="279" t="s">
        <v>35</v>
      </c>
      <c r="FA10" s="286">
        <f>'Data-temp_employment'!FA10-last_qrtr_tempemp!FB10</f>
        <v>4.6999999999999957</v>
      </c>
      <c r="FB10" s="286">
        <f>'Data-temp_employment'!FB10-last_qrtr_tempemp!FC10</f>
        <v>-1.6999999999999957</v>
      </c>
      <c r="FC10" s="286">
        <f>'Data-temp_employment'!FC10-last_qrtr_tempemp!FD10</f>
        <v>-0.10000000000000142</v>
      </c>
      <c r="FD10" s="286">
        <f>'Data-temp_employment'!FD10-last_qrtr_tempemp!FE10</f>
        <v>-0.89999999999999858</v>
      </c>
      <c r="FE10" s="286">
        <f>'Data-temp_employment'!FE10-last_qrtr_tempemp!FF10</f>
        <v>4.6999999999999957</v>
      </c>
      <c r="FF10" s="286">
        <f>'Data-temp_employment'!FF10-last_qrtr_tempemp!FG10</f>
        <v>-3.1999999999999957</v>
      </c>
      <c r="FG10" s="286">
        <f>'Data-temp_employment'!FG10-last_qrtr_tempemp!FH10</f>
        <v>-0.5</v>
      </c>
      <c r="FH10" s="286">
        <f>'Data-temp_employment'!FH10-last_qrtr_tempemp!FI10</f>
        <v>-3.6000000000000014</v>
      </c>
      <c r="FI10" s="286">
        <f>'Data-temp_employment'!FI10-last_qrtr_tempemp!FJ10</f>
        <v>-5.6000000000000014</v>
      </c>
      <c r="FJ10" s="286">
        <f>'Data-temp_employment'!FJ10</f>
        <v>52.5</v>
      </c>
      <c r="FK10" s="279" t="s">
        <v>35</v>
      </c>
      <c r="FL10" s="286">
        <f>'Data-temp_employment'!FL10-last_qrtr_tempemp!FM10</f>
        <v>-0.40000000000000213</v>
      </c>
      <c r="FM10" s="286">
        <f>'Data-temp_employment'!FM10-last_qrtr_tempemp!FN10</f>
        <v>-2</v>
      </c>
      <c r="FN10" s="286">
        <f>'Data-temp_employment'!FN10-last_qrtr_tempemp!FO10</f>
        <v>9.8999999999999986</v>
      </c>
      <c r="FO10" s="286">
        <f>'Data-temp_employment'!FO10-last_qrtr_tempemp!FP10</f>
        <v>3.1999999999999993</v>
      </c>
      <c r="FP10" s="286">
        <f>'Data-temp_employment'!FP10-last_qrtr_tempemp!FQ10</f>
        <v>3.8000000000000007</v>
      </c>
      <c r="FQ10" s="286">
        <f>'Data-temp_employment'!FQ10-last_qrtr_tempemp!FR10</f>
        <v>-9.0999999999999979</v>
      </c>
      <c r="FR10" s="286">
        <f>'Data-temp_employment'!FR10-last_qrtr_tempemp!FS10</f>
        <v>8.7000000000000028</v>
      </c>
      <c r="FS10" s="286">
        <f>'Data-temp_employment'!FS10-last_qrtr_tempemp!FT10</f>
        <v>-1.9000000000000021</v>
      </c>
      <c r="FT10" s="286">
        <f>'Data-temp_employment'!FT10-last_qrtr_tempemp!FU10</f>
        <v>-1.3000000000000007</v>
      </c>
      <c r="FU10" s="286">
        <f>'Data-temp_employment'!FU10</f>
        <v>20.399999999999999</v>
      </c>
      <c r="FV10" s="279" t="s">
        <v>35</v>
      </c>
      <c r="FW10" s="286">
        <f>'Data-temp_employment'!FW10-last_qrtr_tempemp!FX10</f>
        <v>-0.89999999999999147</v>
      </c>
      <c r="FX10" s="286">
        <f>'Data-temp_employment'!FX10-last_qrtr_tempemp!FY10</f>
        <v>-20</v>
      </c>
      <c r="FY10" s="286">
        <f>'Data-temp_employment'!FY10-last_qrtr_tempemp!FZ10</f>
        <v>10.799999999999997</v>
      </c>
      <c r="FZ10" s="286">
        <f>'Data-temp_employment'!FZ10-last_qrtr_tempemp!GA10</f>
        <v>2.8999999999999915</v>
      </c>
      <c r="GA10" s="286">
        <f>'Data-temp_employment'!GA10-last_qrtr_tempemp!GB10</f>
        <v>9.0999999999999943</v>
      </c>
      <c r="GB10" s="286">
        <f>'Data-temp_employment'!GB10-last_qrtr_tempemp!GC10</f>
        <v>-6.7999999999999972</v>
      </c>
      <c r="GC10" s="286">
        <f>'Data-temp_employment'!GC10-last_qrtr_tempemp!GD10</f>
        <v>13.299999999999997</v>
      </c>
      <c r="GD10" s="286">
        <f>'Data-temp_employment'!GD10-last_qrtr_tempemp!GE10</f>
        <v>-7.9000000000000057</v>
      </c>
      <c r="GE10" s="286">
        <f>'Data-temp_employment'!GE10-last_qrtr_tempemp!GF10</f>
        <v>-6.9000000000000057</v>
      </c>
      <c r="GF10" s="286">
        <f>'Data-temp_employment'!GF10</f>
        <v>70.2</v>
      </c>
      <c r="GG10" s="279" t="s">
        <v>35</v>
      </c>
      <c r="GH10" s="286">
        <f>'Data-temp_employment'!GH10-last_qrtr_tempemp!GI10</f>
        <v>0</v>
      </c>
      <c r="GI10" s="286">
        <f>'Data-temp_employment'!GI10-last_qrtr_tempemp!GJ10</f>
        <v>4.2</v>
      </c>
      <c r="GJ10" s="286">
        <f>'Data-temp_employment'!GJ10-last_qrtr_tempemp!GK10</f>
        <v>7</v>
      </c>
      <c r="GK10" s="286">
        <f>'Data-temp_employment'!GK10-last_qrtr_tempemp!GL10</f>
        <v>0</v>
      </c>
      <c r="GL10" s="286">
        <f>'Data-temp_employment'!GL10-last_qrtr_tempemp!GM10</f>
        <v>0</v>
      </c>
      <c r="GM10" s="286">
        <f>'Data-temp_employment'!GM10-last_qrtr_tempemp!GN10</f>
        <v>4.8</v>
      </c>
      <c r="GN10" s="286">
        <f>'Data-temp_employment'!GN10-last_qrtr_tempemp!GO10</f>
        <v>7.2</v>
      </c>
      <c r="GO10" s="286">
        <f>'Data-temp_employment'!GO10-last_qrtr_tempemp!GP10</f>
        <v>5.4</v>
      </c>
      <c r="GP10" s="286">
        <f>'Data-temp_employment'!GP10-last_qrtr_tempemp!GQ10</f>
        <v>0</v>
      </c>
      <c r="GQ10" s="286">
        <f>'Data-temp_employment'!GQ10</f>
        <v>5.8</v>
      </c>
      <c r="GR10" s="279" t="s">
        <v>35</v>
      </c>
      <c r="GS10" s="286">
        <f>'Data-temp_employment'!GS10-last_qrtr_tempemp!GT10</f>
        <v>-2.5</v>
      </c>
      <c r="GT10" s="286">
        <f>'Data-temp_employment'!GT10-last_qrtr_tempemp!GU10</f>
        <v>-9.7999999999999972</v>
      </c>
      <c r="GU10" s="286">
        <f>'Data-temp_employment'!GU10-last_qrtr_tempemp!GV10</f>
        <v>-4</v>
      </c>
      <c r="GV10" s="286">
        <f>'Data-temp_employment'!GV10-last_qrtr_tempemp!GW10</f>
        <v>5.7999999999999972</v>
      </c>
      <c r="GW10" s="286">
        <f>'Data-temp_employment'!GW10-last_qrtr_tempemp!GX10</f>
        <v>-4.3999999999999986</v>
      </c>
      <c r="GX10" s="286">
        <f>'Data-temp_employment'!GX10-last_qrtr_tempemp!GY10</f>
        <v>-5.1000000000000014</v>
      </c>
      <c r="GY10" s="286">
        <f>'Data-temp_employment'!GY10-last_qrtr_tempemp!GZ10</f>
        <v>3.1999999999999957</v>
      </c>
      <c r="GZ10" s="286">
        <f>'Data-temp_employment'!GZ10-last_qrtr_tempemp!HA10</f>
        <v>8.2999999999999972</v>
      </c>
      <c r="HA10" s="286">
        <f>'Data-temp_employment'!HA10-last_qrtr_tempemp!HB10</f>
        <v>-1</v>
      </c>
      <c r="HB10" s="286">
        <f>'Data-temp_employment'!HB10</f>
        <v>50.8</v>
      </c>
      <c r="HC10" s="279" t="s">
        <v>35</v>
      </c>
      <c r="HD10" s="286">
        <f>'Data-temp_employment'!HD10-last_qrtr_tempemp!HE10</f>
        <v>1.4000000000000004</v>
      </c>
      <c r="HE10" s="286">
        <f>'Data-temp_employment'!HE10-last_qrtr_tempemp!HF10</f>
        <v>-3.9000000000000004</v>
      </c>
      <c r="HF10" s="286">
        <f>'Data-temp_employment'!HF10-last_qrtr_tempemp!HG10</f>
        <v>1</v>
      </c>
      <c r="HG10" s="286">
        <f>'Data-temp_employment'!HG10-last_qrtr_tempemp!HH10</f>
        <v>-1.2000000000000011</v>
      </c>
      <c r="HH10" s="286">
        <f>'Data-temp_employment'!HH10-last_qrtr_tempemp!HI10</f>
        <v>0.40000000000000036</v>
      </c>
      <c r="HI10" s="286">
        <f>'Data-temp_employment'!HI10-last_qrtr_tempemp!HJ10</f>
        <v>0</v>
      </c>
      <c r="HJ10" s="286">
        <f>'Data-temp_employment'!HJ10-last_qrtr_tempemp!HK10</f>
        <v>0</v>
      </c>
      <c r="HK10" s="286">
        <f>'Data-temp_employment'!HK10-last_qrtr_tempemp!HL10</f>
        <v>0.5</v>
      </c>
      <c r="HL10" s="286">
        <f>'Data-temp_employment'!HL10-last_qrtr_tempemp!HM10</f>
        <v>1.2000000000000011</v>
      </c>
      <c r="HM10" s="286">
        <f>'Data-temp_employment'!HM10</f>
        <v>10.4</v>
      </c>
      <c r="HN10" s="279" t="s">
        <v>35</v>
      </c>
      <c r="HO10" s="286">
        <f>'Data-temp_employment'!HO10-last_qrtr_tempemp!HP10</f>
        <v>0.69999999999999929</v>
      </c>
      <c r="HP10" s="286">
        <f>'Data-temp_employment'!HP10-last_qrtr_tempemp!HQ10</f>
        <v>-6</v>
      </c>
      <c r="HQ10" s="286">
        <f>'Data-temp_employment'!HQ10-last_qrtr_tempemp!HR10</f>
        <v>13.399999999999999</v>
      </c>
      <c r="HR10" s="286">
        <f>'Data-temp_employment'!HR10-last_qrtr_tempemp!HS10</f>
        <v>-2.3999999999999986</v>
      </c>
      <c r="HS10" s="286">
        <f>'Data-temp_employment'!HS10-last_qrtr_tempemp!HT10</f>
        <v>-3</v>
      </c>
      <c r="HT10" s="286">
        <f>'Data-temp_employment'!HT10-last_qrtr_tempemp!HU10</f>
        <v>-11</v>
      </c>
      <c r="HU10" s="286">
        <f>'Data-temp_employment'!HU10-last_qrtr_tempemp!HV10</f>
        <v>11.399999999999999</v>
      </c>
      <c r="HV10" s="286">
        <f>'Data-temp_employment'!HV10-last_qrtr_tempemp!HW10</f>
        <v>1.6999999999999993</v>
      </c>
      <c r="HW10" s="286">
        <f>'Data-temp_employment'!HW10-last_qrtr_tempemp!HX10</f>
        <v>0.30000000000000071</v>
      </c>
      <c r="HX10" s="286">
        <f>'Data-temp_employment'!HX10</f>
        <v>18.8</v>
      </c>
      <c r="HY10" s="279" t="s">
        <v>35</v>
      </c>
      <c r="HZ10" s="286">
        <f>'Data-temp_employment'!HZ10-last_qrtr_tempemp!IA10</f>
        <v>0</v>
      </c>
      <c r="IA10" s="286">
        <f>'Data-temp_employment'!IA10-last_qrtr_tempemp!IB10</f>
        <v>0</v>
      </c>
      <c r="IB10" s="286">
        <f>'Data-temp_employment'!IB10-last_qrtr_tempemp!IC10</f>
        <v>0</v>
      </c>
      <c r="IC10" s="286">
        <f>'Data-temp_employment'!IC10-last_qrtr_tempemp!ID10</f>
        <v>0</v>
      </c>
      <c r="ID10" s="286">
        <f>'Data-temp_employment'!ID10-last_qrtr_tempemp!IE10</f>
        <v>0</v>
      </c>
      <c r="IE10" s="286">
        <f>'Data-temp_employment'!IE10-last_qrtr_tempemp!IF10</f>
        <v>0</v>
      </c>
      <c r="IF10" s="286">
        <f>'Data-temp_employment'!IF10-last_qrtr_tempemp!IG10</f>
        <v>0</v>
      </c>
      <c r="IG10" s="286">
        <f>'Data-temp_employment'!IG10-last_qrtr_tempemp!IH10</f>
        <v>0</v>
      </c>
      <c r="IH10" s="286">
        <f>'Data-temp_employment'!IH10-last_qrtr_tempemp!II10</f>
        <v>0</v>
      </c>
      <c r="II10" s="286">
        <f>'Data-temp_employment'!II10</f>
        <v>0</v>
      </c>
      <c r="IJ10" s="279" t="s">
        <v>35</v>
      </c>
      <c r="IK10" s="286">
        <f>'Data-temp_employment'!IK10-last_qrtr_tempemp!IL10</f>
        <v>0</v>
      </c>
      <c r="IL10" s="286">
        <f>'Data-temp_employment'!IL10-last_qrtr_tempemp!IM10</f>
        <v>0</v>
      </c>
      <c r="IM10" s="286">
        <f>'Data-temp_employment'!IM10-last_qrtr_tempemp!IN10</f>
        <v>0</v>
      </c>
      <c r="IN10" s="286">
        <f>'Data-temp_employment'!IN10-last_qrtr_tempemp!IO10</f>
        <v>0</v>
      </c>
      <c r="IO10" s="286">
        <f>'Data-temp_employment'!IO10-last_qrtr_tempemp!IP10</f>
        <v>0</v>
      </c>
      <c r="IP10" s="286">
        <f>'Data-temp_employment'!IP10-last_qrtr_tempemp!IQ10</f>
        <v>0</v>
      </c>
      <c r="IQ10" s="286">
        <f>'Data-temp_employment'!IQ10-last_qrtr_tempemp!IR10</f>
        <v>0</v>
      </c>
      <c r="IR10" s="286">
        <f>'Data-temp_employment'!IR10-last_qrtr_tempemp!IS10</f>
        <v>0</v>
      </c>
      <c r="IS10" s="286">
        <f>'Data-temp_employment'!IS10-last_qrtr_tempemp!IT10</f>
        <v>0</v>
      </c>
      <c r="IT10" s="286">
        <f>'Data-temp_employment'!IT10</f>
        <v>0</v>
      </c>
      <c r="IU10" s="279" t="s">
        <v>35</v>
      </c>
      <c r="IV10" s="286">
        <f>'Data-temp_employment'!IV10-last_qrtr_tempemp!IW10</f>
        <v>-4.9000000000000004</v>
      </c>
      <c r="IW10" s="286">
        <f>'Data-temp_employment'!IW10-last_qrtr_tempemp!IX10</f>
        <v>-4.9000000000000004</v>
      </c>
      <c r="IX10" s="286">
        <f>'Data-temp_employment'!IX10-last_qrtr_tempemp!IY10</f>
        <v>0</v>
      </c>
      <c r="IY10" s="286">
        <f>'Data-temp_employment'!IY10-last_qrtr_tempemp!IZ10</f>
        <v>0</v>
      </c>
      <c r="IZ10" s="286">
        <f>'Data-temp_employment'!IZ10-last_qrtr_tempemp!JA10</f>
        <v>0</v>
      </c>
      <c r="JA10" s="286">
        <f>'Data-temp_employment'!JA10-last_qrtr_tempemp!JB10</f>
        <v>-4.0999999999999996</v>
      </c>
      <c r="JB10" s="286">
        <f>'Data-temp_employment'!JB10-last_qrtr_tempemp!JC10</f>
        <v>0</v>
      </c>
      <c r="JC10" s="286">
        <f>'Data-temp_employment'!JC10-last_qrtr_tempemp!JD10</f>
        <v>0</v>
      </c>
      <c r="JD10" s="286">
        <f>'Data-temp_employment'!JD10-last_qrtr_tempemp!JE10</f>
        <v>0</v>
      </c>
      <c r="JE10" s="286">
        <f>'Data-temp_employment'!JE10</f>
        <v>0</v>
      </c>
      <c r="JF10" s="279" t="s">
        <v>35</v>
      </c>
      <c r="JG10" s="286">
        <f>'Data-temp_employment'!JG10-last_qrtr_tempemp!JH10</f>
        <v>2</v>
      </c>
      <c r="JH10" s="286">
        <f>'Data-temp_employment'!JH10-last_qrtr_tempemp!JI10</f>
        <v>-15.200000000000003</v>
      </c>
      <c r="JI10" s="286">
        <f>'Data-temp_employment'!JI10-last_qrtr_tempemp!JJ10</f>
        <v>0.5</v>
      </c>
      <c r="JJ10" s="286">
        <f>'Data-temp_employment'!JJ10-last_qrtr_tempemp!JK10</f>
        <v>-2.6000000000000014</v>
      </c>
      <c r="JK10" s="286">
        <f>'Data-temp_employment'!JK10-last_qrtr_tempemp!JL10</f>
        <v>1.5</v>
      </c>
      <c r="JL10" s="286">
        <f>'Data-temp_employment'!JL10-last_qrtr_tempemp!JM10</f>
        <v>-5.1000000000000014</v>
      </c>
      <c r="JM10" s="286">
        <f>'Data-temp_employment'!JM10-last_qrtr_tempemp!JN10</f>
        <v>11.600000000000001</v>
      </c>
      <c r="JN10" s="286">
        <f>'Data-temp_employment'!JN10-last_qrtr_tempemp!JO10</f>
        <v>7.8999999999999986</v>
      </c>
      <c r="JO10" s="286">
        <f>'Data-temp_employment'!JO10-last_qrtr_tempemp!JP10</f>
        <v>3.3999999999999986</v>
      </c>
      <c r="JP10" s="286">
        <f>'Data-temp_employment'!JP10</f>
        <v>41</v>
      </c>
      <c r="JQ10" s="279" t="s">
        <v>35</v>
      </c>
      <c r="JR10" s="286">
        <f>'Data-temp_employment'!JR10-last_qrtr_tempemp!JS10</f>
        <v>-5.5</v>
      </c>
      <c r="JS10" s="286">
        <f>'Data-temp_employment'!JS10-last_qrtr_tempemp!JT10</f>
        <v>-6.6000000000000014</v>
      </c>
      <c r="JT10" s="286">
        <f>'Data-temp_employment'!JT10-last_qrtr_tempemp!JU10</f>
        <v>3.6000000000000014</v>
      </c>
      <c r="JU10" s="286">
        <f>'Data-temp_employment'!JU10-last_qrtr_tempemp!JV10</f>
        <v>7.1000000000000014</v>
      </c>
      <c r="JV10" s="286">
        <f>'Data-temp_employment'!JV10-last_qrtr_tempemp!JW10</f>
        <v>-7.1999999999999957</v>
      </c>
      <c r="JW10" s="286">
        <f>'Data-temp_employment'!JW10-last_qrtr_tempemp!JX10</f>
        <v>-7.2000000000000028</v>
      </c>
      <c r="JX10" s="286">
        <f>'Data-temp_employment'!JX10-last_qrtr_tempemp!JY10</f>
        <v>-2.1000000000000014</v>
      </c>
      <c r="JY10" s="286">
        <f>'Data-temp_employment'!JY10-last_qrtr_tempemp!JZ10</f>
        <v>1.2999999999999972</v>
      </c>
      <c r="JZ10" s="286">
        <f>'Data-temp_employment'!JZ10-last_qrtr_tempemp!KA10</f>
        <v>-7.3999999999999986</v>
      </c>
      <c r="KA10" s="286">
        <f>'Data-temp_employment'!KA10</f>
        <v>27</v>
      </c>
      <c r="KB10" s="279" t="s">
        <v>35</v>
      </c>
      <c r="KC10" s="286">
        <f>'Data-temp_employment'!KC10-last_qrtr_tempemp!KD10</f>
        <v>-3.5</v>
      </c>
      <c r="KD10" s="286">
        <f>'Data-temp_employment'!KD10-last_qrtr_tempemp!KE10</f>
        <v>-17.099999999999994</v>
      </c>
      <c r="KE10" s="286">
        <f>'Data-temp_employment'!KE10-last_qrtr_tempemp!KF10</f>
        <v>-1.1999999999999957</v>
      </c>
      <c r="KF10" s="286">
        <f>'Data-temp_employment'!KF10-last_qrtr_tempemp!KG10</f>
        <v>-6.5</v>
      </c>
      <c r="KG10" s="286">
        <f>'Data-temp_employment'!KG10-last_qrtr_tempemp!KH10</f>
        <v>-11.5</v>
      </c>
      <c r="KH10" s="286">
        <f>'Data-temp_employment'!KH10-last_qrtr_tempemp!KI10</f>
        <v>-8.8999999999999986</v>
      </c>
      <c r="KI10" s="286">
        <f>'Data-temp_employment'!KI10-last_qrtr_tempemp!KJ10</f>
        <v>-10.899999999999999</v>
      </c>
      <c r="KJ10" s="286">
        <f>'Data-temp_employment'!KJ10-last_qrtr_tempemp!KK10</f>
        <v>-10</v>
      </c>
      <c r="KK10" s="286">
        <f>'Data-temp_employment'!KK10-last_qrtr_tempemp!KL10</f>
        <v>-19.600000000000001</v>
      </c>
      <c r="KL10" s="286">
        <f>'Data-temp_employment'!KL10</f>
        <v>37.5</v>
      </c>
      <c r="KM10" s="279" t="s">
        <v>35</v>
      </c>
      <c r="KN10" s="286">
        <f>'Data-temp_employment'!KN10-last_qrtr_tempemp!KO10</f>
        <v>2.2999999999999989</v>
      </c>
      <c r="KO10" s="286">
        <f>'Data-temp_employment'!KO10-last_qrtr_tempemp!KP10</f>
        <v>1.6999999999999993</v>
      </c>
      <c r="KP10" s="286">
        <f>'Data-temp_employment'!KP10-last_qrtr_tempemp!KQ10</f>
        <v>3</v>
      </c>
      <c r="KQ10" s="286">
        <f>'Data-temp_employment'!KQ10-last_qrtr_tempemp!KR10</f>
        <v>0</v>
      </c>
      <c r="KR10" s="286">
        <f>'Data-temp_employment'!KR10-last_qrtr_tempemp!KS10</f>
        <v>-2.4000000000000004</v>
      </c>
      <c r="KS10" s="286">
        <f>'Data-temp_employment'!KS10-last_qrtr_tempemp!KT10</f>
        <v>-4.8999999999999986</v>
      </c>
      <c r="KT10" s="286">
        <f>'Data-temp_employment'!KT10-last_qrtr_tempemp!KU10</f>
        <v>-2.8999999999999986</v>
      </c>
      <c r="KU10" s="286">
        <f>'Data-temp_employment'!KU10-last_qrtr_tempemp!KV10</f>
        <v>0.80000000000000071</v>
      </c>
      <c r="KV10" s="286">
        <f>'Data-temp_employment'!KV10-last_qrtr_tempemp!KW10</f>
        <v>2.3999999999999986</v>
      </c>
      <c r="KW10" s="286">
        <f>'Data-temp_employment'!KW10</f>
        <v>10.5</v>
      </c>
      <c r="KX10" s="279" t="s">
        <v>35</v>
      </c>
      <c r="KY10" s="286">
        <f>'Data-temp_employment'!KY10-last_qrtr_tempemp!KZ10</f>
        <v>5.8000000000000007</v>
      </c>
      <c r="KZ10" s="286">
        <f>'Data-temp_employment'!KZ10-last_qrtr_tempemp!LA10</f>
        <v>-12.899999999999999</v>
      </c>
      <c r="LA10" s="286">
        <f>'Data-temp_employment'!LA10-last_qrtr_tempemp!LB10</f>
        <v>19.200000000000003</v>
      </c>
      <c r="LB10" s="286">
        <f>'Data-temp_employment'!LB10-last_qrtr_tempemp!LC10</f>
        <v>-4.9000000000000021</v>
      </c>
      <c r="LC10" s="286">
        <f>'Data-temp_employment'!LC10-last_qrtr_tempemp!LD10</f>
        <v>12.5</v>
      </c>
      <c r="LD10" s="286">
        <f>'Data-temp_employment'!LD10-last_qrtr_tempemp!LE10</f>
        <v>-8.5</v>
      </c>
      <c r="LE10" s="286">
        <f>'Data-temp_employment'!LE10-last_qrtr_tempemp!LF10</f>
        <v>19.500000000000004</v>
      </c>
      <c r="LF10" s="286">
        <f>'Data-temp_employment'!LF10-last_qrtr_tempemp!LG10</f>
        <v>-7.7999999999999972</v>
      </c>
      <c r="LG10" s="286">
        <f>'Data-temp_employment'!LG10-last_qrtr_tempemp!LH10</f>
        <v>-3.1000000000000014</v>
      </c>
      <c r="LH10" s="286">
        <f>'Data-temp_employment'!LH10</f>
        <v>28</v>
      </c>
      <c r="LI10" s="279" t="s">
        <v>35</v>
      </c>
      <c r="LJ10" s="286">
        <f>'Data-temp_employment'!LJ10-last_qrtr_tempemp!LK10</f>
        <v>-0.19999999999999929</v>
      </c>
      <c r="LK10" s="286">
        <f>'Data-temp_employment'!LK10-last_qrtr_tempemp!LL10</f>
        <v>4.9000000000000004</v>
      </c>
      <c r="LL10" s="286">
        <f>'Data-temp_employment'!LL10-last_qrtr_tempemp!LM10</f>
        <v>0.39999999999999947</v>
      </c>
      <c r="LM10" s="286">
        <f>'Data-temp_employment'!LM10-last_qrtr_tempemp!LN10</f>
        <v>0.89999999999999947</v>
      </c>
      <c r="LN10" s="286">
        <f>'Data-temp_employment'!LN10-last_qrtr_tempemp!LO10</f>
        <v>1.8999999999999995</v>
      </c>
      <c r="LO10" s="286">
        <f>'Data-temp_employment'!LO10-last_qrtr_tempemp!LP10</f>
        <v>0.10000000000000053</v>
      </c>
      <c r="LP10" s="286">
        <f>'Data-temp_employment'!LP10-last_qrtr_tempemp!LQ10</f>
        <v>0.40000000000000036</v>
      </c>
      <c r="LQ10" s="286">
        <f>'Data-temp_employment'!LQ10-last_qrtr_tempemp!LR10</f>
        <v>-1.7999999999999998</v>
      </c>
      <c r="LR10" s="286">
        <f>'Data-temp_employment'!LR10-last_qrtr_tempemp!LS10</f>
        <v>1.6999999999999993</v>
      </c>
      <c r="LS10" s="286">
        <f>'Data-temp_employment'!LS10</f>
        <v>7.3</v>
      </c>
      <c r="LT10" s="279" t="s">
        <v>35</v>
      </c>
      <c r="LU10" s="286">
        <f>'Data-temp_employment'!LU10-last_qrtr_tempemp!LV10</f>
        <v>-1</v>
      </c>
      <c r="LV10" s="286">
        <f>'Data-temp_employment'!LV10-last_qrtr_tempemp!LW10</f>
        <v>0</v>
      </c>
      <c r="LW10" s="286">
        <f>'Data-temp_employment'!LW10-last_qrtr_tempemp!LX10</f>
        <v>2.0999999999999996</v>
      </c>
      <c r="LX10" s="286">
        <f>'Data-temp_employment'!LX10-last_qrtr_tempemp!LY10</f>
        <v>0</v>
      </c>
      <c r="LY10" s="286">
        <f>'Data-temp_employment'!LY10-last_qrtr_tempemp!LZ10</f>
        <v>5</v>
      </c>
      <c r="LZ10" s="286">
        <f>'Data-temp_employment'!LZ10-last_qrtr_tempemp!MA10</f>
        <v>-7.3</v>
      </c>
      <c r="MA10" s="286">
        <f>'Data-temp_employment'!MA10-last_qrtr_tempemp!MB10</f>
        <v>0.90000000000000036</v>
      </c>
      <c r="MB10" s="286">
        <f>'Data-temp_employment'!MB10-last_qrtr_tempemp!MC10</f>
        <v>1.2000000000000002</v>
      </c>
      <c r="MC10" s="286">
        <f>'Data-temp_employment'!MC10-last_qrtr_tempemp!MD10</f>
        <v>5.7</v>
      </c>
      <c r="MD10" s="286">
        <f>'Data-temp_employment'!MD10</f>
        <v>5.5</v>
      </c>
      <c r="ME10" s="279" t="s">
        <v>35</v>
      </c>
      <c r="MF10" s="286">
        <f>'Data-temp_employment'!MF10-last_qrtr_tempemp!MG10</f>
        <v>0.30000000000000071</v>
      </c>
      <c r="MG10" s="286">
        <f>'Data-temp_employment'!MG10-last_qrtr_tempemp!MH10</f>
        <v>1.5</v>
      </c>
      <c r="MH10" s="286">
        <f>'Data-temp_employment'!MH10-last_qrtr_tempemp!MI10</f>
        <v>3</v>
      </c>
      <c r="MI10" s="286">
        <f>'Data-temp_employment'!MI10-last_qrtr_tempemp!MJ10</f>
        <v>2.5999999999999996</v>
      </c>
      <c r="MJ10" s="286">
        <f>'Data-temp_employment'!MJ10-last_qrtr_tempemp!MK10</f>
        <v>-0.5</v>
      </c>
      <c r="MK10" s="286">
        <f>'Data-temp_employment'!MK10-last_qrtr_tempemp!ML10</f>
        <v>0.90000000000000036</v>
      </c>
      <c r="ML10" s="286">
        <f>'Data-temp_employment'!ML10-last_qrtr_tempemp!MM10</f>
        <v>3.6999999999999993</v>
      </c>
      <c r="MM10" s="286">
        <f>'Data-temp_employment'!MM10-last_qrtr_tempemp!MN10</f>
        <v>-0.5</v>
      </c>
      <c r="MN10" s="286">
        <f>'Data-temp_employment'!MN10-last_qrtr_tempemp!MO10</f>
        <v>-4.9000000000000004</v>
      </c>
      <c r="MO10" s="286">
        <f>'Data-temp_employment'!MO10</f>
        <v>10.8</v>
      </c>
      <c r="MP10" s="279" t="s">
        <v>35</v>
      </c>
      <c r="MQ10" s="286">
        <f>'Data-temp_employment'!MQ10-last_qrtr_tempemp!MR10</f>
        <v>-1.6000000000000005</v>
      </c>
      <c r="MR10" s="286">
        <f>'Data-temp_employment'!MR10-last_qrtr_tempemp!MS10</f>
        <v>-1</v>
      </c>
      <c r="MS10" s="286">
        <f>'Data-temp_employment'!MS10-last_qrtr_tempemp!MT10</f>
        <v>4.5</v>
      </c>
      <c r="MT10" s="286">
        <f>'Data-temp_employment'!MT10-last_qrtr_tempemp!MU10</f>
        <v>2</v>
      </c>
      <c r="MU10" s="286">
        <f>'Data-temp_employment'!MU10-last_qrtr_tempemp!MV10</f>
        <v>2.1999999999999993</v>
      </c>
      <c r="MV10" s="286">
        <f>'Data-temp_employment'!MV10-last_qrtr_tempemp!MW10</f>
        <v>1.6999999999999993</v>
      </c>
      <c r="MW10" s="286">
        <f>'Data-temp_employment'!MW10-last_qrtr_tempemp!MX10</f>
        <v>5</v>
      </c>
      <c r="MX10" s="286">
        <f>'Data-temp_employment'!MX10-last_qrtr_tempemp!MY10</f>
        <v>-2.1999999999999993</v>
      </c>
      <c r="MY10" s="286">
        <f>'Data-temp_employment'!MY10-last_qrtr_tempemp!MZ10</f>
        <v>-3.9999999999999991</v>
      </c>
      <c r="MZ10" s="286">
        <f>'Data-temp_employment'!MZ10</f>
        <v>11.7</v>
      </c>
      <c r="NA10" s="279" t="s">
        <v>35</v>
      </c>
      <c r="NB10" s="286">
        <f>'Data-temp_employment'!NB10-last_qrtr_tempemp!NC10</f>
        <v>2.8000000000000007</v>
      </c>
      <c r="NC10" s="286">
        <f>'Data-temp_employment'!NC10-last_qrtr_tempemp!ND10</f>
        <v>0.5</v>
      </c>
      <c r="ND10" s="286">
        <f>'Data-temp_employment'!ND10-last_qrtr_tempemp!NE10</f>
        <v>6.5</v>
      </c>
      <c r="NE10" s="286">
        <f>'Data-temp_employment'!NE10-last_qrtr_tempemp!NF10</f>
        <v>2.8000000000000007</v>
      </c>
      <c r="NF10" s="286">
        <f>'Data-temp_employment'!NF10-last_qrtr_tempemp!NG10</f>
        <v>-4.4000000000000021</v>
      </c>
      <c r="NG10" s="286">
        <f>'Data-temp_employment'!NG10-last_qrtr_tempemp!NH10</f>
        <v>-8.3000000000000007</v>
      </c>
      <c r="NH10" s="286">
        <f>'Data-temp_employment'!NH10-last_qrtr_tempemp!NI10</f>
        <v>-1.5</v>
      </c>
      <c r="NI10" s="286">
        <f>'Data-temp_employment'!NI10-last_qrtr_tempemp!NJ10</f>
        <v>-0.80000000000000071</v>
      </c>
      <c r="NJ10" s="286">
        <f>'Data-temp_employment'!NJ10-last_qrtr_tempemp!NK10</f>
        <v>0.30000000000000071</v>
      </c>
      <c r="NK10" s="286">
        <f>'Data-temp_employment'!NK10</f>
        <v>22.6</v>
      </c>
      <c r="NL10" s="279" t="s">
        <v>35</v>
      </c>
      <c r="NM10" s="286">
        <f>'Data-temp_employment'!NM10-last_qrtr_tempemp!NN10</f>
        <v>-0.39999999999999858</v>
      </c>
      <c r="NN10" s="286">
        <f>'Data-temp_employment'!NN10-last_qrtr_tempemp!NO10</f>
        <v>3</v>
      </c>
      <c r="NO10" s="286">
        <f>'Data-temp_employment'!NO10-last_qrtr_tempemp!NP10</f>
        <v>-7.3999999999999986</v>
      </c>
      <c r="NP10" s="286">
        <f>'Data-temp_employment'!NP10-last_qrtr_tempemp!NQ10</f>
        <v>-4.5</v>
      </c>
      <c r="NQ10" s="286">
        <f>'Data-temp_employment'!NQ10-last_qrtr_tempemp!NR10</f>
        <v>8.8999999999999986</v>
      </c>
      <c r="NR10" s="286">
        <f>'Data-temp_employment'!NR10-last_qrtr_tempemp!NS10</f>
        <v>15.5</v>
      </c>
      <c r="NS10" s="286">
        <f>'Data-temp_employment'!NS10-last_qrtr_tempemp!NT10</f>
        <v>2</v>
      </c>
      <c r="NT10" s="286">
        <f>'Data-temp_employment'!NT10-last_qrtr_tempemp!NU10</f>
        <v>5</v>
      </c>
      <c r="NU10" s="286">
        <f>'Data-temp_employment'!NU10-last_qrtr_tempemp!NV10</f>
        <v>0</v>
      </c>
      <c r="NV10" s="286">
        <f>'Data-temp_employment'!NV10</f>
        <v>60.3</v>
      </c>
      <c r="NW10" s="279" t="s">
        <v>35</v>
      </c>
      <c r="NX10" s="286">
        <f>'Data-temp_employment'!NX10-last_qrtr_tempemp!NY10</f>
        <v>-4.2999999999999972</v>
      </c>
      <c r="NY10" s="286">
        <f>'Data-temp_employment'!NY10-last_qrtr_tempemp!NZ10</f>
        <v>2.7000000000000028</v>
      </c>
      <c r="NZ10" s="286">
        <f>'Data-temp_employment'!NZ10-last_qrtr_tempemp!OA10</f>
        <v>-2.8000000000000043</v>
      </c>
      <c r="OA10" s="286">
        <f>'Data-temp_employment'!OA10-last_qrtr_tempemp!OB10</f>
        <v>5.0999999999999943</v>
      </c>
      <c r="OB10" s="286">
        <f>'Data-temp_employment'!OB10-last_qrtr_tempemp!OC10</f>
        <v>-0.30000000000000426</v>
      </c>
      <c r="OC10" s="286">
        <f>'Data-temp_employment'!OC10-last_qrtr_tempemp!OD10</f>
        <v>1.1000000000000014</v>
      </c>
      <c r="OD10" s="286">
        <f>'Data-temp_employment'!OD10-last_qrtr_tempemp!OE10</f>
        <v>-1.1999999999999957</v>
      </c>
      <c r="OE10" s="286">
        <f>'Data-temp_employment'!OE10-last_qrtr_tempemp!OF10</f>
        <v>-2</v>
      </c>
      <c r="OF10" s="286">
        <f>'Data-temp_employment'!OF10-last_qrtr_tempemp!OG10</f>
        <v>0.10000000000000142</v>
      </c>
      <c r="OG10" s="286">
        <f>'Data-temp_employment'!OG10</f>
        <v>39.200000000000003</v>
      </c>
      <c r="OH10" s="287" t="s">
        <v>35</v>
      </c>
      <c r="OI10" s="286"/>
      <c r="OJ10" s="286"/>
      <c r="OK10" s="286"/>
      <c r="OL10" s="286"/>
      <c r="OM10" s="286"/>
      <c r="ON10" s="286"/>
      <c r="OO10" s="286"/>
      <c r="OP10" s="286"/>
      <c r="OQ10" s="286"/>
      <c r="OR10" s="286"/>
      <c r="OS10" s="279" t="s">
        <v>35</v>
      </c>
      <c r="OT10" s="286" t="e">
        <f>'Data-temp_employment'!#REF!-last_qrtr_tempemp!OU10</f>
        <v>#REF!</v>
      </c>
      <c r="OU10" s="286" t="e">
        <f>'Data-temp_employment'!#REF!-last_qrtr_tempemp!OV10</f>
        <v>#REF!</v>
      </c>
      <c r="OV10" s="286" t="e">
        <f>'Data-temp_employment'!#REF!-last_qrtr_tempemp!OW10</f>
        <v>#REF!</v>
      </c>
      <c r="OW10" s="286" t="e">
        <f>'Data-temp_employment'!#REF!-last_qrtr_tempemp!OX10</f>
        <v>#REF!</v>
      </c>
      <c r="OX10" s="286" t="e">
        <f>'Data-temp_employment'!#REF!-last_qrtr_tempemp!OY10</f>
        <v>#REF!</v>
      </c>
      <c r="OY10" s="286" t="e">
        <f>'Data-temp_employment'!#REF!-last_qrtr_tempemp!OZ10</f>
        <v>#REF!</v>
      </c>
      <c r="OZ10" s="286" t="e">
        <f>'Data-temp_employment'!#REF!-last_qrtr_tempemp!PA10</f>
        <v>#REF!</v>
      </c>
      <c r="PA10" s="286" t="e">
        <f>'Data-temp_employment'!#REF!-last_qrtr_tempemp!PB10</f>
        <v>#REF!</v>
      </c>
      <c r="PB10" s="286" t="e">
        <f>'Data-temp_employment'!#REF!-last_qrtr_tempemp!PC10</f>
        <v>#REF!</v>
      </c>
      <c r="PC10" s="286" t="e">
        <f>'Data-temp_employment'!#REF!-last_qrtr_tempemp!PD10</f>
        <v>#REF!</v>
      </c>
      <c r="PE10" s="319"/>
      <c r="PF10" s="319"/>
      <c r="PG10" s="319"/>
      <c r="PH10" s="319"/>
      <c r="PI10" s="319"/>
      <c r="PJ10" s="319"/>
      <c r="PK10" s="319"/>
      <c r="PL10" s="319"/>
      <c r="PM10" s="319"/>
      <c r="PN10" s="319"/>
      <c r="PO10" s="319"/>
      <c r="PP10" s="319"/>
      <c r="PQ10" s="319"/>
      <c r="PR10" s="319"/>
      <c r="PS10" s="319"/>
      <c r="PT10" s="319"/>
      <c r="PU10" s="319"/>
      <c r="PV10" s="319"/>
      <c r="PW10" s="319"/>
      <c r="PX10" s="319"/>
      <c r="PY10" s="319"/>
      <c r="PZ10" s="319"/>
      <c r="QA10" s="319"/>
      <c r="QB10" s="319"/>
      <c r="QC10" s="319"/>
      <c r="QD10" s="319"/>
      <c r="QE10" s="319"/>
      <c r="QF10" s="319"/>
      <c r="QG10" s="319"/>
      <c r="QH10" s="319"/>
      <c r="QI10" s="319"/>
      <c r="QJ10" s="319"/>
      <c r="QK10" s="319"/>
      <c r="QL10" s="319"/>
      <c r="QM10" s="319"/>
      <c r="QN10" s="319"/>
      <c r="QO10" s="319"/>
      <c r="QP10" s="319"/>
      <c r="QQ10" s="319"/>
      <c r="QR10" s="319"/>
      <c r="QS10" s="319"/>
      <c r="QT10" s="319"/>
      <c r="QU10" s="319"/>
      <c r="QV10" s="319"/>
      <c r="QW10" s="319"/>
      <c r="QX10" s="319"/>
      <c r="QY10" s="319"/>
      <c r="QZ10" s="319"/>
      <c r="RA10" s="319"/>
      <c r="RB10" s="319"/>
      <c r="RC10" s="319"/>
      <c r="RD10" s="319"/>
      <c r="RE10" s="319"/>
      <c r="RF10" s="319"/>
      <c r="RG10" s="319"/>
      <c r="RH10" s="319"/>
      <c r="RI10" s="319"/>
      <c r="RJ10" s="319"/>
      <c r="RK10" s="319"/>
      <c r="RL10" s="319"/>
      <c r="RM10" s="319"/>
      <c r="RN10" s="319"/>
      <c r="RO10" s="319"/>
      <c r="RP10" s="319"/>
    </row>
    <row r="11" spans="1:484">
      <c r="A11" s="272">
        <v>8</v>
      </c>
      <c r="B11" s="285" t="s">
        <v>17</v>
      </c>
      <c r="C11" s="286">
        <f>'Data-temp_employment'!C11-last_qrtr_tempemp!D11</f>
        <v>0</v>
      </c>
      <c r="D11" s="286">
        <f>'Data-temp_employment'!D11-last_qrtr_tempemp!E11</f>
        <v>0.19999999999999929</v>
      </c>
      <c r="E11" s="286">
        <f>'Data-temp_employment'!E11-last_qrtr_tempemp!F11</f>
        <v>0.20000000000000107</v>
      </c>
      <c r="F11" s="286">
        <f>'Data-temp_employment'!F11-last_qrtr_tempemp!G11</f>
        <v>0.69999999999999929</v>
      </c>
      <c r="G11" s="286">
        <f>'Data-temp_employment'!G11-last_qrtr_tempemp!H11</f>
        <v>0.10000000000000142</v>
      </c>
      <c r="H11" s="286">
        <f>'Data-temp_employment'!H11-last_qrtr_tempemp!I11</f>
        <v>0.79999999999999893</v>
      </c>
      <c r="I11" s="286">
        <f>'Data-temp_employment'!I11-last_qrtr_tempemp!J11</f>
        <v>2.2000000000000011</v>
      </c>
      <c r="J11" s="286">
        <f>'Data-temp_employment'!J11-last_qrtr_tempemp!K11</f>
        <v>1.3999999999999986</v>
      </c>
      <c r="K11" s="286">
        <f>'Data-temp_employment'!K11-last_qrtr_tempemp!L11</f>
        <v>0.40000000000000036</v>
      </c>
      <c r="L11" s="286">
        <f>'Data-temp_employment'!L11</f>
        <v>10.4</v>
      </c>
      <c r="M11" s="285" t="s">
        <v>17</v>
      </c>
      <c r="N11" s="286">
        <f>'Data-temp_employment'!N11-last_qrtr_tempemp!O11</f>
        <v>1.5</v>
      </c>
      <c r="O11" s="286">
        <f>'Data-temp_employment'!O11-last_qrtr_tempemp!P11</f>
        <v>6.1000000000000227</v>
      </c>
      <c r="P11" s="286">
        <f>'Data-temp_employment'!P11-last_qrtr_tempemp!Q11</f>
        <v>8.5</v>
      </c>
      <c r="Q11" s="286">
        <f>'Data-temp_employment'!Q11-last_qrtr_tempemp!R11</f>
        <v>40.800000000000011</v>
      </c>
      <c r="R11" s="286">
        <f>'Data-temp_employment'!R11-last_qrtr_tempemp!S11</f>
        <v>5.8999999999999773</v>
      </c>
      <c r="S11" s="286">
        <f>'Data-temp_employment'!S11-last_qrtr_tempemp!T11</f>
        <v>38.600000000000023</v>
      </c>
      <c r="T11" s="286">
        <f>'Data-temp_employment'!T11-last_qrtr_tempemp!U11</f>
        <v>83.800000000000011</v>
      </c>
      <c r="U11" s="286">
        <f>'Data-temp_employment'!U11-last_qrtr_tempemp!V11</f>
        <v>70.300000000000011</v>
      </c>
      <c r="V11" s="286">
        <f>'Data-temp_employment'!V11-last_qrtr_tempemp!W11</f>
        <v>23.699999999999989</v>
      </c>
      <c r="W11" s="286">
        <f>'Data-temp_employment'!W11</f>
        <v>418.5</v>
      </c>
      <c r="X11" s="285" t="s">
        <v>17</v>
      </c>
      <c r="Y11" s="286">
        <f>'Data-temp_employment'!Y11-last_qrtr_tempemp!Z11</f>
        <v>20.5</v>
      </c>
      <c r="Z11" s="286">
        <f>'Data-temp_employment'!Z11-last_qrtr_tempemp!AA11</f>
        <v>7.4000000000000057</v>
      </c>
      <c r="AA11" s="286">
        <f>'Data-temp_employment'!AA11-last_qrtr_tempemp!AB11</f>
        <v>14.099999999999994</v>
      </c>
      <c r="AB11" s="286">
        <f>'Data-temp_employment'!AB11-last_qrtr_tempemp!AC11</f>
        <v>-3.5999999999999943</v>
      </c>
      <c r="AC11" s="286">
        <f>'Data-temp_employment'!AC11-last_qrtr_tempemp!AD11</f>
        <v>-12.400000000000006</v>
      </c>
      <c r="AD11" s="286">
        <f>'Data-temp_employment'!AD11-last_qrtr_tempemp!AE11</f>
        <v>-12.700000000000003</v>
      </c>
      <c r="AE11" s="286">
        <f>'Data-temp_employment'!AE11-last_qrtr_tempemp!AF11</f>
        <v>40.400000000000006</v>
      </c>
      <c r="AF11" s="286">
        <f>'Data-temp_employment'!AF11-last_qrtr_tempemp!AG11</f>
        <v>12.700000000000003</v>
      </c>
      <c r="AG11" s="286">
        <f>'Data-temp_employment'!AG11-last_qrtr_tempemp!AH11</f>
        <v>16</v>
      </c>
      <c r="AH11" s="286">
        <f>'Data-temp_employment'!AH11</f>
        <v>101.2</v>
      </c>
      <c r="AI11" s="279" t="s">
        <v>17</v>
      </c>
      <c r="AJ11" s="286">
        <f>'Data-temp_employment'!AJ11-last_qrtr_tempemp!AK11</f>
        <v>-7.3999999999999986</v>
      </c>
      <c r="AK11" s="286">
        <f>'Data-temp_employment'!AK11-last_qrtr_tempemp!AL11</f>
        <v>-10.699999999999996</v>
      </c>
      <c r="AL11" s="286">
        <f>'Data-temp_employment'!AL11-last_qrtr_tempemp!AM11</f>
        <v>6.6000000000000014</v>
      </c>
      <c r="AM11" s="286">
        <f>'Data-temp_employment'!AM11-last_qrtr_tempemp!AN11</f>
        <v>15.600000000000001</v>
      </c>
      <c r="AN11" s="286">
        <f>'Data-temp_employment'!AN11-last_qrtr_tempemp!AO11</f>
        <v>8.2999999999999972</v>
      </c>
      <c r="AO11" s="286">
        <f>'Data-temp_employment'!AO11-last_qrtr_tempemp!AP11</f>
        <v>-1.3000000000000043</v>
      </c>
      <c r="AP11" s="286">
        <f>'Data-temp_employment'!AP11-last_qrtr_tempemp!AQ11</f>
        <v>23.299999999999997</v>
      </c>
      <c r="AQ11" s="286">
        <f>'Data-temp_employment'!AQ11-last_qrtr_tempemp!AR11</f>
        <v>14.700000000000003</v>
      </c>
      <c r="AR11" s="286">
        <f>'Data-temp_employment'!AR11-last_qrtr_tempemp!AS11</f>
        <v>4.9000000000000057</v>
      </c>
      <c r="AS11" s="286">
        <f>'Data-temp_employment'!AS11</f>
        <v>55</v>
      </c>
      <c r="AT11" s="279" t="s">
        <v>17</v>
      </c>
      <c r="AU11" s="286">
        <f>'Data-temp_employment'!AU11-last_qrtr_tempemp!AV11</f>
        <v>-10.800000000000004</v>
      </c>
      <c r="AV11" s="286">
        <f>'Data-temp_employment'!AV11-last_qrtr_tempemp!AW11</f>
        <v>6.7000000000000028</v>
      </c>
      <c r="AW11" s="286">
        <f>'Data-temp_employment'!AW11-last_qrtr_tempemp!AX11</f>
        <v>4.7000000000000028</v>
      </c>
      <c r="AX11" s="286">
        <f>'Data-temp_employment'!AX11-last_qrtr_tempemp!AY11</f>
        <v>16.700000000000003</v>
      </c>
      <c r="AY11" s="286">
        <f>'Data-temp_employment'!AY11-last_qrtr_tempemp!AZ11</f>
        <v>-9.7999999999999972</v>
      </c>
      <c r="AZ11" s="286">
        <f>'Data-temp_employment'!AZ11-last_qrtr_tempemp!BA11</f>
        <v>11.200000000000003</v>
      </c>
      <c r="BA11" s="286">
        <f>'Data-temp_employment'!BA11-last_qrtr_tempemp!BB11</f>
        <v>5.7000000000000028</v>
      </c>
      <c r="BB11" s="286">
        <f>'Data-temp_employment'!BB11-last_qrtr_tempemp!BC11</f>
        <v>9.7999999999999972</v>
      </c>
      <c r="BC11" s="286">
        <f>'Data-temp_employment'!BC11-last_qrtr_tempemp!BD11</f>
        <v>-3.3000000000000043</v>
      </c>
      <c r="BD11" s="286">
        <f>'Data-temp_employment'!BD11</f>
        <v>71</v>
      </c>
      <c r="BE11" s="279" t="s">
        <v>17</v>
      </c>
      <c r="BF11" s="286">
        <f>'Data-temp_employment'!BF11-last_qrtr_tempemp!BG11</f>
        <v>2.4000000000000057</v>
      </c>
      <c r="BG11" s="286">
        <f>'Data-temp_employment'!BG11-last_qrtr_tempemp!BH11</f>
        <v>4.9000000000000057</v>
      </c>
      <c r="BH11" s="286">
        <f>'Data-temp_employment'!BH11-last_qrtr_tempemp!BI11</f>
        <v>-15</v>
      </c>
      <c r="BI11" s="286">
        <f>'Data-temp_employment'!BI11-last_qrtr_tempemp!BJ11</f>
        <v>4.8999999999999915</v>
      </c>
      <c r="BJ11" s="286">
        <f>'Data-temp_employment'!BJ11-last_qrtr_tempemp!BK11</f>
        <v>5.5999999999999943</v>
      </c>
      <c r="BK11" s="286">
        <f>'Data-temp_employment'!BK11-last_qrtr_tempemp!BL11</f>
        <v>22.300000000000011</v>
      </c>
      <c r="BL11" s="286">
        <f>'Data-temp_employment'!BL11-last_qrtr_tempemp!BM11</f>
        <v>7.5</v>
      </c>
      <c r="BM11" s="286">
        <f>'Data-temp_employment'!BM11-last_qrtr_tempemp!BN11</f>
        <v>26.099999999999994</v>
      </c>
      <c r="BN11" s="286">
        <f>'Data-temp_employment'!BN11-last_qrtr_tempemp!BO11</f>
        <v>4.1999999999999886</v>
      </c>
      <c r="BO11" s="286">
        <f>'Data-temp_employment'!BO11</f>
        <v>122.4</v>
      </c>
      <c r="BP11" s="282" t="s">
        <v>17</v>
      </c>
      <c r="BQ11" s="286">
        <f>'Data-temp_employment'!BQ11-last_qrtr_tempemp!BR11</f>
        <v>1.0999999999999979</v>
      </c>
      <c r="BR11" s="286">
        <f>'Data-temp_employment'!BR11-last_qrtr_tempemp!BS11</f>
        <v>-2.8000000000000007</v>
      </c>
      <c r="BS11" s="286">
        <f>'Data-temp_employment'!BS11-last_qrtr_tempemp!BT11</f>
        <v>-1</v>
      </c>
      <c r="BT11" s="286">
        <f>'Data-temp_employment'!BT11-last_qrtr_tempemp!BU11</f>
        <v>-4.2999999999999972</v>
      </c>
      <c r="BU11" s="286">
        <f>'Data-temp_employment'!BU11-last_qrtr_tempemp!BV11</f>
        <v>7.6000000000000014</v>
      </c>
      <c r="BV11" s="286">
        <f>'Data-temp_employment'!BV11-last_qrtr_tempemp!BW11</f>
        <v>5.1000000000000014</v>
      </c>
      <c r="BW11" s="286">
        <f>'Data-temp_employment'!BW11-last_qrtr_tempemp!BX11</f>
        <v>3.1999999999999993</v>
      </c>
      <c r="BX11" s="286">
        <f>'Data-temp_employment'!BX11-last_qrtr_tempemp!BY11</f>
        <v>2.9999999999999964</v>
      </c>
      <c r="BY11" s="286">
        <f>'Data-temp_employment'!BY11-last_qrtr_tempemp!BZ11</f>
        <v>8.0999999999999979</v>
      </c>
      <c r="BZ11" s="286">
        <f>'Data-temp_employment'!BZ11</f>
        <v>27.1</v>
      </c>
      <c r="CA11" s="282" t="s">
        <v>17</v>
      </c>
      <c r="CB11" s="286">
        <f>'Data-temp_employment'!CB11-last_qrtr_tempemp!CC11</f>
        <v>-4.5</v>
      </c>
      <c r="CC11" s="286">
        <f>'Data-temp_employment'!CC11-last_qrtr_tempemp!CD11</f>
        <v>0.79999999999999716</v>
      </c>
      <c r="CD11" s="286">
        <f>'Data-temp_employment'!CD11-last_qrtr_tempemp!CE11</f>
        <v>-0.99999999999999645</v>
      </c>
      <c r="CE11" s="286">
        <f>'Data-temp_employment'!CE11-last_qrtr_tempemp!CF11</f>
        <v>11.600000000000001</v>
      </c>
      <c r="CF11" s="286">
        <f>'Data-temp_employment'!CF11-last_qrtr_tempemp!CG11</f>
        <v>6.5</v>
      </c>
      <c r="CG11" s="286">
        <f>'Data-temp_employment'!CG11-last_qrtr_tempemp!CH11</f>
        <v>13.799999999999994</v>
      </c>
      <c r="CH11" s="286">
        <f>'Data-temp_employment'!CH11-last_qrtr_tempemp!CI11</f>
        <v>3.7999999999999972</v>
      </c>
      <c r="CI11" s="286">
        <f>'Data-temp_employment'!CI11-last_qrtr_tempemp!CJ11</f>
        <v>4.1000000000000014</v>
      </c>
      <c r="CJ11" s="286">
        <f>'Data-temp_employment'!CJ11-last_qrtr_tempemp!CK11</f>
        <v>-5.9999999999999929</v>
      </c>
      <c r="CK11" s="286">
        <f>'Data-temp_employment'!CK11</f>
        <v>41.8</v>
      </c>
      <c r="CL11" s="285" t="s">
        <v>17</v>
      </c>
      <c r="CM11" s="286">
        <f>'Data-temp_employment'!CM11-last_qrtr_tempemp!CN11</f>
        <v>4.2000000000000028</v>
      </c>
      <c r="CN11" s="286">
        <f>'Data-temp_employment'!CN11-last_qrtr_tempemp!CO11</f>
        <v>3.9000000000000057</v>
      </c>
      <c r="CO11" s="286">
        <f>'Data-temp_employment'!CO11-last_qrtr_tempemp!CP11</f>
        <v>-1</v>
      </c>
      <c r="CP11" s="286">
        <f>'Data-temp_employment'!CP11-last_qrtr_tempemp!CQ11</f>
        <v>1.7999999999999972</v>
      </c>
      <c r="CQ11" s="286">
        <f>'Data-temp_employment'!CQ11-last_qrtr_tempemp!CR11</f>
        <v>-9.5</v>
      </c>
      <c r="CR11" s="286">
        <f>'Data-temp_employment'!CR11-last_qrtr_tempemp!CS11</f>
        <v>14.900000000000006</v>
      </c>
      <c r="CS11" s="286">
        <f>'Data-temp_employment'!CS11-last_qrtr_tempemp!CT11</f>
        <v>31.700000000000003</v>
      </c>
      <c r="CT11" s="286">
        <f>'Data-temp_employment'!CT11-last_qrtr_tempemp!CU11</f>
        <v>17</v>
      </c>
      <c r="CU11" s="286">
        <f>'Data-temp_employment'!CU11-last_qrtr_tempemp!CV11</f>
        <v>2.0999999999999943</v>
      </c>
      <c r="CV11" s="286">
        <f>'Data-temp_employment'!CV11</f>
        <v>106.3</v>
      </c>
      <c r="CW11" s="285" t="s">
        <v>17</v>
      </c>
      <c r="CX11" s="286">
        <f>'Data-temp_employment'!CX11-last_qrtr_tempemp!CY11</f>
        <v>-11.900000000000006</v>
      </c>
      <c r="CY11" s="286">
        <f>'Data-temp_employment'!CY11-last_qrtr_tempemp!CZ11</f>
        <v>5.5</v>
      </c>
      <c r="CZ11" s="286">
        <f>'Data-temp_employment'!CZ11-last_qrtr_tempemp!DA11</f>
        <v>15.399999999999991</v>
      </c>
      <c r="DA11" s="286">
        <f>'Data-temp_employment'!DA11-last_qrtr_tempemp!DB11</f>
        <v>23.800000000000011</v>
      </c>
      <c r="DB11" s="286">
        <f>'Data-temp_employment'!DB11-last_qrtr_tempemp!DC11</f>
        <v>-6.4000000000000057</v>
      </c>
      <c r="DC11" s="286">
        <f>'Data-temp_employment'!DC11-last_qrtr_tempemp!DD11</f>
        <v>-0.39999999999997726</v>
      </c>
      <c r="DD11" s="286">
        <f>'Data-temp_employment'!DD11-last_qrtr_tempemp!DE11</f>
        <v>21.199999999999989</v>
      </c>
      <c r="DE11" s="286">
        <f>'Data-temp_employment'!DE11-last_qrtr_tempemp!DF11</f>
        <v>24.199999999999989</v>
      </c>
      <c r="DF11" s="286">
        <f>'Data-temp_employment'!DF11-last_qrtr_tempemp!DG11</f>
        <v>8.2999999999999829</v>
      </c>
      <c r="DG11" s="286">
        <f>'Data-temp_employment'!DG11</f>
        <v>141.6</v>
      </c>
      <c r="DH11" s="285" t="s">
        <v>17</v>
      </c>
      <c r="DI11" s="286">
        <f>'Data-temp_employment'!DI11-last_qrtr_tempemp!DJ11</f>
        <v>9.2000000000000028</v>
      </c>
      <c r="DJ11" s="286">
        <f>'Data-temp_employment'!DJ11-last_qrtr_tempemp!DK11</f>
        <v>-3.0999999999999943</v>
      </c>
      <c r="DK11" s="286">
        <f>'Data-temp_employment'!DK11-last_qrtr_tempemp!DL11</f>
        <v>-5.7999999999999972</v>
      </c>
      <c r="DL11" s="286">
        <f>'Data-temp_employment'!DL11-last_qrtr_tempemp!DM11</f>
        <v>15.299999999999983</v>
      </c>
      <c r="DM11" s="286">
        <f>'Data-temp_employment'!DM11-last_qrtr_tempemp!DN11</f>
        <v>21.700000000000017</v>
      </c>
      <c r="DN11" s="286">
        <f>'Data-temp_employment'!DN11-last_qrtr_tempemp!DO11</f>
        <v>23.999999999999986</v>
      </c>
      <c r="DO11" s="286">
        <f>'Data-temp_employment'!DO11-last_qrtr_tempemp!DP11</f>
        <v>30.900000000000006</v>
      </c>
      <c r="DP11" s="286">
        <f>'Data-temp_employment'!DP11-last_qrtr_tempemp!DQ11</f>
        <v>29.199999999999989</v>
      </c>
      <c r="DQ11" s="286">
        <f>'Data-temp_employment'!DQ11-last_qrtr_tempemp!DR11</f>
        <v>13.400000000000006</v>
      </c>
      <c r="DR11" s="286">
        <f>'Data-temp_employment'!DR11</f>
        <v>170.6</v>
      </c>
      <c r="DS11" s="285" t="s">
        <v>17</v>
      </c>
      <c r="DT11" s="286">
        <f>'Data-temp_employment'!DT11-last_qrtr_tempemp!DU11</f>
        <v>0</v>
      </c>
      <c r="DU11" s="286">
        <f>'Data-temp_employment'!DU11-last_qrtr_tempemp!DV11</f>
        <v>0</v>
      </c>
      <c r="DV11" s="286">
        <f>'Data-temp_employment'!DV11-last_qrtr_tempemp!DW11</f>
        <v>0</v>
      </c>
      <c r="DW11" s="286">
        <f>'Data-temp_employment'!DW11-last_qrtr_tempemp!DX11</f>
        <v>0</v>
      </c>
      <c r="DX11" s="286">
        <f>'Data-temp_employment'!DX11-last_qrtr_tempemp!DY11</f>
        <v>0</v>
      </c>
      <c r="DY11" s="286">
        <f>'Data-temp_employment'!DY11-last_qrtr_tempemp!DZ11</f>
        <v>0</v>
      </c>
      <c r="DZ11" s="286">
        <f>'Data-temp_employment'!DZ11-last_qrtr_tempemp!EA11</f>
        <v>0</v>
      </c>
      <c r="EA11" s="286">
        <f>'Data-temp_employment'!EA11-last_qrtr_tempemp!EB11</f>
        <v>0</v>
      </c>
      <c r="EB11" s="286">
        <f>'Data-temp_employment'!EB11-last_qrtr_tempemp!EC11</f>
        <v>0</v>
      </c>
      <c r="EC11" s="286">
        <f>'Data-temp_employment'!EC11</f>
        <v>0</v>
      </c>
      <c r="ED11" s="279" t="s">
        <v>17</v>
      </c>
      <c r="EE11" s="286">
        <f>'Data-temp_employment'!EE11-last_qrtr_tempemp!EF11</f>
        <v>3.7</v>
      </c>
      <c r="EF11" s="286">
        <f>'Data-temp_employment'!EF11-last_qrtr_tempemp!EG11</f>
        <v>0.89999999999999947</v>
      </c>
      <c r="EG11" s="286">
        <f>'Data-temp_employment'!EG11-last_qrtr_tempemp!EH11</f>
        <v>-6.9</v>
      </c>
      <c r="EH11" s="286">
        <f>'Data-temp_employment'!EH11-last_qrtr_tempemp!EI11</f>
        <v>0.70000000000000018</v>
      </c>
      <c r="EI11" s="286">
        <f>'Data-temp_employment'!EI11-last_qrtr_tempemp!EJ11</f>
        <v>2.0999999999999996</v>
      </c>
      <c r="EJ11" s="286">
        <f>'Data-temp_employment'!EJ11-last_qrtr_tempemp!EK11</f>
        <v>-0.70000000000000018</v>
      </c>
      <c r="EK11" s="286">
        <f>'Data-temp_employment'!EK11-last_qrtr_tempemp!EL11</f>
        <v>3.8999999999999995</v>
      </c>
      <c r="EL11" s="286">
        <f>'Data-temp_employment'!EL11-last_qrtr_tempemp!EM11</f>
        <v>1.3000000000000007</v>
      </c>
      <c r="EM11" s="286">
        <f>'Data-temp_employment'!EM11-last_qrtr_tempemp!EN11</f>
        <v>1.2999999999999998</v>
      </c>
      <c r="EN11" s="286">
        <f>'Data-temp_employment'!EN11</f>
        <v>5.0999999999999996</v>
      </c>
      <c r="EO11" s="279" t="s">
        <v>17</v>
      </c>
      <c r="EP11" s="286">
        <f>'Data-temp_employment'!EP11-last_qrtr_tempemp!EQ11</f>
        <v>1.5</v>
      </c>
      <c r="EQ11" s="286">
        <f>'Data-temp_employment'!EQ11-last_qrtr_tempemp!ER11</f>
        <v>2.8999999999999915</v>
      </c>
      <c r="ER11" s="286">
        <f>'Data-temp_employment'!ER11-last_qrtr_tempemp!ES11</f>
        <v>-12.799999999999997</v>
      </c>
      <c r="ES11" s="286">
        <f>'Data-temp_employment'!ES11-last_qrtr_tempemp!ET11</f>
        <v>11.700000000000003</v>
      </c>
      <c r="ET11" s="286">
        <f>'Data-temp_employment'!ET11-last_qrtr_tempemp!EU11</f>
        <v>11.100000000000009</v>
      </c>
      <c r="EU11" s="286">
        <f>'Data-temp_employment'!EU11-last_qrtr_tempemp!EV11</f>
        <v>16.600000000000009</v>
      </c>
      <c r="EV11" s="286">
        <f>'Data-temp_employment'!EV11-last_qrtr_tempemp!EW11</f>
        <v>2</v>
      </c>
      <c r="EW11" s="286">
        <f>'Data-temp_employment'!EW11-last_qrtr_tempemp!EX11</f>
        <v>21.799999999999997</v>
      </c>
      <c r="EX11" s="286">
        <f>'Data-temp_employment'!EX11-last_qrtr_tempemp!EY11</f>
        <v>11.699999999999989</v>
      </c>
      <c r="EY11" s="286">
        <f>'Data-temp_employment'!EY11</f>
        <v>110.6</v>
      </c>
      <c r="EZ11" s="279" t="s">
        <v>17</v>
      </c>
      <c r="FA11" s="286">
        <f>'Data-temp_employment'!FA11-last_qrtr_tempemp!FB11</f>
        <v>1.8000000000000007</v>
      </c>
      <c r="FB11" s="286">
        <f>'Data-temp_employment'!FB11-last_qrtr_tempemp!FC11</f>
        <v>-6.6999999999999993</v>
      </c>
      <c r="FC11" s="286">
        <f>'Data-temp_employment'!FC11-last_qrtr_tempemp!FD11</f>
        <v>-7.9999999999999964</v>
      </c>
      <c r="FD11" s="286">
        <f>'Data-temp_employment'!FD11-last_qrtr_tempemp!FE11</f>
        <v>7</v>
      </c>
      <c r="FE11" s="286">
        <f>'Data-temp_employment'!FE11-last_qrtr_tempemp!FF11</f>
        <v>8.8000000000000007</v>
      </c>
      <c r="FF11" s="286">
        <f>'Data-temp_employment'!FF11-last_qrtr_tempemp!FG11</f>
        <v>2.9999999999999964</v>
      </c>
      <c r="FG11" s="286">
        <f>'Data-temp_employment'!FG11-last_qrtr_tempemp!FH11</f>
        <v>14.5</v>
      </c>
      <c r="FH11" s="286">
        <f>'Data-temp_employment'!FH11-last_qrtr_tempemp!FI11</f>
        <v>-2.8000000000000007</v>
      </c>
      <c r="FI11" s="286">
        <f>'Data-temp_employment'!FI11-last_qrtr_tempemp!FJ11</f>
        <v>-7.3999999999999986</v>
      </c>
      <c r="FJ11" s="286">
        <f>'Data-temp_employment'!FJ11</f>
        <v>31.3</v>
      </c>
      <c r="FK11" s="279" t="s">
        <v>17</v>
      </c>
      <c r="FL11" s="286">
        <f>'Data-temp_employment'!FL11-last_qrtr_tempemp!FM11</f>
        <v>-1.5999999999999979</v>
      </c>
      <c r="FM11" s="286">
        <f>'Data-temp_employment'!FM11-last_qrtr_tempemp!FN11</f>
        <v>0.19999999999999929</v>
      </c>
      <c r="FN11" s="286">
        <f>'Data-temp_employment'!FN11-last_qrtr_tempemp!FO11</f>
        <v>13.399999999999999</v>
      </c>
      <c r="FO11" s="286">
        <f>'Data-temp_employment'!FO11-last_qrtr_tempemp!FP11</f>
        <v>1.0000000000000036</v>
      </c>
      <c r="FP11" s="286">
        <f>'Data-temp_employment'!FP11-last_qrtr_tempemp!FQ11</f>
        <v>3.7999999999999972</v>
      </c>
      <c r="FQ11" s="286">
        <f>'Data-temp_employment'!FQ11-last_qrtr_tempemp!FR11</f>
        <v>3.2000000000000028</v>
      </c>
      <c r="FR11" s="286">
        <f>'Data-temp_employment'!FR11-last_qrtr_tempemp!FS11</f>
        <v>11.5</v>
      </c>
      <c r="FS11" s="286">
        <f>'Data-temp_employment'!FS11-last_qrtr_tempemp!FT11</f>
        <v>12.700000000000003</v>
      </c>
      <c r="FT11" s="286">
        <f>'Data-temp_employment'!FT11-last_qrtr_tempemp!FU11</f>
        <v>11.399999999999999</v>
      </c>
      <c r="FU11" s="286">
        <f>'Data-temp_employment'!FU11</f>
        <v>40.6</v>
      </c>
      <c r="FV11" s="279" t="s">
        <v>17</v>
      </c>
      <c r="FW11" s="286">
        <f>'Data-temp_employment'!FW11-last_qrtr_tempemp!FX11</f>
        <v>1.5999999999999943</v>
      </c>
      <c r="FX11" s="286">
        <f>'Data-temp_employment'!FX11-last_qrtr_tempemp!FY11</f>
        <v>12.400000000000006</v>
      </c>
      <c r="FY11" s="286">
        <f>'Data-temp_employment'!FY11-last_qrtr_tempemp!FZ11</f>
        <v>7.0999999999999943</v>
      </c>
      <c r="FZ11" s="286">
        <f>'Data-temp_employment'!FZ11-last_qrtr_tempemp!GA11</f>
        <v>-1.5</v>
      </c>
      <c r="GA11" s="286">
        <f>'Data-temp_employment'!GA11-last_qrtr_tempemp!GB11</f>
        <v>-8.5</v>
      </c>
      <c r="GB11" s="286">
        <f>'Data-temp_employment'!GB11-last_qrtr_tempemp!GC11</f>
        <v>8</v>
      </c>
      <c r="GC11" s="286">
        <f>'Data-temp_employment'!GC11-last_qrtr_tempemp!GD11</f>
        <v>23.100000000000009</v>
      </c>
      <c r="GD11" s="286">
        <f>'Data-temp_employment'!GD11-last_qrtr_tempemp!GE11</f>
        <v>22.200000000000003</v>
      </c>
      <c r="GE11" s="286">
        <f>'Data-temp_employment'!GE11-last_qrtr_tempemp!GF11</f>
        <v>8.2999999999999972</v>
      </c>
      <c r="GF11" s="286">
        <f>'Data-temp_employment'!GF11</f>
        <v>86.1</v>
      </c>
      <c r="GG11" s="279" t="s">
        <v>17</v>
      </c>
      <c r="GH11" s="286">
        <f>'Data-temp_employment'!GH11-last_qrtr_tempemp!GI11</f>
        <v>-7.6</v>
      </c>
      <c r="GI11" s="286">
        <f>'Data-temp_employment'!GI11-last_qrtr_tempemp!GJ11</f>
        <v>-7.4</v>
      </c>
      <c r="GJ11" s="286">
        <f>'Data-temp_employment'!GJ11-last_qrtr_tempemp!GK11</f>
        <v>0</v>
      </c>
      <c r="GK11" s="286">
        <f>'Data-temp_employment'!GK11-last_qrtr_tempemp!GL11</f>
        <v>0</v>
      </c>
      <c r="GL11" s="286">
        <f>'Data-temp_employment'!GL11-last_qrtr_tempemp!GM11</f>
        <v>-4.2</v>
      </c>
      <c r="GM11" s="286">
        <f>'Data-temp_employment'!GM11-last_qrtr_tempemp!GN11</f>
        <v>-7</v>
      </c>
      <c r="GN11" s="286">
        <f>'Data-temp_employment'!GN11-last_qrtr_tempemp!GO11</f>
        <v>0</v>
      </c>
      <c r="GO11" s="286">
        <f>'Data-temp_employment'!GO11-last_qrtr_tempemp!GP11</f>
        <v>0</v>
      </c>
      <c r="GP11" s="286">
        <f>'Data-temp_employment'!GP11-last_qrtr_tempemp!GQ11</f>
        <v>-4.8</v>
      </c>
      <c r="GQ11" s="286">
        <f>'Data-temp_employment'!GQ11</f>
        <v>0</v>
      </c>
      <c r="GR11" s="279" t="s">
        <v>17</v>
      </c>
      <c r="GS11" s="286">
        <f>'Data-temp_employment'!GS11-last_qrtr_tempemp!GT11</f>
        <v>-4.6000000000000014</v>
      </c>
      <c r="GT11" s="286">
        <f>'Data-temp_employment'!GT11-last_qrtr_tempemp!GU11</f>
        <v>-4.2000000000000028</v>
      </c>
      <c r="GU11" s="286">
        <f>'Data-temp_employment'!GU11-last_qrtr_tempemp!GV11</f>
        <v>4.3999999999999986</v>
      </c>
      <c r="GV11" s="286">
        <f>'Data-temp_employment'!GV11-last_qrtr_tempemp!GW11</f>
        <v>12.300000000000004</v>
      </c>
      <c r="GW11" s="286">
        <f>'Data-temp_employment'!GW11-last_qrtr_tempemp!GX11</f>
        <v>2.3999999999999986</v>
      </c>
      <c r="GX11" s="286">
        <f>'Data-temp_employment'!GX11-last_qrtr_tempemp!GY11</f>
        <v>1.5</v>
      </c>
      <c r="GY11" s="286">
        <f>'Data-temp_employment'!GY11-last_qrtr_tempemp!GZ11</f>
        <v>7.2999999999999972</v>
      </c>
      <c r="GZ11" s="286">
        <f>'Data-temp_employment'!GZ11-last_qrtr_tempemp!HA11</f>
        <v>7</v>
      </c>
      <c r="HA11" s="286">
        <f>'Data-temp_employment'!HA11-last_qrtr_tempemp!HB11</f>
        <v>0.5</v>
      </c>
      <c r="HB11" s="286">
        <f>'Data-temp_employment'!HB11</f>
        <v>34.6</v>
      </c>
      <c r="HC11" s="279" t="s">
        <v>17</v>
      </c>
      <c r="HD11" s="286">
        <f>'Data-temp_employment'!HD11-last_qrtr_tempemp!HE11</f>
        <v>1.3000000000000007</v>
      </c>
      <c r="HE11" s="286">
        <f>'Data-temp_employment'!HE11-last_qrtr_tempemp!HF11</f>
        <v>8.1000000000000014</v>
      </c>
      <c r="HF11" s="286">
        <f>'Data-temp_employment'!HF11-last_qrtr_tempemp!HG11</f>
        <v>0</v>
      </c>
      <c r="HG11" s="286">
        <f>'Data-temp_employment'!HG11-last_qrtr_tempemp!HH11</f>
        <v>6.5999999999999979</v>
      </c>
      <c r="HH11" s="286">
        <f>'Data-temp_employment'!HH11-last_qrtr_tempemp!HI11</f>
        <v>-4.2000000000000028</v>
      </c>
      <c r="HI11" s="286">
        <f>'Data-temp_employment'!HI11-last_qrtr_tempemp!HJ11</f>
        <v>2.3000000000000007</v>
      </c>
      <c r="HJ11" s="286">
        <f>'Data-temp_employment'!HJ11-last_qrtr_tempemp!HK11</f>
        <v>-1.2999999999999972</v>
      </c>
      <c r="HK11" s="286">
        <f>'Data-temp_employment'!HK11-last_qrtr_tempemp!HL11</f>
        <v>1.7000000000000028</v>
      </c>
      <c r="HL11" s="286">
        <f>'Data-temp_employment'!HL11-last_qrtr_tempemp!HM11</f>
        <v>4.7999999999999972</v>
      </c>
      <c r="HM11" s="286">
        <f>'Data-temp_employment'!HM11</f>
        <v>39.200000000000003</v>
      </c>
      <c r="HN11" s="279" t="s">
        <v>17</v>
      </c>
      <c r="HO11" s="286">
        <f>'Data-temp_employment'!HO11-last_qrtr_tempemp!HP11</f>
        <v>2</v>
      </c>
      <c r="HP11" s="286">
        <f>'Data-temp_employment'!HP11-last_qrtr_tempemp!HQ11</f>
        <v>-7.0999999999999943</v>
      </c>
      <c r="HQ11" s="286">
        <f>'Data-temp_employment'!HQ11-last_qrtr_tempemp!HR11</f>
        <v>5.1000000000000014</v>
      </c>
      <c r="HR11" s="286">
        <f>'Data-temp_employment'!HR11-last_qrtr_tempemp!HS11</f>
        <v>3.9000000000000057</v>
      </c>
      <c r="HS11" s="286">
        <f>'Data-temp_employment'!HS11-last_qrtr_tempemp!HT11</f>
        <v>-10.200000000000003</v>
      </c>
      <c r="HT11" s="286">
        <f>'Data-temp_employment'!HT11-last_qrtr_tempemp!HU11</f>
        <v>0.70000000000000284</v>
      </c>
      <c r="HU11" s="286">
        <f>'Data-temp_employment'!HU11-last_qrtr_tempemp!HV11</f>
        <v>20.099999999999994</v>
      </c>
      <c r="HV11" s="286">
        <f>'Data-temp_employment'!HV11-last_qrtr_tempemp!HW11</f>
        <v>7.5</v>
      </c>
      <c r="HW11" s="286">
        <f>'Data-temp_employment'!HW11-last_qrtr_tempemp!HX11</f>
        <v>-3.9000000000000057</v>
      </c>
      <c r="HX11" s="286">
        <f>'Data-temp_employment'!HX11</f>
        <v>63.9</v>
      </c>
      <c r="HY11" s="279" t="s">
        <v>17</v>
      </c>
      <c r="HZ11" s="286">
        <f>'Data-temp_employment'!HZ11-last_qrtr_tempemp!IA11</f>
        <v>0</v>
      </c>
      <c r="IA11" s="286">
        <f>'Data-temp_employment'!IA11-last_qrtr_tempemp!IB11</f>
        <v>0</v>
      </c>
      <c r="IB11" s="286">
        <f>'Data-temp_employment'!IB11-last_qrtr_tempemp!IC11</f>
        <v>0</v>
      </c>
      <c r="IC11" s="286">
        <f>'Data-temp_employment'!IC11-last_qrtr_tempemp!ID11</f>
        <v>0</v>
      </c>
      <c r="ID11" s="286">
        <f>'Data-temp_employment'!ID11-last_qrtr_tempemp!IE11</f>
        <v>0</v>
      </c>
      <c r="IE11" s="286">
        <f>'Data-temp_employment'!IE11-last_qrtr_tempemp!IF11</f>
        <v>0</v>
      </c>
      <c r="IF11" s="286">
        <f>'Data-temp_employment'!IF11-last_qrtr_tempemp!IG11</f>
        <v>0</v>
      </c>
      <c r="IG11" s="286">
        <f>'Data-temp_employment'!IG11-last_qrtr_tempemp!IH11</f>
        <v>0</v>
      </c>
      <c r="IH11" s="286">
        <f>'Data-temp_employment'!IH11-last_qrtr_tempemp!II11</f>
        <v>0</v>
      </c>
      <c r="II11" s="286">
        <f>'Data-temp_employment'!II11</f>
        <v>0</v>
      </c>
      <c r="IJ11" s="279" t="s">
        <v>17</v>
      </c>
      <c r="IK11" s="286">
        <f>'Data-temp_employment'!IK11-last_qrtr_tempemp!IL11</f>
        <v>0</v>
      </c>
      <c r="IL11" s="286">
        <f>'Data-temp_employment'!IL11-last_qrtr_tempemp!IM11</f>
        <v>0</v>
      </c>
      <c r="IM11" s="286">
        <f>'Data-temp_employment'!IM11-last_qrtr_tempemp!IN11</f>
        <v>0</v>
      </c>
      <c r="IN11" s="286">
        <f>'Data-temp_employment'!IN11-last_qrtr_tempemp!IO11</f>
        <v>0</v>
      </c>
      <c r="IO11" s="286">
        <f>'Data-temp_employment'!IO11-last_qrtr_tempemp!IP11</f>
        <v>0</v>
      </c>
      <c r="IP11" s="286">
        <f>'Data-temp_employment'!IP11-last_qrtr_tempemp!IQ11</f>
        <v>0</v>
      </c>
      <c r="IQ11" s="286">
        <f>'Data-temp_employment'!IQ11-last_qrtr_tempemp!IR11</f>
        <v>0</v>
      </c>
      <c r="IR11" s="286">
        <f>'Data-temp_employment'!IR11-last_qrtr_tempemp!IS11</f>
        <v>0</v>
      </c>
      <c r="IS11" s="286">
        <f>'Data-temp_employment'!IS11-last_qrtr_tempemp!IT11</f>
        <v>0</v>
      </c>
      <c r="IT11" s="286">
        <f>'Data-temp_employment'!IT11</f>
        <v>0</v>
      </c>
      <c r="IU11" s="279" t="s">
        <v>17</v>
      </c>
      <c r="IV11" s="286">
        <f>'Data-temp_employment'!IV11-last_qrtr_tempemp!IW11</f>
        <v>0</v>
      </c>
      <c r="IW11" s="286">
        <f>'Data-temp_employment'!IW11-last_qrtr_tempemp!IX11</f>
        <v>0</v>
      </c>
      <c r="IX11" s="286">
        <f>'Data-temp_employment'!IX11-last_qrtr_tempemp!IY11</f>
        <v>0</v>
      </c>
      <c r="IY11" s="286">
        <f>'Data-temp_employment'!IY11-last_qrtr_tempemp!IZ11</f>
        <v>0</v>
      </c>
      <c r="IZ11" s="286">
        <f>'Data-temp_employment'!IZ11-last_qrtr_tempemp!JA11</f>
        <v>0</v>
      </c>
      <c r="JA11" s="286">
        <f>'Data-temp_employment'!JA11-last_qrtr_tempemp!JB11</f>
        <v>0</v>
      </c>
      <c r="JB11" s="286">
        <f>'Data-temp_employment'!JB11-last_qrtr_tempemp!JC11</f>
        <v>0</v>
      </c>
      <c r="JC11" s="286">
        <f>'Data-temp_employment'!JC11-last_qrtr_tempemp!JD11</f>
        <v>0</v>
      </c>
      <c r="JD11" s="286">
        <f>'Data-temp_employment'!JD11-last_qrtr_tempemp!JE11</f>
        <v>-5.3</v>
      </c>
      <c r="JE11" s="286">
        <f>'Data-temp_employment'!JE11</f>
        <v>0</v>
      </c>
      <c r="JF11" s="279" t="s">
        <v>17</v>
      </c>
      <c r="JG11" s="286">
        <f>'Data-temp_employment'!JG11-last_qrtr_tempemp!JH11</f>
        <v>-2.7999999999999972</v>
      </c>
      <c r="JH11" s="286">
        <f>'Data-temp_employment'!JH11-last_qrtr_tempemp!JI11</f>
        <v>0.59999999999999432</v>
      </c>
      <c r="JI11" s="286">
        <f>'Data-temp_employment'!JI11-last_qrtr_tempemp!JJ11</f>
        <v>-1.3999999999999986</v>
      </c>
      <c r="JJ11" s="286">
        <f>'Data-temp_employment'!JJ11-last_qrtr_tempemp!JK11</f>
        <v>11</v>
      </c>
      <c r="JK11" s="286">
        <f>'Data-temp_employment'!JK11-last_qrtr_tempemp!JL11</f>
        <v>-5.0999999999999943</v>
      </c>
      <c r="JL11" s="286">
        <f>'Data-temp_employment'!JL11-last_qrtr_tempemp!JM11</f>
        <v>2.0999999999999943</v>
      </c>
      <c r="JM11" s="286">
        <f>'Data-temp_employment'!JM11-last_qrtr_tempemp!JN11</f>
        <v>2.7999999999999972</v>
      </c>
      <c r="JN11" s="286">
        <f>'Data-temp_employment'!JN11-last_qrtr_tempemp!JO11</f>
        <v>13.599999999999994</v>
      </c>
      <c r="JO11" s="286">
        <f>'Data-temp_employment'!JO11-last_qrtr_tempemp!JP11</f>
        <v>16</v>
      </c>
      <c r="JP11" s="286">
        <f>'Data-temp_employment'!JP11</f>
        <v>49.5</v>
      </c>
      <c r="JQ11" s="279" t="s">
        <v>17</v>
      </c>
      <c r="JR11" s="286">
        <f>'Data-temp_employment'!JR11-last_qrtr_tempemp!JS11</f>
        <v>-3.2000000000000011</v>
      </c>
      <c r="JS11" s="286">
        <f>'Data-temp_employment'!JS11-last_qrtr_tempemp!JT11</f>
        <v>0.69999999999999929</v>
      </c>
      <c r="JT11" s="286">
        <f>'Data-temp_employment'!JT11-last_qrtr_tempemp!JU11</f>
        <v>1.5</v>
      </c>
      <c r="JU11" s="286">
        <f>'Data-temp_employment'!JU11-last_qrtr_tempemp!JV11</f>
        <v>2.9000000000000004</v>
      </c>
      <c r="JV11" s="286">
        <f>'Data-temp_employment'!JV11-last_qrtr_tempemp!JW11</f>
        <v>6.1000000000000014</v>
      </c>
      <c r="JW11" s="286">
        <f>'Data-temp_employment'!JW11-last_qrtr_tempemp!JX11</f>
        <v>-0.5</v>
      </c>
      <c r="JX11" s="286">
        <f>'Data-temp_employment'!JX11-last_qrtr_tempemp!JY11</f>
        <v>0</v>
      </c>
      <c r="JY11" s="286">
        <f>'Data-temp_employment'!JY11-last_qrtr_tempemp!JZ11</f>
        <v>-3.9000000000000004</v>
      </c>
      <c r="JZ11" s="286">
        <f>'Data-temp_employment'!JZ11-last_qrtr_tempemp!KA11</f>
        <v>-3.3000000000000007</v>
      </c>
      <c r="KA11" s="286">
        <f>'Data-temp_employment'!KA11</f>
        <v>18.2</v>
      </c>
      <c r="KB11" s="279" t="s">
        <v>17</v>
      </c>
      <c r="KC11" s="286">
        <f>'Data-temp_employment'!KC11-last_qrtr_tempemp!KD11</f>
        <v>10.600000000000001</v>
      </c>
      <c r="KD11" s="286">
        <f>'Data-temp_employment'!KD11-last_qrtr_tempemp!KE11</f>
        <v>7.6000000000000014</v>
      </c>
      <c r="KE11" s="286">
        <f>'Data-temp_employment'!KE11-last_qrtr_tempemp!KF11</f>
        <v>-0.20000000000000284</v>
      </c>
      <c r="KF11" s="286">
        <f>'Data-temp_employment'!KF11-last_qrtr_tempemp!KG11</f>
        <v>15.299999999999997</v>
      </c>
      <c r="KG11" s="286">
        <f>'Data-temp_employment'!KG11-last_qrtr_tempemp!KH11</f>
        <v>13.699999999999996</v>
      </c>
      <c r="KH11" s="286">
        <f>'Data-temp_employment'!KH11-last_qrtr_tempemp!KI11</f>
        <v>14.100000000000001</v>
      </c>
      <c r="KI11" s="286">
        <f>'Data-temp_employment'!KI11-last_qrtr_tempemp!KJ11</f>
        <v>32.199999999999996</v>
      </c>
      <c r="KJ11" s="286">
        <f>'Data-temp_employment'!KJ11-last_qrtr_tempemp!KK11</f>
        <v>17.5</v>
      </c>
      <c r="KK11" s="286">
        <f>'Data-temp_employment'!KK11-last_qrtr_tempemp!KL11</f>
        <v>15.600000000000001</v>
      </c>
      <c r="KL11" s="286">
        <f>'Data-temp_employment'!KL11</f>
        <v>62.8</v>
      </c>
      <c r="KM11" s="279" t="s">
        <v>17</v>
      </c>
      <c r="KN11" s="286">
        <f>'Data-temp_employment'!KN11-last_qrtr_tempemp!KO11</f>
        <v>1.3999999999999986</v>
      </c>
      <c r="KO11" s="286">
        <f>'Data-temp_employment'!KO11-last_qrtr_tempemp!KP11</f>
        <v>6.6</v>
      </c>
      <c r="KP11" s="286">
        <f>'Data-temp_employment'!KP11-last_qrtr_tempemp!KQ11</f>
        <v>7.1999999999999993</v>
      </c>
      <c r="KQ11" s="286">
        <f>'Data-temp_employment'!KQ11-last_qrtr_tempemp!KR11</f>
        <v>-3.8999999999999986</v>
      </c>
      <c r="KR11" s="286">
        <f>'Data-temp_employment'!KR11-last_qrtr_tempemp!KS11</f>
        <v>2.1999999999999993</v>
      </c>
      <c r="KS11" s="286">
        <f>'Data-temp_employment'!KS11-last_qrtr_tempemp!KT11</f>
        <v>-1.8999999999999986</v>
      </c>
      <c r="KT11" s="286">
        <f>'Data-temp_employment'!KT11-last_qrtr_tempemp!KU11</f>
        <v>5.6999999999999993</v>
      </c>
      <c r="KU11" s="286">
        <f>'Data-temp_employment'!KU11-last_qrtr_tempemp!KV11</f>
        <v>3.5</v>
      </c>
      <c r="KV11" s="286">
        <f>'Data-temp_employment'!KV11-last_qrtr_tempemp!KW11</f>
        <v>9.6999999999999993</v>
      </c>
      <c r="KW11" s="286">
        <f>'Data-temp_employment'!KW11</f>
        <v>17.3</v>
      </c>
      <c r="KX11" s="279" t="s">
        <v>17</v>
      </c>
      <c r="KY11" s="286">
        <f>'Data-temp_employment'!KY11-last_qrtr_tempemp!KZ11</f>
        <v>9.5</v>
      </c>
      <c r="KZ11" s="286">
        <f>'Data-temp_employment'!KZ11-last_qrtr_tempemp!LA11</f>
        <v>5.3000000000000007</v>
      </c>
      <c r="LA11" s="286">
        <f>'Data-temp_employment'!LA11-last_qrtr_tempemp!LB11</f>
        <v>4.6999999999999993</v>
      </c>
      <c r="LB11" s="286">
        <f>'Data-temp_employment'!LB11-last_qrtr_tempemp!LC11</f>
        <v>-9.8000000000000007</v>
      </c>
      <c r="LC11" s="286">
        <f>'Data-temp_employment'!LC11-last_qrtr_tempemp!LD11</f>
        <v>-4.1000000000000014</v>
      </c>
      <c r="LD11" s="286">
        <f>'Data-temp_employment'!LD11-last_qrtr_tempemp!LE11</f>
        <v>3.5</v>
      </c>
      <c r="LE11" s="286">
        <f>'Data-temp_employment'!LE11-last_qrtr_tempemp!LF11</f>
        <v>6.1999999999999993</v>
      </c>
      <c r="LF11" s="286">
        <f>'Data-temp_employment'!LF11-last_qrtr_tempemp!LG11</f>
        <v>9.6999999999999993</v>
      </c>
      <c r="LG11" s="286">
        <f>'Data-temp_employment'!LG11-last_qrtr_tempemp!LH11</f>
        <v>5.5</v>
      </c>
      <c r="LH11" s="286">
        <f>'Data-temp_employment'!LH11</f>
        <v>31.8</v>
      </c>
      <c r="LI11" s="279" t="s">
        <v>17</v>
      </c>
      <c r="LJ11" s="286">
        <f>'Data-temp_employment'!LJ11-last_qrtr_tempemp!LK11</f>
        <v>5.8</v>
      </c>
      <c r="LK11" s="286">
        <f>'Data-temp_employment'!LK11-last_qrtr_tempemp!LL11</f>
        <v>1.2999999999999998</v>
      </c>
      <c r="LL11" s="286">
        <f>'Data-temp_employment'!LL11-last_qrtr_tempemp!LM11</f>
        <v>0.60000000000000053</v>
      </c>
      <c r="LM11" s="286">
        <f>'Data-temp_employment'!LM11-last_qrtr_tempemp!LN11</f>
        <v>2.8999999999999995</v>
      </c>
      <c r="LN11" s="286">
        <f>'Data-temp_employment'!LN11-last_qrtr_tempemp!LO11</f>
        <v>3.4000000000000004</v>
      </c>
      <c r="LO11" s="286">
        <f>'Data-temp_employment'!LO11-last_qrtr_tempemp!LP11</f>
        <v>2.8999999999999995</v>
      </c>
      <c r="LP11" s="286">
        <f>'Data-temp_employment'!LP11-last_qrtr_tempemp!LQ11</f>
        <v>-0.29999999999999893</v>
      </c>
      <c r="LQ11" s="286">
        <f>'Data-temp_employment'!LQ11-last_qrtr_tempemp!LR11</f>
        <v>-0.5</v>
      </c>
      <c r="LR11" s="286">
        <f>'Data-temp_employment'!LR11-last_qrtr_tempemp!LS11</f>
        <v>0.5</v>
      </c>
      <c r="LS11" s="286">
        <f>'Data-temp_employment'!LS11</f>
        <v>7.7</v>
      </c>
      <c r="LT11" s="279" t="s">
        <v>17</v>
      </c>
      <c r="LU11" s="286">
        <f>'Data-temp_employment'!LU11-last_qrtr_tempemp!LV11</f>
        <v>0</v>
      </c>
      <c r="LV11" s="286">
        <f>'Data-temp_employment'!LV11-last_qrtr_tempemp!LW11</f>
        <v>0</v>
      </c>
      <c r="LW11" s="286">
        <f>'Data-temp_employment'!LW11-last_qrtr_tempemp!LX11</f>
        <v>0</v>
      </c>
      <c r="LX11" s="286">
        <f>'Data-temp_employment'!LX11-last_qrtr_tempemp!LY11</f>
        <v>0</v>
      </c>
      <c r="LY11" s="286">
        <f>'Data-temp_employment'!LY11-last_qrtr_tempemp!LZ11</f>
        <v>0</v>
      </c>
      <c r="LZ11" s="286">
        <f>'Data-temp_employment'!LZ11-last_qrtr_tempemp!MA11</f>
        <v>0</v>
      </c>
      <c r="MA11" s="286">
        <f>'Data-temp_employment'!MA11-last_qrtr_tempemp!MB11</f>
        <v>0</v>
      </c>
      <c r="MB11" s="286">
        <f>'Data-temp_employment'!MB11-last_qrtr_tempemp!MC11</f>
        <v>0</v>
      </c>
      <c r="MC11" s="286">
        <f>'Data-temp_employment'!MC11-last_qrtr_tempemp!MD11</f>
        <v>0</v>
      </c>
      <c r="MD11" s="286">
        <f>'Data-temp_employment'!MD11</f>
        <v>0</v>
      </c>
      <c r="ME11" s="279" t="s">
        <v>17</v>
      </c>
      <c r="MF11" s="286">
        <f>'Data-temp_employment'!MF11-last_qrtr_tempemp!MG11</f>
        <v>-0.5</v>
      </c>
      <c r="MG11" s="286">
        <f>'Data-temp_employment'!MG11-last_qrtr_tempemp!MH11</f>
        <v>0.40000000000000036</v>
      </c>
      <c r="MH11" s="286">
        <f>'Data-temp_employment'!MH11-last_qrtr_tempemp!MI11</f>
        <v>-1.2000000000000002</v>
      </c>
      <c r="MI11" s="286">
        <f>'Data-temp_employment'!MI11-last_qrtr_tempemp!MJ11</f>
        <v>3.5</v>
      </c>
      <c r="MJ11" s="286">
        <f>'Data-temp_employment'!MJ11-last_qrtr_tempemp!MK11</f>
        <v>-3.4000000000000004</v>
      </c>
      <c r="MK11" s="286">
        <f>'Data-temp_employment'!MK11-last_qrtr_tempemp!ML11</f>
        <v>2.5</v>
      </c>
      <c r="ML11" s="286">
        <f>'Data-temp_employment'!ML11-last_qrtr_tempemp!MM11</f>
        <v>3.8999999999999986</v>
      </c>
      <c r="MM11" s="286">
        <f>'Data-temp_employment'!MM11-last_qrtr_tempemp!MN11</f>
        <v>3.5</v>
      </c>
      <c r="MN11" s="286">
        <f>'Data-temp_employment'!MN11-last_qrtr_tempemp!MO11</f>
        <v>3.0999999999999996</v>
      </c>
      <c r="MO11" s="286">
        <f>'Data-temp_employment'!MO11</f>
        <v>14.3</v>
      </c>
      <c r="MP11" s="279" t="s">
        <v>17</v>
      </c>
      <c r="MQ11" s="286">
        <f>'Data-temp_employment'!MQ11-last_qrtr_tempemp!MR11</f>
        <v>-2.1999999999999993</v>
      </c>
      <c r="MR11" s="286">
        <f>'Data-temp_employment'!MR11-last_qrtr_tempemp!MS11</f>
        <v>-5.1000000000000014</v>
      </c>
      <c r="MS11" s="286">
        <f>'Data-temp_employment'!MS11-last_qrtr_tempemp!MT11</f>
        <v>9</v>
      </c>
      <c r="MT11" s="286">
        <f>'Data-temp_employment'!MT11-last_qrtr_tempemp!MU11</f>
        <v>7.5999999999999979</v>
      </c>
      <c r="MU11" s="286">
        <f>'Data-temp_employment'!MU11-last_qrtr_tempemp!MV11</f>
        <v>1.3000000000000007</v>
      </c>
      <c r="MV11" s="286">
        <f>'Data-temp_employment'!MV11-last_qrtr_tempemp!MW11</f>
        <v>-3.8000000000000007</v>
      </c>
      <c r="MW11" s="286">
        <f>'Data-temp_employment'!MW11-last_qrtr_tempemp!MX11</f>
        <v>3.3000000000000043</v>
      </c>
      <c r="MX11" s="286">
        <f>'Data-temp_employment'!MX11-last_qrtr_tempemp!MY11</f>
        <v>1</v>
      </c>
      <c r="MY11" s="286">
        <f>'Data-temp_employment'!MY11-last_qrtr_tempemp!MZ11</f>
        <v>-4.6000000000000014</v>
      </c>
      <c r="MZ11" s="286">
        <f>'Data-temp_employment'!MZ11</f>
        <v>31.8</v>
      </c>
      <c r="NA11" s="279" t="s">
        <v>17</v>
      </c>
      <c r="NB11" s="286">
        <f>'Data-temp_employment'!NB11-last_qrtr_tempemp!NC11</f>
        <v>-6.8000000000000007</v>
      </c>
      <c r="NC11" s="286">
        <f>'Data-temp_employment'!NC11-last_qrtr_tempemp!ND11</f>
        <v>-4.3000000000000007</v>
      </c>
      <c r="ND11" s="286">
        <f>'Data-temp_employment'!ND11-last_qrtr_tempemp!NE11</f>
        <v>-0.69999999999999929</v>
      </c>
      <c r="NE11" s="286">
        <f>'Data-temp_employment'!NE11-last_qrtr_tempemp!NF11</f>
        <v>-2</v>
      </c>
      <c r="NF11" s="286">
        <f>'Data-temp_employment'!NF11-last_qrtr_tempemp!NG11</f>
        <v>5.1000000000000014</v>
      </c>
      <c r="NG11" s="286">
        <f>'Data-temp_employment'!NG11-last_qrtr_tempemp!NH11</f>
        <v>2</v>
      </c>
      <c r="NH11" s="286">
        <f>'Data-temp_employment'!NH11-last_qrtr_tempemp!NI11</f>
        <v>13.599999999999998</v>
      </c>
      <c r="NI11" s="286">
        <f>'Data-temp_employment'!NI11-last_qrtr_tempemp!NJ11</f>
        <v>-0.30000000000000071</v>
      </c>
      <c r="NJ11" s="286">
        <f>'Data-temp_employment'!NJ11-last_qrtr_tempemp!NK11</f>
        <v>-4</v>
      </c>
      <c r="NK11" s="286">
        <f>'Data-temp_employment'!NK11</f>
        <v>19.8</v>
      </c>
      <c r="NL11" s="279" t="s">
        <v>17</v>
      </c>
      <c r="NM11" s="286">
        <f>'Data-temp_employment'!NM11-last_qrtr_tempemp!NN11</f>
        <v>-4.2000000000000028</v>
      </c>
      <c r="NN11" s="286">
        <f>'Data-temp_employment'!NN11-last_qrtr_tempemp!NO11</f>
        <v>17.200000000000003</v>
      </c>
      <c r="NO11" s="286">
        <f>'Data-temp_employment'!NO11-last_qrtr_tempemp!NP11</f>
        <v>-13.800000000000004</v>
      </c>
      <c r="NP11" s="286">
        <f>'Data-temp_employment'!NP11-last_qrtr_tempemp!NQ11</f>
        <v>8.4000000000000057</v>
      </c>
      <c r="NQ11" s="286">
        <f>'Data-temp_employment'!NQ11-last_qrtr_tempemp!NR11</f>
        <v>-12.400000000000006</v>
      </c>
      <c r="NR11" s="286">
        <f>'Data-temp_employment'!NR11-last_qrtr_tempemp!NS11</f>
        <v>8.3000000000000043</v>
      </c>
      <c r="NS11" s="286">
        <f>'Data-temp_employment'!NS11-last_qrtr_tempemp!NT11</f>
        <v>1.0999999999999943</v>
      </c>
      <c r="NT11" s="286">
        <f>'Data-temp_employment'!NT11-last_qrtr_tempemp!NU11</f>
        <v>21.900000000000006</v>
      </c>
      <c r="NU11" s="286">
        <f>'Data-temp_employment'!NU11-last_qrtr_tempemp!NV11</f>
        <v>18.799999999999997</v>
      </c>
      <c r="NV11" s="286">
        <f>'Data-temp_employment'!NV11</f>
        <v>91.8</v>
      </c>
      <c r="NW11" s="279" t="s">
        <v>17</v>
      </c>
      <c r="NX11" s="286">
        <f>'Data-temp_employment'!NX11-last_qrtr_tempemp!NY11</f>
        <v>6.7000000000000028</v>
      </c>
      <c r="NY11" s="286">
        <f>'Data-temp_employment'!NY11-last_qrtr_tempemp!NZ11</f>
        <v>-14.200000000000003</v>
      </c>
      <c r="NZ11" s="286">
        <f>'Data-temp_employment'!NZ11-last_qrtr_tempemp!OA11</f>
        <v>-4</v>
      </c>
      <c r="OA11" s="286">
        <f>'Data-temp_employment'!OA11-last_qrtr_tempemp!OB11</f>
        <v>8.2999999999999972</v>
      </c>
      <c r="OB11" s="286">
        <f>'Data-temp_employment'!OB11-last_qrtr_tempemp!OC11</f>
        <v>13.600000000000001</v>
      </c>
      <c r="OC11" s="286">
        <f>'Data-temp_employment'!OC11-last_qrtr_tempemp!OD11</f>
        <v>8.8999999999999986</v>
      </c>
      <c r="OD11" s="286">
        <f>'Data-temp_employment'!OD11-last_qrtr_tempemp!OE11</f>
        <v>17.500000000000007</v>
      </c>
      <c r="OE11" s="286">
        <f>'Data-temp_employment'!OE11-last_qrtr_tempemp!OF11</f>
        <v>6.8999999999999986</v>
      </c>
      <c r="OF11" s="286">
        <f>'Data-temp_employment'!OF11-last_qrtr_tempemp!OG11</f>
        <v>-9</v>
      </c>
      <c r="OG11" s="286">
        <f>'Data-temp_employment'!OG11</f>
        <v>39.4</v>
      </c>
      <c r="OH11" s="287" t="s">
        <v>17</v>
      </c>
      <c r="OI11" s="286"/>
      <c r="OJ11" s="286"/>
      <c r="OK11" s="286"/>
      <c r="OL11" s="286"/>
      <c r="OM11" s="286"/>
      <c r="ON11" s="286"/>
      <c r="OO11" s="286"/>
      <c r="OP11" s="286"/>
      <c r="OQ11" s="286"/>
      <c r="OR11" s="286"/>
      <c r="OS11" s="279" t="s">
        <v>17</v>
      </c>
      <c r="OT11" s="286" t="e">
        <f>'Data-temp_employment'!#REF!-last_qrtr_tempemp!OU11</f>
        <v>#REF!</v>
      </c>
      <c r="OU11" s="286">
        <f>'Data-temp_employment'!OT11-last_qrtr_tempemp!OV11</f>
        <v>-1</v>
      </c>
      <c r="OV11" s="286">
        <f>'Data-temp_employment'!OU11-last_qrtr_tempemp!OW11</f>
        <v>-0.10000000000000009</v>
      </c>
      <c r="OW11" s="286">
        <f>'Data-temp_employment'!OV11-last_qrtr_tempemp!OX11</f>
        <v>-0.90000000000000013</v>
      </c>
      <c r="OX11" s="286">
        <f>'Data-temp_employment'!OW11-last_qrtr_tempemp!OY11</f>
        <v>-0.60000000000000009</v>
      </c>
      <c r="OY11" s="286">
        <f>'Data-temp_employment'!OX11-last_qrtr_tempemp!OZ11</f>
        <v>-0.10000000000000009</v>
      </c>
      <c r="OZ11" s="286">
        <f>'Data-temp_employment'!OY11-last_qrtr_tempemp!PA11</f>
        <v>-0.70000000000000007</v>
      </c>
      <c r="PA11" s="286">
        <f>'Data-temp_employment'!OZ11-last_qrtr_tempemp!PB11</f>
        <v>-0.7</v>
      </c>
      <c r="PB11" s="286">
        <f>'Data-temp_employment'!PA11-last_qrtr_tempemp!PC11</f>
        <v>-0.30000000000000004</v>
      </c>
      <c r="PC11" s="286">
        <f>'Data-temp_employment'!PB11</f>
        <v>0.3</v>
      </c>
      <c r="PE11" s="319"/>
      <c r="PF11" s="319"/>
      <c r="PG11" s="319"/>
      <c r="PH11" s="319"/>
      <c r="PI11" s="319"/>
      <c r="PJ11" s="319"/>
      <c r="PK11" s="319"/>
      <c r="PL11" s="319"/>
      <c r="PM11" s="319"/>
      <c r="PN11" s="319"/>
      <c r="PO11" s="319"/>
      <c r="PP11" s="319"/>
      <c r="PQ11" s="319"/>
      <c r="PR11" s="319"/>
      <c r="PS11" s="319"/>
      <c r="PT11" s="319"/>
      <c r="PU11" s="319"/>
      <c r="PV11" s="319"/>
      <c r="PW11" s="319"/>
      <c r="PX11" s="319"/>
      <c r="PY11" s="319"/>
      <c r="PZ11" s="319"/>
      <c r="QA11" s="319"/>
      <c r="QB11" s="319"/>
      <c r="QC11" s="319"/>
      <c r="QD11" s="319"/>
      <c r="QE11" s="319"/>
      <c r="QF11" s="319"/>
      <c r="QG11" s="319"/>
      <c r="QH11" s="319"/>
      <c r="QI11" s="319"/>
      <c r="QJ11" s="319"/>
      <c r="QK11" s="319"/>
      <c r="QL11" s="319"/>
      <c r="QM11" s="319"/>
      <c r="QN11" s="319"/>
      <c r="QO11" s="319"/>
      <c r="QP11" s="319"/>
      <c r="QQ11" s="319"/>
      <c r="QR11" s="319"/>
      <c r="QS11" s="319"/>
      <c r="QT11" s="319"/>
      <c r="QU11" s="319"/>
      <c r="QV11" s="319"/>
      <c r="QW11" s="319"/>
      <c r="QX11" s="319"/>
      <c r="QY11" s="319"/>
      <c r="QZ11" s="319"/>
      <c r="RA11" s="319"/>
      <c r="RB11" s="319"/>
      <c r="RC11" s="319"/>
      <c r="RD11" s="319"/>
      <c r="RE11" s="319"/>
      <c r="RF11" s="319"/>
      <c r="RG11" s="319"/>
      <c r="RH11" s="319"/>
      <c r="RI11" s="319"/>
      <c r="RJ11" s="319"/>
      <c r="RK11" s="319"/>
      <c r="RL11" s="319"/>
      <c r="RM11" s="319"/>
      <c r="RN11" s="319"/>
      <c r="RO11" s="319"/>
      <c r="RP11" s="319"/>
    </row>
    <row r="12" spans="1:484">
      <c r="A12" s="269">
        <v>9</v>
      </c>
      <c r="B12" s="285" t="s">
        <v>18</v>
      </c>
      <c r="C12" s="286">
        <f>'Data-temp_employment'!C12-last_qrtr_tempemp!D12</f>
        <v>-1.3999999999999995</v>
      </c>
      <c r="D12" s="286">
        <f>'Data-temp_employment'!D12-last_qrtr_tempemp!E12</f>
        <v>-1.2999999999999998</v>
      </c>
      <c r="E12" s="286">
        <f>'Data-temp_employment'!E12-last_qrtr_tempemp!F12</f>
        <v>1.4999999999999996</v>
      </c>
      <c r="F12" s="286">
        <f>'Data-temp_employment'!F12-last_qrtr_tempemp!G12</f>
        <v>0.29999999999999982</v>
      </c>
      <c r="G12" s="286">
        <f>'Data-temp_employment'!G12-last_qrtr_tempemp!H12</f>
        <v>-1.0000000000000004</v>
      </c>
      <c r="H12" s="286">
        <f>'Data-temp_employment'!H12-last_qrtr_tempemp!I12</f>
        <v>-9.9999999999999645E-2</v>
      </c>
      <c r="I12" s="286">
        <f>'Data-temp_employment'!I12-last_qrtr_tempemp!J12</f>
        <v>1.7999999999999998</v>
      </c>
      <c r="J12" s="286">
        <f>'Data-temp_employment'!J12-last_qrtr_tempemp!K12</f>
        <v>0.5</v>
      </c>
      <c r="K12" s="286">
        <f>'Data-temp_employment'!K12-last_qrtr_tempemp!L12</f>
        <v>-1.5</v>
      </c>
      <c r="L12" s="286">
        <f>'Data-temp_employment'!L12</f>
        <v>4.2</v>
      </c>
      <c r="M12" s="285" t="s">
        <v>18</v>
      </c>
      <c r="N12" s="286">
        <f>'Data-temp_employment'!N12-last_qrtr_tempemp!O12</f>
        <v>-36.399999999999991</v>
      </c>
      <c r="O12" s="286">
        <f>'Data-temp_employment'!O12-last_qrtr_tempemp!P12</f>
        <v>-38.199999999999989</v>
      </c>
      <c r="P12" s="286">
        <f>'Data-temp_employment'!P12-last_qrtr_tempemp!Q12</f>
        <v>40.300000000000011</v>
      </c>
      <c r="Q12" s="286">
        <f>'Data-temp_employment'!Q12-last_qrtr_tempemp!R12</f>
        <v>9.8999999999999915</v>
      </c>
      <c r="R12" s="286">
        <f>'Data-temp_employment'!R12-last_qrtr_tempemp!S12</f>
        <v>-25.600000000000009</v>
      </c>
      <c r="S12" s="286">
        <f>'Data-temp_employment'!S12-last_qrtr_tempemp!T12</f>
        <v>-0.40000000000000568</v>
      </c>
      <c r="T12" s="286">
        <f>'Data-temp_employment'!T12-last_qrtr_tempemp!U12</f>
        <v>55.100000000000009</v>
      </c>
      <c r="U12" s="286">
        <f>'Data-temp_employment'!U12-last_qrtr_tempemp!V12</f>
        <v>16.100000000000009</v>
      </c>
      <c r="V12" s="286">
        <f>'Data-temp_employment'!V12-last_qrtr_tempemp!W12</f>
        <v>-41.5</v>
      </c>
      <c r="W12" s="286">
        <f>'Data-temp_employment'!W12</f>
        <v>114.4</v>
      </c>
      <c r="X12" s="285" t="s">
        <v>18</v>
      </c>
      <c r="Y12" s="286">
        <f>'Data-temp_employment'!Y12-last_qrtr_tempemp!Z12</f>
        <v>-7</v>
      </c>
      <c r="Z12" s="286">
        <f>'Data-temp_employment'!Z12-last_qrtr_tempemp!AA12</f>
        <v>6.5000000000000009</v>
      </c>
      <c r="AA12" s="286">
        <f>'Data-temp_employment'!AA12-last_qrtr_tempemp!AB12</f>
        <v>1.5999999999999996</v>
      </c>
      <c r="AB12" s="286">
        <f>'Data-temp_employment'!AB12-last_qrtr_tempemp!AC12</f>
        <v>7.7</v>
      </c>
      <c r="AC12" s="286">
        <f>'Data-temp_employment'!AC12-last_qrtr_tempemp!AD12</f>
        <v>-6.8000000000000007</v>
      </c>
      <c r="AD12" s="286">
        <f>'Data-temp_employment'!AD12-last_qrtr_tempemp!AE12</f>
        <v>4.6999999999999993</v>
      </c>
      <c r="AE12" s="286">
        <f>'Data-temp_employment'!AE12-last_qrtr_tempemp!AF12</f>
        <v>4.7</v>
      </c>
      <c r="AF12" s="286">
        <f>'Data-temp_employment'!AF12-last_qrtr_tempemp!AG12</f>
        <v>1.2999999999999998</v>
      </c>
      <c r="AG12" s="286">
        <f>'Data-temp_employment'!AG12-last_qrtr_tempemp!AH12</f>
        <v>-9.6</v>
      </c>
      <c r="AH12" s="286">
        <f>'Data-temp_employment'!AH12</f>
        <v>9.3000000000000007</v>
      </c>
      <c r="AI12" s="279" t="s">
        <v>18</v>
      </c>
      <c r="AJ12" s="286">
        <f>'Data-temp_employment'!AJ12-last_qrtr_tempemp!AK12</f>
        <v>-3.7000000000000011</v>
      </c>
      <c r="AK12" s="286">
        <f>'Data-temp_employment'!AK12-last_qrtr_tempemp!AL12</f>
        <v>-12.7</v>
      </c>
      <c r="AL12" s="286">
        <f>'Data-temp_employment'!AL12-last_qrtr_tempemp!AM12</f>
        <v>4.5</v>
      </c>
      <c r="AM12" s="286">
        <f>'Data-temp_employment'!AM12-last_qrtr_tempemp!AN12</f>
        <v>-1.6999999999999993</v>
      </c>
      <c r="AN12" s="286">
        <f>'Data-temp_employment'!AN12-last_qrtr_tempemp!AO12</f>
        <v>1.3999999999999995</v>
      </c>
      <c r="AO12" s="286">
        <f>'Data-temp_employment'!AO12-last_qrtr_tempemp!AP12</f>
        <v>-2.6999999999999993</v>
      </c>
      <c r="AP12" s="286">
        <f>'Data-temp_employment'!AP12-last_qrtr_tempemp!AQ12</f>
        <v>11.299999999999999</v>
      </c>
      <c r="AQ12" s="286">
        <f>'Data-temp_employment'!AQ12-last_qrtr_tempemp!AR12</f>
        <v>-2.0999999999999996</v>
      </c>
      <c r="AR12" s="286">
        <f>'Data-temp_employment'!AR12-last_qrtr_tempemp!AS12</f>
        <v>-6.7</v>
      </c>
      <c r="AS12" s="286">
        <f>'Data-temp_employment'!AS12</f>
        <v>6.5</v>
      </c>
      <c r="AT12" s="279" t="s">
        <v>18</v>
      </c>
      <c r="AU12" s="286">
        <f>'Data-temp_employment'!AU12-last_qrtr_tempemp!AV12</f>
        <v>-16.399999999999999</v>
      </c>
      <c r="AV12" s="286">
        <f>'Data-temp_employment'!AV12-last_qrtr_tempemp!AW12</f>
        <v>-22.299999999999997</v>
      </c>
      <c r="AW12" s="286">
        <f>'Data-temp_employment'!AW12-last_qrtr_tempemp!AX12</f>
        <v>24.1</v>
      </c>
      <c r="AX12" s="286">
        <f>'Data-temp_employment'!AX12-last_qrtr_tempemp!AY12</f>
        <v>2.5</v>
      </c>
      <c r="AY12" s="286">
        <f>'Data-temp_employment'!AY12-last_qrtr_tempemp!AZ12</f>
        <v>-17.600000000000001</v>
      </c>
      <c r="AZ12" s="286">
        <f>'Data-temp_employment'!AZ12-last_qrtr_tempemp!BA12</f>
        <v>-8.2000000000000028</v>
      </c>
      <c r="BA12" s="286">
        <f>'Data-temp_employment'!BA12-last_qrtr_tempemp!BB12</f>
        <v>23.4</v>
      </c>
      <c r="BB12" s="286">
        <f>'Data-temp_employment'!BB12-last_qrtr_tempemp!BC12</f>
        <v>7.5</v>
      </c>
      <c r="BC12" s="286">
        <f>'Data-temp_employment'!BC12-last_qrtr_tempemp!BD12</f>
        <v>-17.600000000000001</v>
      </c>
      <c r="BD12" s="286">
        <f>'Data-temp_employment'!BD12</f>
        <v>46.4</v>
      </c>
      <c r="BE12" s="279" t="s">
        <v>18</v>
      </c>
      <c r="BF12" s="286">
        <f>'Data-temp_employment'!BF12-last_qrtr_tempemp!BG12</f>
        <v>-13.899999999999999</v>
      </c>
      <c r="BG12" s="286">
        <f>'Data-temp_employment'!BG12-last_qrtr_tempemp!BH12</f>
        <v>-8.3999999999999986</v>
      </c>
      <c r="BH12" s="286">
        <f>'Data-temp_employment'!BH12-last_qrtr_tempemp!BI12</f>
        <v>3.8000000000000007</v>
      </c>
      <c r="BI12" s="286">
        <f>'Data-temp_employment'!BI12-last_qrtr_tempemp!BJ12</f>
        <v>6.8999999999999986</v>
      </c>
      <c r="BJ12" s="286">
        <f>'Data-temp_employment'!BJ12-last_qrtr_tempemp!BK12</f>
        <v>1.6000000000000014</v>
      </c>
      <c r="BK12" s="286">
        <f>'Data-temp_employment'!BK12-last_qrtr_tempemp!BL12</f>
        <v>1.3999999999999986</v>
      </c>
      <c r="BL12" s="286">
        <f>'Data-temp_employment'!BL12-last_qrtr_tempemp!BM12</f>
        <v>4.1999999999999993</v>
      </c>
      <c r="BM12" s="286">
        <f>'Data-temp_employment'!BM12-last_qrtr_tempemp!BN12</f>
        <v>0.39999999999999858</v>
      </c>
      <c r="BN12" s="286">
        <f>'Data-temp_employment'!BN12-last_qrtr_tempemp!BO12</f>
        <v>-4</v>
      </c>
      <c r="BO12" s="286">
        <f>'Data-temp_employment'!BO12</f>
        <v>29.6</v>
      </c>
      <c r="BP12" s="282" t="s">
        <v>18</v>
      </c>
      <c r="BQ12" s="286">
        <f>'Data-temp_employment'!BQ12-last_qrtr_tempemp!BR12</f>
        <v>0</v>
      </c>
      <c r="BR12" s="286">
        <f>'Data-temp_employment'!BR12-last_qrtr_tempemp!BS12</f>
        <v>0</v>
      </c>
      <c r="BS12" s="286">
        <f>'Data-temp_employment'!BS12-last_qrtr_tempemp!BT12</f>
        <v>0</v>
      </c>
      <c r="BT12" s="286">
        <f>'Data-temp_employment'!BT12-last_qrtr_tempemp!BU12</f>
        <v>0</v>
      </c>
      <c r="BU12" s="286">
        <f>'Data-temp_employment'!BU12-last_qrtr_tempemp!BV12</f>
        <v>0</v>
      </c>
      <c r="BV12" s="286">
        <f>'Data-temp_employment'!BV12-last_qrtr_tempemp!BW12</f>
        <v>0</v>
      </c>
      <c r="BW12" s="286">
        <f>'Data-temp_employment'!BW12-last_qrtr_tempemp!BX12</f>
        <v>0</v>
      </c>
      <c r="BX12" s="286">
        <f>'Data-temp_employment'!BX12-last_qrtr_tempemp!BY12</f>
        <v>0</v>
      </c>
      <c r="BY12" s="286">
        <f>'Data-temp_employment'!BY12-last_qrtr_tempemp!BZ12</f>
        <v>0</v>
      </c>
      <c r="BZ12" s="286">
        <f>'Data-temp_employment'!BZ12</f>
        <v>0</v>
      </c>
      <c r="CA12" s="282" t="s">
        <v>18</v>
      </c>
      <c r="CB12" s="286">
        <f>'Data-temp_employment'!CB12-last_qrtr_tempemp!CC12</f>
        <v>0</v>
      </c>
      <c r="CC12" s="286">
        <f>'Data-temp_employment'!CC12-last_qrtr_tempemp!CD12</f>
        <v>0</v>
      </c>
      <c r="CD12" s="286">
        <f>'Data-temp_employment'!CD12-last_qrtr_tempemp!CE12</f>
        <v>0</v>
      </c>
      <c r="CE12" s="286">
        <f>'Data-temp_employment'!CE12-last_qrtr_tempemp!CF12</f>
        <v>0</v>
      </c>
      <c r="CF12" s="286">
        <f>'Data-temp_employment'!CF12-last_qrtr_tempemp!CG12</f>
        <v>0</v>
      </c>
      <c r="CG12" s="286">
        <f>'Data-temp_employment'!CG12-last_qrtr_tempemp!CH12</f>
        <v>0</v>
      </c>
      <c r="CH12" s="286">
        <f>'Data-temp_employment'!CH12-last_qrtr_tempemp!CI12</f>
        <v>0</v>
      </c>
      <c r="CI12" s="286">
        <f>'Data-temp_employment'!CI12-last_qrtr_tempemp!CJ12</f>
        <v>0</v>
      </c>
      <c r="CJ12" s="286">
        <f>'Data-temp_employment'!CJ12-last_qrtr_tempemp!CK12</f>
        <v>0</v>
      </c>
      <c r="CK12" s="286">
        <f>'Data-temp_employment'!CK12</f>
        <v>0</v>
      </c>
      <c r="CL12" s="285" t="s">
        <v>18</v>
      </c>
      <c r="CM12" s="286">
        <f>'Data-temp_employment'!CM12-last_qrtr_tempemp!CN12</f>
        <v>-12.600000000000001</v>
      </c>
      <c r="CN12" s="286">
        <f>'Data-temp_employment'!CN12-last_qrtr_tempemp!CO12</f>
        <v>-9.1000000000000014</v>
      </c>
      <c r="CO12" s="286">
        <f>'Data-temp_employment'!CO12-last_qrtr_tempemp!CP12</f>
        <v>20.6</v>
      </c>
      <c r="CP12" s="286">
        <f>'Data-temp_employment'!CP12-last_qrtr_tempemp!CQ12</f>
        <v>2.6000000000000014</v>
      </c>
      <c r="CQ12" s="286">
        <f>'Data-temp_employment'!CQ12-last_qrtr_tempemp!CR12</f>
        <v>-18.600000000000001</v>
      </c>
      <c r="CR12" s="286">
        <f>'Data-temp_employment'!CR12-last_qrtr_tempemp!CS12</f>
        <v>1.1999999999999957</v>
      </c>
      <c r="CS12" s="286">
        <f>'Data-temp_employment'!CS12-last_qrtr_tempemp!CT12</f>
        <v>28.700000000000003</v>
      </c>
      <c r="CT12" s="286">
        <f>'Data-temp_employment'!CT12-last_qrtr_tempemp!CU12</f>
        <v>10.800000000000004</v>
      </c>
      <c r="CU12" s="286">
        <f>'Data-temp_employment'!CU12-last_qrtr_tempemp!CV12</f>
        <v>-19.899999999999999</v>
      </c>
      <c r="CV12" s="286">
        <f>'Data-temp_employment'!CV12</f>
        <v>54.8</v>
      </c>
      <c r="CW12" s="285" t="s">
        <v>18</v>
      </c>
      <c r="CX12" s="286">
        <f>'Data-temp_employment'!CX12-last_qrtr_tempemp!CY12</f>
        <v>-14.5</v>
      </c>
      <c r="CY12" s="286">
        <f>'Data-temp_employment'!CY12-last_qrtr_tempemp!CZ12</f>
        <v>-16.699999999999996</v>
      </c>
      <c r="CZ12" s="286">
        <f>'Data-temp_employment'!CZ12-last_qrtr_tempemp!DA12</f>
        <v>19.399999999999999</v>
      </c>
      <c r="DA12" s="286">
        <f>'Data-temp_employment'!DA12-last_qrtr_tempemp!DB12</f>
        <v>5.3000000000000043</v>
      </c>
      <c r="DB12" s="286">
        <f>'Data-temp_employment'!DB12-last_qrtr_tempemp!DC12</f>
        <v>-7.2999999999999972</v>
      </c>
      <c r="DC12" s="286">
        <f>'Data-temp_employment'!DC12-last_qrtr_tempemp!DD12</f>
        <v>-1.8999999999999986</v>
      </c>
      <c r="DD12" s="286">
        <f>'Data-temp_employment'!DD12-last_qrtr_tempemp!DE12</f>
        <v>20.799999999999997</v>
      </c>
      <c r="DE12" s="286">
        <f>'Data-temp_employment'!DE12-last_qrtr_tempemp!DF12</f>
        <v>3</v>
      </c>
      <c r="DF12" s="286">
        <f>'Data-temp_employment'!DF12-last_qrtr_tempemp!DG12</f>
        <v>-19.899999999999999</v>
      </c>
      <c r="DG12" s="286">
        <f>'Data-temp_employment'!DG12</f>
        <v>47.8</v>
      </c>
      <c r="DH12" s="285" t="s">
        <v>18</v>
      </c>
      <c r="DI12" s="286">
        <f>'Data-temp_employment'!DI12-last_qrtr_tempemp!DJ12</f>
        <v>-9.3999999999999986</v>
      </c>
      <c r="DJ12" s="286">
        <f>'Data-temp_employment'!DJ12-last_qrtr_tempemp!DK12</f>
        <v>-12.5</v>
      </c>
      <c r="DK12" s="286">
        <f>'Data-temp_employment'!DK12-last_qrtr_tempemp!DL12</f>
        <v>0.29999999999999893</v>
      </c>
      <c r="DL12" s="286">
        <f>'Data-temp_employment'!DL12-last_qrtr_tempemp!DM12</f>
        <v>2.0999999999999996</v>
      </c>
      <c r="DM12" s="286">
        <f>'Data-temp_employment'!DM12-last_qrtr_tempemp!DN12</f>
        <v>0.30000000000000071</v>
      </c>
      <c r="DN12" s="286">
        <f>'Data-temp_employment'!DN12-last_qrtr_tempemp!DO12</f>
        <v>9.9999999999999645E-2</v>
      </c>
      <c r="DO12" s="286">
        <f>'Data-temp_employment'!DO12-last_qrtr_tempemp!DP12</f>
        <v>5.5000000000000018</v>
      </c>
      <c r="DP12" s="286">
        <f>'Data-temp_employment'!DP12-last_qrtr_tempemp!DQ12</f>
        <v>2.1999999999999993</v>
      </c>
      <c r="DQ12" s="286">
        <f>'Data-temp_employment'!DQ12-last_qrtr_tempemp!DR12</f>
        <v>-1.5</v>
      </c>
      <c r="DR12" s="286">
        <f>'Data-temp_employment'!DR12</f>
        <v>11.8</v>
      </c>
      <c r="DS12" s="285" t="s">
        <v>18</v>
      </c>
      <c r="DT12" s="286">
        <f>'Data-temp_employment'!DT12-last_qrtr_tempemp!DU12</f>
        <v>0</v>
      </c>
      <c r="DU12" s="286">
        <f>'Data-temp_employment'!DU12-last_qrtr_tempemp!DV12</f>
        <v>0</v>
      </c>
      <c r="DV12" s="286">
        <f>'Data-temp_employment'!DV12-last_qrtr_tempemp!DW12</f>
        <v>0</v>
      </c>
      <c r="DW12" s="286">
        <f>'Data-temp_employment'!DW12-last_qrtr_tempemp!DX12</f>
        <v>0</v>
      </c>
      <c r="DX12" s="286">
        <f>'Data-temp_employment'!DX12-last_qrtr_tempemp!DY12</f>
        <v>0</v>
      </c>
      <c r="DY12" s="286">
        <f>'Data-temp_employment'!DY12-last_qrtr_tempemp!DZ12</f>
        <v>0</v>
      </c>
      <c r="DZ12" s="286">
        <f>'Data-temp_employment'!DZ12-last_qrtr_tempemp!EA12</f>
        <v>0</v>
      </c>
      <c r="EA12" s="286">
        <f>'Data-temp_employment'!EA12-last_qrtr_tempemp!EB12</f>
        <v>0</v>
      </c>
      <c r="EB12" s="286">
        <f>'Data-temp_employment'!EB12-last_qrtr_tempemp!EC12</f>
        <v>0</v>
      </c>
      <c r="EC12" s="286">
        <f>'Data-temp_employment'!EC12</f>
        <v>0</v>
      </c>
      <c r="ED12" s="279" t="s">
        <v>18</v>
      </c>
      <c r="EE12" s="286">
        <f>'Data-temp_employment'!EE12-last_qrtr_tempemp!EF12</f>
        <v>0</v>
      </c>
      <c r="EF12" s="286">
        <f>'Data-temp_employment'!EF12-last_qrtr_tempemp!EG12</f>
        <v>0</v>
      </c>
      <c r="EG12" s="286">
        <f>'Data-temp_employment'!EG12-last_qrtr_tempemp!EH12</f>
        <v>0</v>
      </c>
      <c r="EH12" s="286">
        <f>'Data-temp_employment'!EH12-last_qrtr_tempemp!EI12</f>
        <v>0</v>
      </c>
      <c r="EI12" s="286">
        <f>'Data-temp_employment'!EI12-last_qrtr_tempemp!EJ12</f>
        <v>0</v>
      </c>
      <c r="EJ12" s="286">
        <f>'Data-temp_employment'!EJ12-last_qrtr_tempemp!EK12</f>
        <v>0</v>
      </c>
      <c r="EK12" s="286">
        <f>'Data-temp_employment'!EK12-last_qrtr_tempemp!EL12</f>
        <v>0</v>
      </c>
      <c r="EL12" s="286">
        <f>'Data-temp_employment'!EL12-last_qrtr_tempemp!EM12</f>
        <v>0</v>
      </c>
      <c r="EM12" s="286">
        <f>'Data-temp_employment'!EM12-last_qrtr_tempemp!EN12</f>
        <v>0</v>
      </c>
      <c r="EN12" s="286">
        <f>'Data-temp_employment'!EN12</f>
        <v>0</v>
      </c>
      <c r="EO12" s="279" t="s">
        <v>18</v>
      </c>
      <c r="EP12" s="286">
        <f>'Data-temp_employment'!EP12-last_qrtr_tempemp!EQ12</f>
        <v>0</v>
      </c>
      <c r="EQ12" s="286">
        <f>'Data-temp_employment'!EQ12-last_qrtr_tempemp!ER12</f>
        <v>0</v>
      </c>
      <c r="ER12" s="286">
        <f>'Data-temp_employment'!ER12-last_qrtr_tempemp!ES12</f>
        <v>0</v>
      </c>
      <c r="ES12" s="286">
        <f>'Data-temp_employment'!ES12-last_qrtr_tempemp!ET12</f>
        <v>0</v>
      </c>
      <c r="ET12" s="286">
        <f>'Data-temp_employment'!ET12-last_qrtr_tempemp!EU12</f>
        <v>6.5</v>
      </c>
      <c r="EU12" s="286">
        <f>'Data-temp_employment'!EU12-last_qrtr_tempemp!EV12</f>
        <v>6.3</v>
      </c>
      <c r="EV12" s="286">
        <f>'Data-temp_employment'!EV12-last_qrtr_tempemp!EW12</f>
        <v>6.1</v>
      </c>
      <c r="EW12" s="286">
        <f>'Data-temp_employment'!EW12-last_qrtr_tempemp!EX12</f>
        <v>6</v>
      </c>
      <c r="EX12" s="286">
        <f>'Data-temp_employment'!EX12-last_qrtr_tempemp!EY12</f>
        <v>5.8</v>
      </c>
      <c r="EY12" s="286">
        <f>'Data-temp_employment'!EY12</f>
        <v>5</v>
      </c>
      <c r="EZ12" s="279" t="s">
        <v>18</v>
      </c>
      <c r="FA12" s="286">
        <f>'Data-temp_employment'!FA12-last_qrtr_tempemp!FB12</f>
        <v>0</v>
      </c>
      <c r="FB12" s="286">
        <f>'Data-temp_employment'!FB12-last_qrtr_tempemp!FC12</f>
        <v>0</v>
      </c>
      <c r="FC12" s="286">
        <f>'Data-temp_employment'!FC12-last_qrtr_tempemp!FD12</f>
        <v>0</v>
      </c>
      <c r="FD12" s="286">
        <f>'Data-temp_employment'!FD12-last_qrtr_tempemp!FE12</f>
        <v>0</v>
      </c>
      <c r="FE12" s="286">
        <f>'Data-temp_employment'!FE12-last_qrtr_tempemp!FF12</f>
        <v>0</v>
      </c>
      <c r="FF12" s="286">
        <f>'Data-temp_employment'!FF12-last_qrtr_tempemp!FG12</f>
        <v>0</v>
      </c>
      <c r="FG12" s="286">
        <f>'Data-temp_employment'!FG12-last_qrtr_tempemp!FH12</f>
        <v>0</v>
      </c>
      <c r="FH12" s="286">
        <f>'Data-temp_employment'!FH12-last_qrtr_tempemp!FI12</f>
        <v>0</v>
      </c>
      <c r="FI12" s="286">
        <f>'Data-temp_employment'!FI12-last_qrtr_tempemp!FJ12</f>
        <v>0</v>
      </c>
      <c r="FJ12" s="286">
        <f>'Data-temp_employment'!FJ12</f>
        <v>0</v>
      </c>
      <c r="FK12" s="279" t="s">
        <v>18</v>
      </c>
      <c r="FL12" s="286">
        <f>'Data-temp_employment'!FL12-last_qrtr_tempemp!FM12</f>
        <v>0</v>
      </c>
      <c r="FM12" s="286">
        <f>'Data-temp_employment'!FM12-last_qrtr_tempemp!FN12</f>
        <v>0</v>
      </c>
      <c r="FN12" s="286">
        <f>'Data-temp_employment'!FN12-last_qrtr_tempemp!FO12</f>
        <v>0</v>
      </c>
      <c r="FO12" s="286">
        <f>'Data-temp_employment'!FO12-last_qrtr_tempemp!FP12</f>
        <v>0</v>
      </c>
      <c r="FP12" s="286">
        <f>'Data-temp_employment'!FP12-last_qrtr_tempemp!FQ12</f>
        <v>0</v>
      </c>
      <c r="FQ12" s="286">
        <f>'Data-temp_employment'!FQ12-last_qrtr_tempemp!FR12</f>
        <v>0</v>
      </c>
      <c r="FR12" s="286">
        <f>'Data-temp_employment'!FR12-last_qrtr_tempemp!FS12</f>
        <v>0</v>
      </c>
      <c r="FS12" s="286">
        <f>'Data-temp_employment'!FS12-last_qrtr_tempemp!FT12</f>
        <v>0</v>
      </c>
      <c r="FT12" s="286">
        <f>'Data-temp_employment'!FT12-last_qrtr_tempemp!FU12</f>
        <v>0</v>
      </c>
      <c r="FU12" s="286">
        <f>'Data-temp_employment'!FU12</f>
        <v>0</v>
      </c>
      <c r="FV12" s="279" t="s">
        <v>18</v>
      </c>
      <c r="FW12" s="286">
        <f>'Data-temp_employment'!FW12-last_qrtr_tempemp!FX12</f>
        <v>-9.5</v>
      </c>
      <c r="FX12" s="286">
        <f>'Data-temp_employment'!FX12-last_qrtr_tempemp!FY12</f>
        <v>-20.5</v>
      </c>
      <c r="FY12" s="286">
        <f>'Data-temp_employment'!FY12-last_qrtr_tempemp!FZ12</f>
        <v>10.900000000000002</v>
      </c>
      <c r="FZ12" s="286">
        <f>'Data-temp_employment'!FZ12-last_qrtr_tempemp!GA12</f>
        <v>3.7999999999999972</v>
      </c>
      <c r="GA12" s="286">
        <f>'Data-temp_employment'!GA12-last_qrtr_tempemp!GB12</f>
        <v>-1.6999999999999993</v>
      </c>
      <c r="GB12" s="286">
        <f>'Data-temp_employment'!GB12-last_qrtr_tempemp!GC12</f>
        <v>-0.60000000000000142</v>
      </c>
      <c r="GC12" s="286">
        <f>'Data-temp_employment'!GC12-last_qrtr_tempemp!GD12</f>
        <v>18.600000000000001</v>
      </c>
      <c r="GD12" s="286">
        <f>'Data-temp_employment'!GD12-last_qrtr_tempemp!GE12</f>
        <v>1.3000000000000007</v>
      </c>
      <c r="GE12" s="286">
        <f>'Data-temp_employment'!GE12-last_qrtr_tempemp!GF12</f>
        <v>-14.400000000000002</v>
      </c>
      <c r="GF12" s="286">
        <f>'Data-temp_employment'!GF12</f>
        <v>27.4</v>
      </c>
      <c r="GG12" s="279" t="s">
        <v>18</v>
      </c>
      <c r="GH12" s="286">
        <f>'Data-temp_employment'!GH12-last_qrtr_tempemp!GI12</f>
        <v>-9.8000000000000007</v>
      </c>
      <c r="GI12" s="286">
        <f>'Data-temp_employment'!GI12-last_qrtr_tempemp!GJ12</f>
        <v>0.59999999999999964</v>
      </c>
      <c r="GJ12" s="286">
        <f>'Data-temp_employment'!GJ12-last_qrtr_tempemp!GK12</f>
        <v>8.1</v>
      </c>
      <c r="GK12" s="286">
        <f>'Data-temp_employment'!GK12-last_qrtr_tempemp!GL12</f>
        <v>0</v>
      </c>
      <c r="GL12" s="286">
        <f>'Data-temp_employment'!GL12-last_qrtr_tempemp!GM12</f>
        <v>-7.8</v>
      </c>
      <c r="GM12" s="286">
        <f>'Data-temp_employment'!GM12-last_qrtr_tempemp!GN12</f>
        <v>0.40000000000000213</v>
      </c>
      <c r="GN12" s="286">
        <f>'Data-temp_employment'!GN12-last_qrtr_tempemp!GO12</f>
        <v>12.3</v>
      </c>
      <c r="GO12" s="286">
        <f>'Data-temp_employment'!GO12-last_qrtr_tempemp!GP12</f>
        <v>-0.29999999999999982</v>
      </c>
      <c r="GP12" s="286">
        <f>'Data-temp_employment'!GP12-last_qrtr_tempemp!GQ12</f>
        <v>-10.3</v>
      </c>
      <c r="GQ12" s="286">
        <f>'Data-temp_employment'!GQ12</f>
        <v>11.6</v>
      </c>
      <c r="GR12" s="279" t="s">
        <v>18</v>
      </c>
      <c r="GS12" s="286">
        <f>'Data-temp_employment'!GS12-last_qrtr_tempemp!GT12</f>
        <v>-3.8000000000000007</v>
      </c>
      <c r="GT12" s="286">
        <f>'Data-temp_employment'!GT12-last_qrtr_tempemp!GU12</f>
        <v>-2.4000000000000004</v>
      </c>
      <c r="GU12" s="286">
        <f>'Data-temp_employment'!GU12-last_qrtr_tempemp!GV12</f>
        <v>-0.10000000000000142</v>
      </c>
      <c r="GV12" s="286">
        <f>'Data-temp_employment'!GV12-last_qrtr_tempemp!GW12</f>
        <v>0.69999999999999929</v>
      </c>
      <c r="GW12" s="286">
        <f>'Data-temp_employment'!GW12-last_qrtr_tempemp!GX12</f>
        <v>-2.1999999999999993</v>
      </c>
      <c r="GX12" s="286">
        <f>'Data-temp_employment'!GX12-last_qrtr_tempemp!GY12</f>
        <v>0.30000000000000071</v>
      </c>
      <c r="GY12" s="286">
        <f>'Data-temp_employment'!GY12-last_qrtr_tempemp!GZ12</f>
        <v>3.1000000000000014</v>
      </c>
      <c r="GZ12" s="286">
        <f>'Data-temp_employment'!GZ12-last_qrtr_tempemp!HA12</f>
        <v>1.3999999999999986</v>
      </c>
      <c r="HA12" s="286">
        <f>'Data-temp_employment'!HA12-last_qrtr_tempemp!HB12</f>
        <v>-2.4000000000000004</v>
      </c>
      <c r="HB12" s="286">
        <f>'Data-temp_employment'!HB12</f>
        <v>9.1999999999999993</v>
      </c>
      <c r="HC12" s="279" t="s">
        <v>18</v>
      </c>
      <c r="HD12" s="286">
        <f>'Data-temp_employment'!HD12-last_qrtr_tempemp!HE12</f>
        <v>-8.5</v>
      </c>
      <c r="HE12" s="286">
        <f>'Data-temp_employment'!HE12-last_qrtr_tempemp!HF12</f>
        <v>-7.2</v>
      </c>
      <c r="HF12" s="286">
        <f>'Data-temp_employment'!HF12-last_qrtr_tempemp!HG12</f>
        <v>7.7</v>
      </c>
      <c r="HG12" s="286">
        <f>'Data-temp_employment'!HG12-last_qrtr_tempemp!HH12</f>
        <v>5.3</v>
      </c>
      <c r="HH12" s="286">
        <f>'Data-temp_employment'!HH12-last_qrtr_tempemp!HI12</f>
        <v>0</v>
      </c>
      <c r="HI12" s="286">
        <f>'Data-temp_employment'!HI12-last_qrtr_tempemp!HJ12</f>
        <v>-7.7</v>
      </c>
      <c r="HJ12" s="286">
        <f>'Data-temp_employment'!HJ12-last_qrtr_tempemp!HK12</f>
        <v>0.20000000000000018</v>
      </c>
      <c r="HK12" s="286">
        <f>'Data-temp_employment'!HK12-last_qrtr_tempemp!HL12</f>
        <v>4.9000000000000004</v>
      </c>
      <c r="HL12" s="286">
        <f>'Data-temp_employment'!HL12-last_qrtr_tempemp!HM12</f>
        <v>-0.19999999999999929</v>
      </c>
      <c r="HM12" s="286">
        <f>'Data-temp_employment'!HM12</f>
        <v>0</v>
      </c>
      <c r="HN12" s="279" t="s">
        <v>18</v>
      </c>
      <c r="HO12" s="286">
        <f>'Data-temp_employment'!HO12-last_qrtr_tempemp!HP12</f>
        <v>-6.1000000000000014</v>
      </c>
      <c r="HP12" s="286">
        <f>'Data-temp_employment'!HP12-last_qrtr_tempemp!HQ12</f>
        <v>-6.1999999999999957</v>
      </c>
      <c r="HQ12" s="286">
        <f>'Data-temp_employment'!HQ12-last_qrtr_tempemp!HR12</f>
        <v>18</v>
      </c>
      <c r="HR12" s="286">
        <f>'Data-temp_employment'!HR12-last_qrtr_tempemp!HS12</f>
        <v>1.3999999999999986</v>
      </c>
      <c r="HS12" s="286">
        <f>'Data-temp_employment'!HS12-last_qrtr_tempemp!HT12</f>
        <v>-13.600000000000001</v>
      </c>
      <c r="HT12" s="286">
        <f>'Data-temp_employment'!HT12-last_qrtr_tempemp!HU12</f>
        <v>-3.4000000000000057</v>
      </c>
      <c r="HU12" s="286">
        <f>'Data-temp_employment'!HU12-last_qrtr_tempemp!HV12</f>
        <v>19.400000000000006</v>
      </c>
      <c r="HV12" s="286">
        <f>'Data-temp_employment'!HV12-last_qrtr_tempemp!HW12</f>
        <v>11</v>
      </c>
      <c r="HW12" s="286">
        <f>'Data-temp_employment'!HW12-last_qrtr_tempemp!HX12</f>
        <v>-8.5999999999999943</v>
      </c>
      <c r="HX12" s="286">
        <f>'Data-temp_employment'!HX12</f>
        <v>47.8</v>
      </c>
      <c r="HY12" s="279" t="s">
        <v>18</v>
      </c>
      <c r="HZ12" s="286">
        <f>'Data-temp_employment'!HZ12-last_qrtr_tempemp!IA12</f>
        <v>0</v>
      </c>
      <c r="IA12" s="286">
        <f>'Data-temp_employment'!IA12-last_qrtr_tempemp!IB12</f>
        <v>0</v>
      </c>
      <c r="IB12" s="286">
        <f>'Data-temp_employment'!IB12-last_qrtr_tempemp!IC12</f>
        <v>0</v>
      </c>
      <c r="IC12" s="286">
        <f>'Data-temp_employment'!IC12-last_qrtr_tempemp!ID12</f>
        <v>0</v>
      </c>
      <c r="ID12" s="286">
        <f>'Data-temp_employment'!ID12-last_qrtr_tempemp!IE12</f>
        <v>0</v>
      </c>
      <c r="IE12" s="286">
        <f>'Data-temp_employment'!IE12-last_qrtr_tempemp!IF12</f>
        <v>0</v>
      </c>
      <c r="IF12" s="286">
        <f>'Data-temp_employment'!IF12-last_qrtr_tempemp!IG12</f>
        <v>0</v>
      </c>
      <c r="IG12" s="286">
        <f>'Data-temp_employment'!IG12-last_qrtr_tempemp!IH12</f>
        <v>0</v>
      </c>
      <c r="IH12" s="286">
        <f>'Data-temp_employment'!IH12-last_qrtr_tempemp!II12</f>
        <v>0</v>
      </c>
      <c r="II12" s="286">
        <f>'Data-temp_employment'!II12</f>
        <v>0</v>
      </c>
      <c r="IJ12" s="279" t="s">
        <v>18</v>
      </c>
      <c r="IK12" s="286">
        <f>'Data-temp_employment'!IK12-last_qrtr_tempemp!IL12</f>
        <v>0</v>
      </c>
      <c r="IL12" s="286">
        <f>'Data-temp_employment'!IL12-last_qrtr_tempemp!IM12</f>
        <v>0</v>
      </c>
      <c r="IM12" s="286">
        <f>'Data-temp_employment'!IM12-last_qrtr_tempemp!IN12</f>
        <v>0</v>
      </c>
      <c r="IN12" s="286">
        <f>'Data-temp_employment'!IN12-last_qrtr_tempemp!IO12</f>
        <v>0</v>
      </c>
      <c r="IO12" s="286">
        <f>'Data-temp_employment'!IO12-last_qrtr_tempemp!IP12</f>
        <v>0</v>
      </c>
      <c r="IP12" s="286">
        <f>'Data-temp_employment'!IP12-last_qrtr_tempemp!IQ12</f>
        <v>0</v>
      </c>
      <c r="IQ12" s="286">
        <f>'Data-temp_employment'!IQ12-last_qrtr_tempemp!IR12</f>
        <v>0</v>
      </c>
      <c r="IR12" s="286">
        <f>'Data-temp_employment'!IR12-last_qrtr_tempemp!IS12</f>
        <v>0</v>
      </c>
      <c r="IS12" s="286">
        <f>'Data-temp_employment'!IS12-last_qrtr_tempemp!IT12</f>
        <v>0</v>
      </c>
      <c r="IT12" s="286">
        <f>'Data-temp_employment'!IT12</f>
        <v>0</v>
      </c>
      <c r="IU12" s="279" t="s">
        <v>18</v>
      </c>
      <c r="IV12" s="286">
        <f>'Data-temp_employment'!IV12-last_qrtr_tempemp!IW12</f>
        <v>-9.4</v>
      </c>
      <c r="IW12" s="286">
        <f>'Data-temp_employment'!IW12-last_qrtr_tempemp!IX12</f>
        <v>-0.80000000000000071</v>
      </c>
      <c r="IX12" s="286">
        <f>'Data-temp_employment'!IX12-last_qrtr_tempemp!IY12</f>
        <v>13.199999999999996</v>
      </c>
      <c r="IY12" s="286">
        <f>'Data-temp_employment'!IY12-last_qrtr_tempemp!IZ12</f>
        <v>9.9999999999999645E-2</v>
      </c>
      <c r="IZ12" s="286">
        <f>'Data-temp_employment'!IZ12-last_qrtr_tempemp!JA12</f>
        <v>-18.5</v>
      </c>
      <c r="JA12" s="286">
        <f>'Data-temp_employment'!JA12-last_qrtr_tempemp!JB12</f>
        <v>3.1000000000000014</v>
      </c>
      <c r="JB12" s="286">
        <f>'Data-temp_employment'!JB12-last_qrtr_tempemp!JC12</f>
        <v>22.799999999999997</v>
      </c>
      <c r="JC12" s="286">
        <f>'Data-temp_employment'!JC12-last_qrtr_tempemp!JD12</f>
        <v>6.7000000000000011</v>
      </c>
      <c r="JD12" s="286">
        <f>'Data-temp_employment'!JD12-last_qrtr_tempemp!JE12</f>
        <v>-22.799999999999997</v>
      </c>
      <c r="JE12" s="286">
        <f>'Data-temp_employment'!JE12</f>
        <v>29.7</v>
      </c>
      <c r="JF12" s="279" t="s">
        <v>18</v>
      </c>
      <c r="JG12" s="286">
        <f>'Data-temp_employment'!JG12-last_qrtr_tempemp!JH12</f>
        <v>-4.3</v>
      </c>
      <c r="JH12" s="286">
        <f>'Data-temp_employment'!JH12-last_qrtr_tempemp!JI12</f>
        <v>-7.3</v>
      </c>
      <c r="JI12" s="286">
        <f>'Data-temp_employment'!JI12-last_qrtr_tempemp!JJ12</f>
        <v>1.3000000000000007</v>
      </c>
      <c r="JJ12" s="286">
        <f>'Data-temp_employment'!JJ12-last_qrtr_tempemp!JK12</f>
        <v>-1.2999999999999998</v>
      </c>
      <c r="JK12" s="286">
        <f>'Data-temp_employment'!JK12-last_qrtr_tempemp!JL12</f>
        <v>1.2000000000000002</v>
      </c>
      <c r="JL12" s="286">
        <f>'Data-temp_employment'!JL12-last_qrtr_tempemp!JM12</f>
        <v>-0.70000000000000107</v>
      </c>
      <c r="JM12" s="286">
        <f>'Data-temp_employment'!JM12-last_qrtr_tempemp!JN12</f>
        <v>1.2999999999999998</v>
      </c>
      <c r="JN12" s="286">
        <f>'Data-temp_employment'!JN12-last_qrtr_tempemp!JO12</f>
        <v>0.90000000000000036</v>
      </c>
      <c r="JO12" s="286">
        <f>'Data-temp_employment'!JO12-last_qrtr_tempemp!JP12</f>
        <v>0.40000000000000036</v>
      </c>
      <c r="JP12" s="286">
        <f>'Data-temp_employment'!JP12</f>
        <v>6.2</v>
      </c>
      <c r="JQ12" s="279" t="s">
        <v>18</v>
      </c>
      <c r="JR12" s="286">
        <f>'Data-temp_employment'!JR12-last_qrtr_tempemp!JS12</f>
        <v>-2.5999999999999996</v>
      </c>
      <c r="JS12" s="286">
        <f>'Data-temp_employment'!JS12-last_qrtr_tempemp!JT12</f>
        <v>1.6999999999999993</v>
      </c>
      <c r="JT12" s="286">
        <f>'Data-temp_employment'!JT12-last_qrtr_tempemp!JU12</f>
        <v>6.2000000000000011</v>
      </c>
      <c r="JU12" s="286">
        <f>'Data-temp_employment'!JU12-last_qrtr_tempemp!JV12</f>
        <v>1.0000000000000018</v>
      </c>
      <c r="JV12" s="286">
        <f>'Data-temp_employment'!JV12-last_qrtr_tempemp!JW12</f>
        <v>-4.2000000000000011</v>
      </c>
      <c r="JW12" s="286">
        <f>'Data-temp_employment'!JW12-last_qrtr_tempemp!JX12</f>
        <v>2</v>
      </c>
      <c r="JX12" s="286">
        <f>'Data-temp_employment'!JX12-last_qrtr_tempemp!JY12</f>
        <v>4.6999999999999993</v>
      </c>
      <c r="JY12" s="286">
        <f>'Data-temp_employment'!JY12-last_qrtr_tempemp!JZ12</f>
        <v>5.0999999999999996</v>
      </c>
      <c r="JZ12" s="286">
        <f>'Data-temp_employment'!JZ12-last_qrtr_tempemp!KA12</f>
        <v>-0.90000000000000213</v>
      </c>
      <c r="KA12" s="286">
        <f>'Data-temp_employment'!KA12</f>
        <v>19.399999999999999</v>
      </c>
      <c r="KB12" s="279" t="s">
        <v>18</v>
      </c>
      <c r="KC12" s="286">
        <f>'Data-temp_employment'!KC12-last_qrtr_tempemp!KD12</f>
        <v>-2.4000000000000004</v>
      </c>
      <c r="KD12" s="286">
        <f>'Data-temp_employment'!KD12-last_qrtr_tempemp!KE12</f>
        <v>-1.4000000000000004</v>
      </c>
      <c r="KE12" s="286">
        <f>'Data-temp_employment'!KE12-last_qrtr_tempemp!KF12</f>
        <v>2.4000000000000004</v>
      </c>
      <c r="KF12" s="286">
        <f>'Data-temp_employment'!KF12-last_qrtr_tempemp!KG12</f>
        <v>2</v>
      </c>
      <c r="KG12" s="286">
        <f>'Data-temp_employment'!KG12-last_qrtr_tempemp!KH12</f>
        <v>-2.7999999999999989</v>
      </c>
      <c r="KH12" s="286">
        <f>'Data-temp_employment'!KH12-last_qrtr_tempemp!KI12</f>
        <v>-1.7999999999999998</v>
      </c>
      <c r="KI12" s="286">
        <f>'Data-temp_employment'!KI12-last_qrtr_tempemp!KJ12</f>
        <v>2.4000000000000004</v>
      </c>
      <c r="KJ12" s="286">
        <f>'Data-temp_employment'!KJ12-last_qrtr_tempemp!KK12</f>
        <v>2.5999999999999996</v>
      </c>
      <c r="KK12" s="286">
        <f>'Data-temp_employment'!KK12-last_qrtr_tempemp!KL12</f>
        <v>-1.4000000000000004</v>
      </c>
      <c r="KL12" s="286">
        <f>'Data-temp_employment'!KL12</f>
        <v>4.8</v>
      </c>
      <c r="KM12" s="279" t="s">
        <v>18</v>
      </c>
      <c r="KN12" s="286">
        <f>'Data-temp_employment'!KN12-last_qrtr_tempemp!KO12</f>
        <v>0</v>
      </c>
      <c r="KO12" s="286">
        <f>'Data-temp_employment'!KO12-last_qrtr_tempemp!KP12</f>
        <v>0</v>
      </c>
      <c r="KP12" s="286">
        <f>'Data-temp_employment'!KP12-last_qrtr_tempemp!KQ12</f>
        <v>0</v>
      </c>
      <c r="KQ12" s="286">
        <f>'Data-temp_employment'!KQ12-last_qrtr_tempemp!KR12</f>
        <v>0</v>
      </c>
      <c r="KR12" s="286">
        <f>'Data-temp_employment'!KR12-last_qrtr_tempemp!KS12</f>
        <v>0</v>
      </c>
      <c r="KS12" s="286">
        <f>'Data-temp_employment'!KS12-last_qrtr_tempemp!KT12</f>
        <v>0</v>
      </c>
      <c r="KT12" s="286">
        <f>'Data-temp_employment'!KT12-last_qrtr_tempemp!KU12</f>
        <v>0</v>
      </c>
      <c r="KU12" s="286">
        <f>'Data-temp_employment'!KU12-last_qrtr_tempemp!KV12</f>
        <v>0</v>
      </c>
      <c r="KV12" s="286">
        <f>'Data-temp_employment'!KV12-last_qrtr_tempemp!KW12</f>
        <v>0</v>
      </c>
      <c r="KW12" s="286">
        <f>'Data-temp_employment'!KW12</f>
        <v>0</v>
      </c>
      <c r="KX12" s="279" t="s">
        <v>18</v>
      </c>
      <c r="KY12" s="286">
        <f>'Data-temp_employment'!KY12-last_qrtr_tempemp!KZ12</f>
        <v>-11.900000000000002</v>
      </c>
      <c r="KZ12" s="286">
        <f>'Data-temp_employment'!KZ12-last_qrtr_tempemp!LA12</f>
        <v>-21.9</v>
      </c>
      <c r="LA12" s="286">
        <f>'Data-temp_employment'!LA12-last_qrtr_tempemp!LB12</f>
        <v>17.5</v>
      </c>
      <c r="LB12" s="286">
        <f>'Data-temp_employment'!LB12-last_qrtr_tempemp!LC12</f>
        <v>1.3000000000000007</v>
      </c>
      <c r="LC12" s="286">
        <f>'Data-temp_employment'!LC12-last_qrtr_tempemp!LD12</f>
        <v>-7.8</v>
      </c>
      <c r="LD12" s="286">
        <f>'Data-temp_employment'!LD12-last_qrtr_tempemp!LE12</f>
        <v>-9.8000000000000007</v>
      </c>
      <c r="LE12" s="286">
        <f>'Data-temp_employment'!LE12-last_qrtr_tempemp!LF12</f>
        <v>17.399999999999999</v>
      </c>
      <c r="LF12" s="286">
        <f>'Data-temp_employment'!LF12-last_qrtr_tempemp!LG12</f>
        <v>4.5000000000000009</v>
      </c>
      <c r="LG12" s="286">
        <f>'Data-temp_employment'!LG12-last_qrtr_tempemp!LH12</f>
        <v>-9.5</v>
      </c>
      <c r="LH12" s="286">
        <f>'Data-temp_employment'!LH12</f>
        <v>17.3</v>
      </c>
      <c r="LI12" s="279" t="s">
        <v>18</v>
      </c>
      <c r="LJ12" s="286">
        <f>'Data-temp_employment'!LJ12-last_qrtr_tempemp!LK12</f>
        <v>0</v>
      </c>
      <c r="LK12" s="286">
        <f>'Data-temp_employment'!LK12-last_qrtr_tempemp!LL12</f>
        <v>0</v>
      </c>
      <c r="LL12" s="286">
        <f>'Data-temp_employment'!LL12-last_qrtr_tempemp!LM12</f>
        <v>0</v>
      </c>
      <c r="LM12" s="286">
        <f>'Data-temp_employment'!LM12-last_qrtr_tempemp!LN12</f>
        <v>0</v>
      </c>
      <c r="LN12" s="286">
        <f>'Data-temp_employment'!LN12-last_qrtr_tempemp!LO12</f>
        <v>0</v>
      </c>
      <c r="LO12" s="286">
        <f>'Data-temp_employment'!LO12-last_qrtr_tempemp!LP12</f>
        <v>0</v>
      </c>
      <c r="LP12" s="286">
        <f>'Data-temp_employment'!LP12-last_qrtr_tempemp!LQ12</f>
        <v>0</v>
      </c>
      <c r="LQ12" s="286">
        <f>'Data-temp_employment'!LQ12-last_qrtr_tempemp!LR12</f>
        <v>0</v>
      </c>
      <c r="LR12" s="286">
        <f>'Data-temp_employment'!LR12-last_qrtr_tempemp!LS12</f>
        <v>0</v>
      </c>
      <c r="LS12" s="286">
        <f>'Data-temp_employment'!LS12</f>
        <v>0</v>
      </c>
      <c r="LT12" s="279" t="s">
        <v>18</v>
      </c>
      <c r="LU12" s="286">
        <f>'Data-temp_employment'!LU12-last_qrtr_tempemp!LV12</f>
        <v>0</v>
      </c>
      <c r="LV12" s="286">
        <f>'Data-temp_employment'!LV12-last_qrtr_tempemp!LW12</f>
        <v>0</v>
      </c>
      <c r="LW12" s="286">
        <f>'Data-temp_employment'!LW12-last_qrtr_tempemp!LX12</f>
        <v>0</v>
      </c>
      <c r="LX12" s="286">
        <f>'Data-temp_employment'!LX12-last_qrtr_tempemp!LY12</f>
        <v>0</v>
      </c>
      <c r="LY12" s="286">
        <f>'Data-temp_employment'!LY12-last_qrtr_tempemp!LZ12</f>
        <v>0</v>
      </c>
      <c r="LZ12" s="286">
        <f>'Data-temp_employment'!LZ12-last_qrtr_tempemp!MA12</f>
        <v>0</v>
      </c>
      <c r="MA12" s="286">
        <f>'Data-temp_employment'!MA12-last_qrtr_tempemp!MB12</f>
        <v>0</v>
      </c>
      <c r="MB12" s="286">
        <f>'Data-temp_employment'!MB12-last_qrtr_tempemp!MC12</f>
        <v>0</v>
      </c>
      <c r="MC12" s="286">
        <f>'Data-temp_employment'!MC12-last_qrtr_tempemp!MD12</f>
        <v>0</v>
      </c>
      <c r="MD12" s="286">
        <f>'Data-temp_employment'!MD12</f>
        <v>0</v>
      </c>
      <c r="ME12" s="279" t="s">
        <v>18</v>
      </c>
      <c r="MF12" s="286">
        <f>'Data-temp_employment'!MF12-last_qrtr_tempemp!MG12</f>
        <v>0</v>
      </c>
      <c r="MG12" s="286">
        <f>'Data-temp_employment'!MG12-last_qrtr_tempemp!MH12</f>
        <v>0</v>
      </c>
      <c r="MH12" s="286">
        <f>'Data-temp_employment'!MH12-last_qrtr_tempemp!MI12</f>
        <v>0</v>
      </c>
      <c r="MI12" s="286">
        <f>'Data-temp_employment'!MI12-last_qrtr_tempemp!MJ12</f>
        <v>0</v>
      </c>
      <c r="MJ12" s="286">
        <f>'Data-temp_employment'!MJ12-last_qrtr_tempemp!MK12</f>
        <v>0</v>
      </c>
      <c r="MK12" s="286">
        <f>'Data-temp_employment'!MK12-last_qrtr_tempemp!ML12</f>
        <v>0</v>
      </c>
      <c r="ML12" s="286">
        <f>'Data-temp_employment'!ML12-last_qrtr_tempemp!MM12</f>
        <v>0</v>
      </c>
      <c r="MM12" s="286">
        <f>'Data-temp_employment'!MM12-last_qrtr_tempemp!MN12</f>
        <v>0</v>
      </c>
      <c r="MN12" s="286">
        <f>'Data-temp_employment'!MN12-last_qrtr_tempemp!MO12</f>
        <v>0</v>
      </c>
      <c r="MO12" s="286">
        <f>'Data-temp_employment'!MO12</f>
        <v>0</v>
      </c>
      <c r="MP12" s="279" t="s">
        <v>18</v>
      </c>
      <c r="MQ12" s="286">
        <f>'Data-temp_employment'!MQ12-last_qrtr_tempemp!MR12</f>
        <v>-0.90000000000000036</v>
      </c>
      <c r="MR12" s="286">
        <f>'Data-temp_employment'!MR12-last_qrtr_tempemp!MS12</f>
        <v>-2.9000000000000004</v>
      </c>
      <c r="MS12" s="286">
        <f>'Data-temp_employment'!MS12-last_qrtr_tempemp!MT12</f>
        <v>0.90000000000000036</v>
      </c>
      <c r="MT12" s="286">
        <f>'Data-temp_employment'!MT12-last_qrtr_tempemp!MU12</f>
        <v>-0.20000000000000107</v>
      </c>
      <c r="MU12" s="286">
        <f>'Data-temp_employment'!MU12-last_qrtr_tempemp!MV12</f>
        <v>1.0999999999999996</v>
      </c>
      <c r="MV12" s="286">
        <f>'Data-temp_employment'!MV12-last_qrtr_tempemp!MW12</f>
        <v>-5.5</v>
      </c>
      <c r="MW12" s="286">
        <f>'Data-temp_employment'!MW12-last_qrtr_tempemp!MX12</f>
        <v>-3.6999999999999993</v>
      </c>
      <c r="MX12" s="286">
        <f>'Data-temp_employment'!MX12-last_qrtr_tempemp!MY12</f>
        <v>-1.3999999999999986</v>
      </c>
      <c r="MY12" s="286">
        <f>'Data-temp_employment'!MY12-last_qrtr_tempemp!MZ12</f>
        <v>3.1999999999999993</v>
      </c>
      <c r="MZ12" s="286">
        <f>'Data-temp_employment'!MZ12</f>
        <v>7.3</v>
      </c>
      <c r="NA12" s="279" t="s">
        <v>18</v>
      </c>
      <c r="NB12" s="286">
        <f>'Data-temp_employment'!NB12-last_qrtr_tempemp!NC12</f>
        <v>0</v>
      </c>
      <c r="NC12" s="286">
        <f>'Data-temp_employment'!NC12-last_qrtr_tempemp!ND12</f>
        <v>6</v>
      </c>
      <c r="ND12" s="286">
        <f>'Data-temp_employment'!ND12-last_qrtr_tempemp!NE12</f>
        <v>0</v>
      </c>
      <c r="NE12" s="286">
        <f>'Data-temp_employment'!NE12-last_qrtr_tempemp!NF12</f>
        <v>0</v>
      </c>
      <c r="NF12" s="286">
        <f>'Data-temp_employment'!NF12-last_qrtr_tempemp!NG12</f>
        <v>5.9</v>
      </c>
      <c r="NG12" s="286">
        <f>'Data-temp_employment'!NG12-last_qrtr_tempemp!NH12</f>
        <v>6.1</v>
      </c>
      <c r="NH12" s="286">
        <f>'Data-temp_employment'!NH12-last_qrtr_tempemp!NI12</f>
        <v>7.1</v>
      </c>
      <c r="NI12" s="286">
        <f>'Data-temp_employment'!NI12-last_qrtr_tempemp!NJ12</f>
        <v>6.1</v>
      </c>
      <c r="NJ12" s="286">
        <f>'Data-temp_employment'!NJ12-last_qrtr_tempemp!NK12</f>
        <v>0</v>
      </c>
      <c r="NK12" s="286">
        <f>'Data-temp_employment'!NK12</f>
        <v>5</v>
      </c>
      <c r="NL12" s="279" t="s">
        <v>18</v>
      </c>
      <c r="NM12" s="286">
        <f>'Data-temp_employment'!NM12-last_qrtr_tempemp!NN12</f>
        <v>0</v>
      </c>
      <c r="NN12" s="286">
        <f>'Data-temp_employment'!NN12-last_qrtr_tempemp!NO12</f>
        <v>0</v>
      </c>
      <c r="NO12" s="286">
        <f>'Data-temp_employment'!NO12-last_qrtr_tempemp!NP12</f>
        <v>0</v>
      </c>
      <c r="NP12" s="286">
        <f>'Data-temp_employment'!NP12-last_qrtr_tempemp!NQ12</f>
        <v>0</v>
      </c>
      <c r="NQ12" s="286">
        <f>'Data-temp_employment'!NQ12-last_qrtr_tempemp!NR12</f>
        <v>0</v>
      </c>
      <c r="NR12" s="286">
        <f>'Data-temp_employment'!NR12-last_qrtr_tempemp!NS12</f>
        <v>0</v>
      </c>
      <c r="NS12" s="286">
        <f>'Data-temp_employment'!NS12-last_qrtr_tempemp!NT12</f>
        <v>0</v>
      </c>
      <c r="NT12" s="286">
        <f>'Data-temp_employment'!NT12-last_qrtr_tempemp!NU12</f>
        <v>0</v>
      </c>
      <c r="NU12" s="286">
        <f>'Data-temp_employment'!NU12-last_qrtr_tempemp!NV12</f>
        <v>0</v>
      </c>
      <c r="NV12" s="286">
        <f>'Data-temp_employment'!NV12</f>
        <v>0</v>
      </c>
      <c r="NW12" s="279" t="s">
        <v>18</v>
      </c>
      <c r="NX12" s="286">
        <f>'Data-temp_employment'!NX12-last_qrtr_tempemp!NY12</f>
        <v>0</v>
      </c>
      <c r="NY12" s="286">
        <f>'Data-temp_employment'!NY12-last_qrtr_tempemp!NZ12</f>
        <v>-7.3</v>
      </c>
      <c r="NZ12" s="286">
        <f>'Data-temp_employment'!NZ12-last_qrtr_tempemp!OA12</f>
        <v>-7.3</v>
      </c>
      <c r="OA12" s="286">
        <f>'Data-temp_employment'!OA12-last_qrtr_tempemp!OB12</f>
        <v>7</v>
      </c>
      <c r="OB12" s="286">
        <f>'Data-temp_employment'!OB12-last_qrtr_tempemp!OC12</f>
        <v>9.4</v>
      </c>
      <c r="OC12" s="286">
        <f>'Data-temp_employment'!OC12-last_qrtr_tempemp!OD12</f>
        <v>11.7</v>
      </c>
      <c r="OD12" s="286">
        <f>'Data-temp_employment'!OD12-last_qrtr_tempemp!OE12</f>
        <v>1.1999999999999993</v>
      </c>
      <c r="OE12" s="286">
        <f>'Data-temp_employment'!OE12-last_qrtr_tempemp!OF12</f>
        <v>-1.4000000000000004</v>
      </c>
      <c r="OF12" s="286">
        <f>'Data-temp_employment'!OF12-last_qrtr_tempemp!OG12</f>
        <v>-3.5</v>
      </c>
      <c r="OG12" s="286">
        <f>'Data-temp_employment'!OG12</f>
        <v>8.4</v>
      </c>
      <c r="OH12" s="287" t="s">
        <v>18</v>
      </c>
      <c r="OI12" s="286"/>
      <c r="OJ12" s="286"/>
      <c r="OK12" s="286"/>
      <c r="OL12" s="286"/>
      <c r="OM12" s="286"/>
      <c r="ON12" s="286"/>
      <c r="OO12" s="286"/>
      <c r="OP12" s="286"/>
      <c r="OQ12" s="286"/>
      <c r="OR12" s="286"/>
      <c r="OS12" s="279" t="s">
        <v>18</v>
      </c>
      <c r="OT12" s="286" t="e">
        <f>'Data-temp_employment'!#REF!-last_qrtr_tempemp!OU12</f>
        <v>#REF!</v>
      </c>
      <c r="OU12" s="286">
        <f>'Data-temp_employment'!OT12-last_qrtr_tempemp!OV12</f>
        <v>0.30000000000000004</v>
      </c>
      <c r="OV12" s="286">
        <f>'Data-temp_employment'!OU12-last_qrtr_tempemp!OW12</f>
        <v>1.3</v>
      </c>
      <c r="OW12" s="286">
        <f>'Data-temp_employment'!OV12-last_qrtr_tempemp!OX12</f>
        <v>-0.30000000000000004</v>
      </c>
      <c r="OX12" s="286">
        <f>'Data-temp_employment'!OW12-last_qrtr_tempemp!OY12</f>
        <v>0.5</v>
      </c>
      <c r="OY12" s="286">
        <f>'Data-temp_employment'!OX12-last_qrtr_tempemp!OZ12</f>
        <v>-0.4</v>
      </c>
      <c r="OZ12" s="286">
        <f>'Data-temp_employment'!OY12-last_qrtr_tempemp!PA12</f>
        <v>0.4</v>
      </c>
      <c r="PA12" s="286">
        <f>'Data-temp_employment'!OZ12-last_qrtr_tempemp!PB12</f>
        <v>9.9999999999999978E-2</v>
      </c>
      <c r="PB12" s="286">
        <f>'Data-temp_employment'!PA12-last_qrtr_tempemp!PC12</f>
        <v>-0.20000000000000007</v>
      </c>
      <c r="PC12" s="286">
        <f>'Data-temp_employment'!PB12</f>
        <v>0.9</v>
      </c>
      <c r="PE12" s="319"/>
      <c r="PF12" s="319"/>
      <c r="PG12" s="319"/>
      <c r="PH12" s="319"/>
      <c r="PI12" s="319"/>
      <c r="PJ12" s="319"/>
      <c r="PK12" s="319"/>
      <c r="PL12" s="319"/>
      <c r="PM12" s="319"/>
      <c r="PN12" s="319"/>
      <c r="PO12" s="319"/>
      <c r="PP12" s="319"/>
      <c r="PQ12" s="319"/>
      <c r="PR12" s="319"/>
      <c r="PS12" s="319"/>
      <c r="PT12" s="319"/>
      <c r="PU12" s="319"/>
      <c r="PV12" s="319"/>
      <c r="PW12" s="319"/>
      <c r="PX12" s="319"/>
      <c r="PY12" s="319"/>
      <c r="PZ12" s="319"/>
      <c r="QA12" s="319"/>
      <c r="QB12" s="319"/>
      <c r="QC12" s="319"/>
      <c r="QD12" s="319"/>
      <c r="QE12" s="319"/>
      <c r="QF12" s="319"/>
      <c r="QG12" s="319"/>
      <c r="QH12" s="319"/>
      <c r="QI12" s="319"/>
      <c r="QJ12" s="319"/>
      <c r="QK12" s="319"/>
      <c r="QL12" s="319"/>
      <c r="QM12" s="319"/>
      <c r="QN12" s="319"/>
      <c r="QO12" s="319"/>
      <c r="QP12" s="319"/>
      <c r="QQ12" s="319"/>
      <c r="QR12" s="319"/>
      <c r="QS12" s="319"/>
      <c r="QT12" s="319"/>
      <c r="QU12" s="319"/>
      <c r="QV12" s="319"/>
      <c r="QW12" s="319"/>
      <c r="QX12" s="319"/>
      <c r="QY12" s="319"/>
      <c r="QZ12" s="319"/>
      <c r="RA12" s="319"/>
      <c r="RB12" s="319"/>
      <c r="RC12" s="319"/>
      <c r="RD12" s="319"/>
      <c r="RE12" s="319"/>
      <c r="RF12" s="319"/>
      <c r="RG12" s="319"/>
      <c r="RH12" s="319"/>
      <c r="RI12" s="319"/>
      <c r="RJ12" s="319"/>
      <c r="RK12" s="319"/>
      <c r="RL12" s="319"/>
      <c r="RM12" s="319"/>
      <c r="RN12" s="319"/>
      <c r="RO12" s="319"/>
      <c r="RP12" s="319"/>
    </row>
    <row r="13" spans="1:484">
      <c r="A13" s="269">
        <v>10</v>
      </c>
      <c r="B13" s="285" t="s">
        <v>26</v>
      </c>
      <c r="C13" s="286">
        <f>'Data-temp_employment'!C13-last_qrtr_tempemp!D13</f>
        <v>0.59999999999999787</v>
      </c>
      <c r="D13" s="286">
        <f>'Data-temp_employment'!D13-last_qrtr_tempemp!E13</f>
        <v>1.1999999999999993</v>
      </c>
      <c r="E13" s="286">
        <f>'Data-temp_employment'!E13-last_qrtr_tempemp!F13</f>
        <v>3.0999999999999979</v>
      </c>
      <c r="F13" s="286">
        <f>'Data-temp_employment'!F13-last_qrtr_tempemp!G13</f>
        <v>0.60000000000000142</v>
      </c>
      <c r="G13" s="286">
        <f>'Data-temp_employment'!G13-last_qrtr_tempemp!H13</f>
        <v>-4.6000000000000014</v>
      </c>
      <c r="H13" s="286">
        <f>'Data-temp_employment'!H13-last_qrtr_tempemp!I13</f>
        <v>-2.6999999999999993</v>
      </c>
      <c r="I13" s="286">
        <f>'Data-temp_employment'!I13-last_qrtr_tempemp!J13</f>
        <v>1.6999999999999993</v>
      </c>
      <c r="J13" s="286">
        <f>'Data-temp_employment'!J13-last_qrtr_tempemp!K13</f>
        <v>1.1999999999999993</v>
      </c>
      <c r="K13" s="286">
        <f>'Data-temp_employment'!K13-last_qrtr_tempemp!L13</f>
        <v>-2</v>
      </c>
      <c r="L13" s="286">
        <f>'Data-temp_employment'!L13</f>
        <v>20.3</v>
      </c>
      <c r="M13" s="285" t="s">
        <v>26</v>
      </c>
      <c r="N13" s="286">
        <f>'Data-temp_employment'!N13-last_qrtr_tempemp!O13</f>
        <v>5.3000000000000114</v>
      </c>
      <c r="O13" s="286">
        <f>'Data-temp_employment'!O13-last_qrtr_tempemp!P13</f>
        <v>18.200000000000045</v>
      </c>
      <c r="P13" s="286">
        <f>'Data-temp_employment'!P13-last_qrtr_tempemp!Q13</f>
        <v>56.800000000000011</v>
      </c>
      <c r="Q13" s="286">
        <f>'Data-temp_employment'!Q13-last_qrtr_tempemp!R13</f>
        <v>15.299999999999955</v>
      </c>
      <c r="R13" s="286">
        <f>'Data-temp_employment'!R13-last_qrtr_tempemp!S13</f>
        <v>-67.400000000000034</v>
      </c>
      <c r="S13" s="286">
        <f>'Data-temp_employment'!S13-last_qrtr_tempemp!T13</f>
        <v>-32.899999999999977</v>
      </c>
      <c r="T13" s="286">
        <f>'Data-temp_employment'!T13-last_qrtr_tempemp!U13</f>
        <v>45.300000000000011</v>
      </c>
      <c r="U13" s="286">
        <f>'Data-temp_employment'!U13-last_qrtr_tempemp!V13</f>
        <v>29.800000000000011</v>
      </c>
      <c r="V13" s="286">
        <f>'Data-temp_employment'!V13-last_qrtr_tempemp!W13</f>
        <v>-32</v>
      </c>
      <c r="W13" s="286">
        <f>'Data-temp_employment'!W13</f>
        <v>294.60000000000002</v>
      </c>
      <c r="X13" s="285" t="s">
        <v>26</v>
      </c>
      <c r="Y13" s="286">
        <f>'Data-temp_employment'!Y13-last_qrtr_tempemp!Z13</f>
        <v>4.4000000000000004</v>
      </c>
      <c r="Z13" s="286">
        <f>'Data-temp_employment'!Z13-last_qrtr_tempemp!AA13</f>
        <v>8.6</v>
      </c>
      <c r="AA13" s="286">
        <f>'Data-temp_employment'!AA13-last_qrtr_tempemp!AB13</f>
        <v>13.500000000000002</v>
      </c>
      <c r="AB13" s="286">
        <f>'Data-temp_employment'!AB13-last_qrtr_tempemp!AC13</f>
        <v>2.3000000000000007</v>
      </c>
      <c r="AC13" s="286">
        <f>'Data-temp_employment'!AC13-last_qrtr_tempemp!AD13</f>
        <v>-4.8999999999999986</v>
      </c>
      <c r="AD13" s="286">
        <f>'Data-temp_employment'!AD13-last_qrtr_tempemp!AE13</f>
        <v>-7.6000000000000014</v>
      </c>
      <c r="AE13" s="286">
        <f>'Data-temp_employment'!AE13-last_qrtr_tempemp!AF13</f>
        <v>-5.2000000000000011</v>
      </c>
      <c r="AF13" s="286">
        <f>'Data-temp_employment'!AF13-last_qrtr_tempemp!AG13</f>
        <v>-1.6000000000000014</v>
      </c>
      <c r="AG13" s="286">
        <f>'Data-temp_employment'!AG13-last_qrtr_tempemp!AH13</f>
        <v>-5.3</v>
      </c>
      <c r="AH13" s="286">
        <f>'Data-temp_employment'!AH13</f>
        <v>7.2</v>
      </c>
      <c r="AI13" s="279" t="s">
        <v>26</v>
      </c>
      <c r="AJ13" s="286">
        <f>'Data-temp_employment'!AJ13-last_qrtr_tempemp!AK13</f>
        <v>15.400000000000006</v>
      </c>
      <c r="AK13" s="286">
        <f>'Data-temp_employment'!AK13-last_qrtr_tempemp!AL13</f>
        <v>-7.3999999999999915</v>
      </c>
      <c r="AL13" s="286">
        <f>'Data-temp_employment'!AL13-last_qrtr_tempemp!AM13</f>
        <v>27.100000000000009</v>
      </c>
      <c r="AM13" s="286">
        <f>'Data-temp_employment'!AM13-last_qrtr_tempemp!AN13</f>
        <v>13</v>
      </c>
      <c r="AN13" s="286">
        <f>'Data-temp_employment'!AN13-last_qrtr_tempemp!AO13</f>
        <v>-13.800000000000011</v>
      </c>
      <c r="AO13" s="286">
        <f>'Data-temp_employment'!AO13-last_qrtr_tempemp!AP13</f>
        <v>-23.900000000000006</v>
      </c>
      <c r="AP13" s="286">
        <f>'Data-temp_employment'!AP13-last_qrtr_tempemp!AQ13</f>
        <v>-0.20000000000000284</v>
      </c>
      <c r="AQ13" s="286">
        <f>'Data-temp_employment'!AQ13-last_qrtr_tempemp!AR13</f>
        <v>12</v>
      </c>
      <c r="AR13" s="286">
        <f>'Data-temp_employment'!AR13-last_qrtr_tempemp!AS13</f>
        <v>-5.2999999999999972</v>
      </c>
      <c r="AS13" s="286">
        <f>'Data-temp_employment'!AS13</f>
        <v>90.2</v>
      </c>
      <c r="AT13" s="279" t="s">
        <v>26</v>
      </c>
      <c r="AU13" s="286">
        <f>'Data-temp_employment'!AU13-last_qrtr_tempemp!AV13</f>
        <v>-24.000000000000007</v>
      </c>
      <c r="AV13" s="286">
        <f>'Data-temp_employment'!AV13-last_qrtr_tempemp!AW13</f>
        <v>-3.3000000000000114</v>
      </c>
      <c r="AW13" s="286">
        <f>'Data-temp_employment'!AW13-last_qrtr_tempemp!AX13</f>
        <v>18</v>
      </c>
      <c r="AX13" s="286">
        <f>'Data-temp_employment'!AX13-last_qrtr_tempemp!AY13</f>
        <v>12.899999999999999</v>
      </c>
      <c r="AY13" s="286">
        <f>'Data-temp_employment'!AY13-last_qrtr_tempemp!AZ13</f>
        <v>-16.699999999999996</v>
      </c>
      <c r="AZ13" s="286">
        <f>'Data-temp_employment'!AZ13-last_qrtr_tempemp!BA13</f>
        <v>-8.3000000000000114</v>
      </c>
      <c r="BA13" s="286">
        <f>'Data-temp_employment'!BA13-last_qrtr_tempemp!BB13</f>
        <v>35.799999999999997</v>
      </c>
      <c r="BB13" s="286">
        <f>'Data-temp_employment'!BB13-last_qrtr_tempemp!BC13</f>
        <v>9.8000000000000043</v>
      </c>
      <c r="BC13" s="286">
        <f>'Data-temp_employment'!BC13-last_qrtr_tempemp!BD13</f>
        <v>-10.899999999999991</v>
      </c>
      <c r="BD13" s="286">
        <f>'Data-temp_employment'!BD13</f>
        <v>82.6</v>
      </c>
      <c r="BE13" s="279" t="s">
        <v>26</v>
      </c>
      <c r="BF13" s="286">
        <f>'Data-temp_employment'!BF13-last_qrtr_tempemp!BG13</f>
        <v>12.700000000000003</v>
      </c>
      <c r="BG13" s="286">
        <f>'Data-temp_employment'!BG13-last_qrtr_tempemp!BH13</f>
        <v>17.499999999999993</v>
      </c>
      <c r="BH13" s="286">
        <f>'Data-temp_employment'!BH13-last_qrtr_tempemp!BI13</f>
        <v>-5.9000000000000057</v>
      </c>
      <c r="BI13" s="286">
        <f>'Data-temp_employment'!BI13-last_qrtr_tempemp!BJ13</f>
        <v>-6.8000000000000043</v>
      </c>
      <c r="BJ13" s="286">
        <f>'Data-temp_employment'!BJ13-last_qrtr_tempemp!BK13</f>
        <v>-12.899999999999991</v>
      </c>
      <c r="BK13" s="286">
        <f>'Data-temp_employment'!BK13-last_qrtr_tempemp!BL13</f>
        <v>8</v>
      </c>
      <c r="BL13" s="286">
        <f>'Data-temp_employment'!BL13-last_qrtr_tempemp!BM13</f>
        <v>8</v>
      </c>
      <c r="BM13" s="286">
        <f>'Data-temp_employment'!BM13-last_qrtr_tempemp!BN13</f>
        <v>4.2999999999999972</v>
      </c>
      <c r="BN13" s="286">
        <f>'Data-temp_employment'!BN13-last_qrtr_tempemp!BO13</f>
        <v>-5.3999999999999986</v>
      </c>
      <c r="BO13" s="286">
        <f>'Data-temp_employment'!BO13</f>
        <v>56</v>
      </c>
      <c r="BP13" s="282" t="s">
        <v>26</v>
      </c>
      <c r="BQ13" s="286">
        <f>'Data-temp_employment'!BQ13-last_qrtr_tempemp!BR13</f>
        <v>-7</v>
      </c>
      <c r="BR13" s="286">
        <f>'Data-temp_employment'!BR13-last_qrtr_tempemp!BS13</f>
        <v>3.1000000000000014</v>
      </c>
      <c r="BS13" s="286">
        <f>'Data-temp_employment'!BS13-last_qrtr_tempemp!BT13</f>
        <v>-2.5</v>
      </c>
      <c r="BT13" s="286">
        <f>'Data-temp_employment'!BT13-last_qrtr_tempemp!BU13</f>
        <v>4.0999999999999996</v>
      </c>
      <c r="BU13" s="286">
        <f>'Data-temp_employment'!BU13-last_qrtr_tempemp!BV13</f>
        <v>-8.7000000000000011</v>
      </c>
      <c r="BV13" s="286">
        <f>'Data-temp_employment'!BV13-last_qrtr_tempemp!BW13</f>
        <v>-2.2000000000000002</v>
      </c>
      <c r="BW13" s="286">
        <f>'Data-temp_employment'!BW13-last_qrtr_tempemp!BX13</f>
        <v>-2</v>
      </c>
      <c r="BX13" s="286">
        <f>'Data-temp_employment'!BX13-last_qrtr_tempemp!BY13</f>
        <v>0</v>
      </c>
      <c r="BY13" s="286">
        <f>'Data-temp_employment'!BY13-last_qrtr_tempemp!BZ13</f>
        <v>-1.8999999999999995</v>
      </c>
      <c r="BZ13" s="286">
        <f>'Data-temp_employment'!BZ13</f>
        <v>5.8</v>
      </c>
      <c r="CA13" s="282" t="s">
        <v>26</v>
      </c>
      <c r="CB13" s="286">
        <f>'Data-temp_employment'!CB13-last_qrtr_tempemp!CC13</f>
        <v>-2.6000000000000014</v>
      </c>
      <c r="CC13" s="286">
        <f>'Data-temp_employment'!CC13-last_qrtr_tempemp!CD13</f>
        <v>-1.7999999999999972</v>
      </c>
      <c r="CD13" s="286">
        <f>'Data-temp_employment'!CD13-last_qrtr_tempemp!CE13</f>
        <v>0.60000000000000142</v>
      </c>
      <c r="CE13" s="286">
        <f>'Data-temp_employment'!CE13-last_qrtr_tempemp!CF13</f>
        <v>-7</v>
      </c>
      <c r="CF13" s="286">
        <f>'Data-temp_employment'!CF13-last_qrtr_tempemp!CG13</f>
        <v>-11.5</v>
      </c>
      <c r="CG13" s="286">
        <f>'Data-temp_employment'!CG13-last_qrtr_tempemp!CH13</f>
        <v>0.69999999999999574</v>
      </c>
      <c r="CH13" s="286">
        <f>'Data-temp_employment'!CH13-last_qrtr_tempemp!CI13</f>
        <v>6.5</v>
      </c>
      <c r="CI13" s="286">
        <f>'Data-temp_employment'!CI13-last_qrtr_tempemp!CJ13</f>
        <v>1.7000000000000028</v>
      </c>
      <c r="CJ13" s="286">
        <f>'Data-temp_employment'!CJ13-last_qrtr_tempemp!CK13</f>
        <v>-0.69999999999999574</v>
      </c>
      <c r="CK13" s="286">
        <f>'Data-temp_employment'!CK13</f>
        <v>39.299999999999997</v>
      </c>
      <c r="CL13" s="285" t="s">
        <v>26</v>
      </c>
      <c r="CM13" s="286">
        <f>'Data-temp_employment'!CM13-last_qrtr_tempemp!CN13</f>
        <v>-1.3000000000000007</v>
      </c>
      <c r="CN13" s="286">
        <f>'Data-temp_employment'!CN13-last_qrtr_tempemp!CO13</f>
        <v>-0.69999999999999574</v>
      </c>
      <c r="CO13" s="286">
        <f>'Data-temp_employment'!CO13-last_qrtr_tempemp!CP13</f>
        <v>9.2999999999999972</v>
      </c>
      <c r="CP13" s="286">
        <f>'Data-temp_employment'!CP13-last_qrtr_tempemp!CQ13</f>
        <v>5.4000000000000021</v>
      </c>
      <c r="CQ13" s="286">
        <f>'Data-temp_employment'!CQ13-last_qrtr_tempemp!CR13</f>
        <v>-10.200000000000003</v>
      </c>
      <c r="CR13" s="286">
        <f>'Data-temp_employment'!CR13-last_qrtr_tempemp!CS13</f>
        <v>-2.8999999999999986</v>
      </c>
      <c r="CS13" s="286">
        <f>'Data-temp_employment'!CS13-last_qrtr_tempemp!CT13</f>
        <v>4.5999999999999979</v>
      </c>
      <c r="CT13" s="286">
        <f>'Data-temp_employment'!CT13-last_qrtr_tempemp!CU13</f>
        <v>2</v>
      </c>
      <c r="CU13" s="286">
        <f>'Data-temp_employment'!CU13-last_qrtr_tempemp!CV13</f>
        <v>-11.8</v>
      </c>
      <c r="CV13" s="286">
        <f>'Data-temp_employment'!CV13</f>
        <v>28.2</v>
      </c>
      <c r="CW13" s="285" t="s">
        <v>26</v>
      </c>
      <c r="CX13" s="286">
        <f>'Data-temp_employment'!CX13-last_qrtr_tempemp!CY13</f>
        <v>8.9000000000000057</v>
      </c>
      <c r="CY13" s="286">
        <f>'Data-temp_employment'!CY13-last_qrtr_tempemp!CZ13</f>
        <v>7.2999999999999829</v>
      </c>
      <c r="CZ13" s="286">
        <f>'Data-temp_employment'!CZ13-last_qrtr_tempemp!DA13</f>
        <v>45.299999999999983</v>
      </c>
      <c r="DA13" s="286">
        <f>'Data-temp_employment'!DA13-last_qrtr_tempemp!DB13</f>
        <v>6</v>
      </c>
      <c r="DB13" s="286">
        <f>'Data-temp_employment'!DB13-last_qrtr_tempemp!DC13</f>
        <v>-33.699999999999989</v>
      </c>
      <c r="DC13" s="286">
        <f>'Data-temp_employment'!DC13-last_qrtr_tempemp!DD13</f>
        <v>-26</v>
      </c>
      <c r="DD13" s="286">
        <f>'Data-temp_employment'!DD13-last_qrtr_tempemp!DE13</f>
        <v>33</v>
      </c>
      <c r="DE13" s="286">
        <f>'Data-temp_employment'!DE13-last_qrtr_tempemp!DF13</f>
        <v>11.199999999999989</v>
      </c>
      <c r="DF13" s="286">
        <f>'Data-temp_employment'!DF13-last_qrtr_tempemp!DG13</f>
        <v>-14.900000000000006</v>
      </c>
      <c r="DG13" s="286">
        <f>'Data-temp_employment'!DG13</f>
        <v>205.1</v>
      </c>
      <c r="DH13" s="285" t="s">
        <v>26</v>
      </c>
      <c r="DI13" s="286">
        <f>'Data-temp_employment'!DI13-last_qrtr_tempemp!DJ13</f>
        <v>-2.2000000000000028</v>
      </c>
      <c r="DJ13" s="286">
        <f>'Data-temp_employment'!DJ13-last_qrtr_tempemp!DK13</f>
        <v>11.600000000000009</v>
      </c>
      <c r="DK13" s="286">
        <f>'Data-temp_employment'!DK13-last_qrtr_tempemp!DL13</f>
        <v>2.2000000000000028</v>
      </c>
      <c r="DL13" s="286">
        <f>'Data-temp_employment'!DL13-last_qrtr_tempemp!DM13</f>
        <v>4</v>
      </c>
      <c r="DM13" s="286">
        <f>'Data-temp_employment'!DM13-last_qrtr_tempemp!DN13</f>
        <v>-23.500000000000007</v>
      </c>
      <c r="DN13" s="286">
        <f>'Data-temp_employment'!DN13-last_qrtr_tempemp!DO13</f>
        <v>-4.0999999999999943</v>
      </c>
      <c r="DO13" s="286">
        <f>'Data-temp_employment'!DO13-last_qrtr_tempemp!DP13</f>
        <v>7.6000000000000085</v>
      </c>
      <c r="DP13" s="286">
        <f>'Data-temp_employment'!DP13-last_qrtr_tempemp!DQ13</f>
        <v>16.600000000000001</v>
      </c>
      <c r="DQ13" s="286">
        <f>'Data-temp_employment'!DQ13-last_qrtr_tempemp!DR13</f>
        <v>-5.2000000000000028</v>
      </c>
      <c r="DR13" s="286">
        <f>'Data-temp_employment'!DR13</f>
        <v>61.4</v>
      </c>
      <c r="DS13" s="285" t="s">
        <v>26</v>
      </c>
      <c r="DT13" s="286">
        <f>'Data-temp_employment'!DT13-last_qrtr_tempemp!DU13</f>
        <v>0</v>
      </c>
      <c r="DU13" s="286">
        <f>'Data-temp_employment'!DU13-last_qrtr_tempemp!DV13</f>
        <v>0</v>
      </c>
      <c r="DV13" s="286">
        <f>'Data-temp_employment'!DV13-last_qrtr_tempemp!DW13</f>
        <v>0</v>
      </c>
      <c r="DW13" s="286">
        <f>'Data-temp_employment'!DW13-last_qrtr_tempemp!DX13</f>
        <v>0</v>
      </c>
      <c r="DX13" s="286">
        <f>'Data-temp_employment'!DX13-last_qrtr_tempemp!DY13</f>
        <v>0</v>
      </c>
      <c r="DY13" s="286">
        <f>'Data-temp_employment'!DY13-last_qrtr_tempemp!DZ13</f>
        <v>0</v>
      </c>
      <c r="DZ13" s="286">
        <f>'Data-temp_employment'!DZ13-last_qrtr_tempemp!EA13</f>
        <v>0</v>
      </c>
      <c r="EA13" s="286">
        <f>'Data-temp_employment'!EA13-last_qrtr_tempemp!EB13</f>
        <v>0</v>
      </c>
      <c r="EB13" s="286">
        <f>'Data-temp_employment'!EB13-last_qrtr_tempemp!EC13</f>
        <v>0</v>
      </c>
      <c r="EC13" s="286">
        <f>'Data-temp_employment'!EC13</f>
        <v>0</v>
      </c>
      <c r="ED13" s="279" t="s">
        <v>26</v>
      </c>
      <c r="EE13" s="286">
        <f>'Data-temp_employment'!EE13-last_qrtr_tempemp!EF13</f>
        <v>0</v>
      </c>
      <c r="EF13" s="286">
        <f>'Data-temp_employment'!EF13-last_qrtr_tempemp!EG13</f>
        <v>0</v>
      </c>
      <c r="EG13" s="286">
        <f>'Data-temp_employment'!EG13-last_qrtr_tempemp!EH13</f>
        <v>0</v>
      </c>
      <c r="EH13" s="286">
        <f>'Data-temp_employment'!EH13-last_qrtr_tempemp!EI13</f>
        <v>0</v>
      </c>
      <c r="EI13" s="286">
        <f>'Data-temp_employment'!EI13-last_qrtr_tempemp!EJ13</f>
        <v>0</v>
      </c>
      <c r="EJ13" s="286">
        <f>'Data-temp_employment'!EJ13-last_qrtr_tempemp!EK13</f>
        <v>0</v>
      </c>
      <c r="EK13" s="286">
        <f>'Data-temp_employment'!EK13-last_qrtr_tempemp!EL13</f>
        <v>0</v>
      </c>
      <c r="EL13" s="286">
        <f>'Data-temp_employment'!EL13-last_qrtr_tempemp!EM13</f>
        <v>0</v>
      </c>
      <c r="EM13" s="286">
        <f>'Data-temp_employment'!EM13-last_qrtr_tempemp!EN13</f>
        <v>0</v>
      </c>
      <c r="EN13" s="286">
        <f>'Data-temp_employment'!EN13</f>
        <v>0</v>
      </c>
      <c r="EO13" s="279" t="s">
        <v>26</v>
      </c>
      <c r="EP13" s="286">
        <f>'Data-temp_employment'!EP13-last_qrtr_tempemp!EQ13</f>
        <v>2.3999999999999986</v>
      </c>
      <c r="EQ13" s="286">
        <f>'Data-temp_employment'!EQ13-last_qrtr_tempemp!ER13</f>
        <v>13.5</v>
      </c>
      <c r="ER13" s="286">
        <f>'Data-temp_employment'!ER13-last_qrtr_tempemp!ES13</f>
        <v>-2.6000000000000014</v>
      </c>
      <c r="ES13" s="286">
        <f>'Data-temp_employment'!ES13-last_qrtr_tempemp!ET13</f>
        <v>0.89999999999999858</v>
      </c>
      <c r="ET13" s="286">
        <f>'Data-temp_employment'!ET13-last_qrtr_tempemp!EU13</f>
        <v>-16.2</v>
      </c>
      <c r="EU13" s="286">
        <f>'Data-temp_employment'!EU13-last_qrtr_tempemp!EV13</f>
        <v>0.40000000000000568</v>
      </c>
      <c r="EV13" s="286">
        <f>'Data-temp_employment'!EV13-last_qrtr_tempemp!EW13</f>
        <v>-0.29999999999999716</v>
      </c>
      <c r="EW13" s="286">
        <f>'Data-temp_employment'!EW13-last_qrtr_tempemp!EX13</f>
        <v>7.0999999999999979</v>
      </c>
      <c r="EX13" s="286">
        <f>'Data-temp_employment'!EX13-last_qrtr_tempemp!EY13</f>
        <v>-8.2000000000000028</v>
      </c>
      <c r="EY13" s="286">
        <f>'Data-temp_employment'!EY13</f>
        <v>28.1</v>
      </c>
      <c r="EZ13" s="279" t="s">
        <v>26</v>
      </c>
      <c r="FA13" s="286">
        <f>'Data-temp_employment'!FA13-last_qrtr_tempemp!FB13</f>
        <v>-4.3000000000000007</v>
      </c>
      <c r="FB13" s="286">
        <f>'Data-temp_employment'!FB13-last_qrtr_tempemp!FC13</f>
        <v>2.6999999999999957</v>
      </c>
      <c r="FC13" s="286">
        <f>'Data-temp_employment'!FC13-last_qrtr_tempemp!FD13</f>
        <v>6.2999999999999972</v>
      </c>
      <c r="FD13" s="286">
        <f>'Data-temp_employment'!FD13-last_qrtr_tempemp!FE13</f>
        <v>-0.69999999999999929</v>
      </c>
      <c r="FE13" s="286">
        <f>'Data-temp_employment'!FE13-last_qrtr_tempemp!FF13</f>
        <v>-5.4999999999999964</v>
      </c>
      <c r="FF13" s="286">
        <f>'Data-temp_employment'!FF13-last_qrtr_tempemp!FG13</f>
        <v>-1.0999999999999943</v>
      </c>
      <c r="FG13" s="286">
        <f>'Data-temp_employment'!FG13-last_qrtr_tempemp!FH13</f>
        <v>5.0999999999999979</v>
      </c>
      <c r="FH13" s="286">
        <f>'Data-temp_employment'!FH13-last_qrtr_tempemp!FI13</f>
        <v>4.0999999999999979</v>
      </c>
      <c r="FI13" s="286">
        <f>'Data-temp_employment'!FI13-last_qrtr_tempemp!FJ13</f>
        <v>0.69999999999999574</v>
      </c>
      <c r="FJ13" s="286">
        <f>'Data-temp_employment'!FJ13</f>
        <v>32.799999999999997</v>
      </c>
      <c r="FK13" s="279" t="s">
        <v>26</v>
      </c>
      <c r="FL13" s="286">
        <f>'Data-temp_employment'!FL13-last_qrtr_tempemp!FM13</f>
        <v>-3.8000000000000007</v>
      </c>
      <c r="FM13" s="286">
        <f>'Data-temp_employment'!FM13-last_qrtr_tempemp!FN13</f>
        <v>0</v>
      </c>
      <c r="FN13" s="286">
        <f>'Data-temp_employment'!FN13-last_qrtr_tempemp!FO13</f>
        <v>-2.1999999999999993</v>
      </c>
      <c r="FO13" s="286">
        <f>'Data-temp_employment'!FO13-last_qrtr_tempemp!FP13</f>
        <v>3.8000000000000007</v>
      </c>
      <c r="FP13" s="286">
        <f>'Data-temp_employment'!FP13-last_qrtr_tempemp!FQ13</f>
        <v>-0.19999999999999929</v>
      </c>
      <c r="FQ13" s="286">
        <f>'Data-temp_employment'!FQ13-last_qrtr_tempemp!FR13</f>
        <v>-4.0999999999999979</v>
      </c>
      <c r="FR13" s="286">
        <f>'Data-temp_employment'!FR13-last_qrtr_tempemp!FS13</f>
        <v>0.89999999999999858</v>
      </c>
      <c r="FS13" s="286">
        <f>'Data-temp_employment'!FS13-last_qrtr_tempemp!FT13</f>
        <v>1.0999999999999979</v>
      </c>
      <c r="FT13" s="286">
        <f>'Data-temp_employment'!FT13-last_qrtr_tempemp!FU13</f>
        <v>1.5</v>
      </c>
      <c r="FU13" s="286">
        <f>'Data-temp_employment'!FU13</f>
        <v>20.6</v>
      </c>
      <c r="FV13" s="279" t="s">
        <v>26</v>
      </c>
      <c r="FW13" s="286">
        <f>'Data-temp_employment'!FW13-last_qrtr_tempemp!FX13</f>
        <v>7.7000000000000028</v>
      </c>
      <c r="FX13" s="286">
        <f>'Data-temp_employment'!FX13-last_qrtr_tempemp!FY13</f>
        <v>-1.7000000000000028</v>
      </c>
      <c r="FY13" s="286">
        <f>'Data-temp_employment'!FY13-last_qrtr_tempemp!FZ13</f>
        <v>23.899999999999991</v>
      </c>
      <c r="FZ13" s="286">
        <f>'Data-temp_employment'!FZ13-last_qrtr_tempemp!GA13</f>
        <v>9.9999999999994316E-2</v>
      </c>
      <c r="GA13" s="286">
        <f>'Data-temp_employment'!GA13-last_qrtr_tempemp!GB13</f>
        <v>-18.299999999999997</v>
      </c>
      <c r="GB13" s="286">
        <f>'Data-temp_employment'!GB13-last_qrtr_tempemp!GC13</f>
        <v>-5</v>
      </c>
      <c r="GC13" s="286">
        <f>'Data-temp_employment'!GC13-last_qrtr_tempemp!GD13</f>
        <v>27.300000000000011</v>
      </c>
      <c r="GD13" s="286">
        <f>'Data-temp_employment'!GD13-last_qrtr_tempemp!GE13</f>
        <v>10.099999999999994</v>
      </c>
      <c r="GE13" s="286">
        <f>'Data-temp_employment'!GE13-last_qrtr_tempemp!GF13</f>
        <v>-10.200000000000003</v>
      </c>
      <c r="GF13" s="286">
        <f>'Data-temp_employment'!GF13</f>
        <v>95.2</v>
      </c>
      <c r="GG13" s="279" t="s">
        <v>26</v>
      </c>
      <c r="GH13" s="286">
        <f>'Data-temp_employment'!GH13-last_qrtr_tempemp!GI13</f>
        <v>0</v>
      </c>
      <c r="GI13" s="286">
        <f>'Data-temp_employment'!GI13-last_qrtr_tempemp!GJ13</f>
        <v>0</v>
      </c>
      <c r="GJ13" s="286">
        <f>'Data-temp_employment'!GJ13-last_qrtr_tempemp!GK13</f>
        <v>0</v>
      </c>
      <c r="GK13" s="286">
        <f>'Data-temp_employment'!GK13-last_qrtr_tempemp!GL13</f>
        <v>0</v>
      </c>
      <c r="GL13" s="286">
        <f>'Data-temp_employment'!GL13-last_qrtr_tempemp!GM13</f>
        <v>0</v>
      </c>
      <c r="GM13" s="286">
        <f>'Data-temp_employment'!GM13-last_qrtr_tempemp!GN13</f>
        <v>0</v>
      </c>
      <c r="GN13" s="286">
        <f>'Data-temp_employment'!GN13-last_qrtr_tempemp!GO13</f>
        <v>0</v>
      </c>
      <c r="GO13" s="286">
        <f>'Data-temp_employment'!GO13-last_qrtr_tempemp!GP13</f>
        <v>0</v>
      </c>
      <c r="GP13" s="286">
        <f>'Data-temp_employment'!GP13-last_qrtr_tempemp!GQ13</f>
        <v>0</v>
      </c>
      <c r="GQ13" s="286">
        <f>'Data-temp_employment'!GQ13</f>
        <v>0</v>
      </c>
      <c r="GR13" s="279" t="s">
        <v>26</v>
      </c>
      <c r="GS13" s="286">
        <f>'Data-temp_employment'!GS13-last_qrtr_tempemp!GT13</f>
        <v>13.799999999999997</v>
      </c>
      <c r="GT13" s="286">
        <f>'Data-temp_employment'!GT13-last_qrtr_tempemp!GU13</f>
        <v>6.3000000000000043</v>
      </c>
      <c r="GU13" s="286">
        <f>'Data-temp_employment'!GU13-last_qrtr_tempemp!GV13</f>
        <v>6.2999999999999972</v>
      </c>
      <c r="GV13" s="286">
        <f>'Data-temp_employment'!GV13-last_qrtr_tempemp!GW13</f>
        <v>-2.2999999999999972</v>
      </c>
      <c r="GW13" s="286">
        <f>'Data-temp_employment'!GW13-last_qrtr_tempemp!GX13</f>
        <v>-10.200000000000003</v>
      </c>
      <c r="GX13" s="286">
        <f>'Data-temp_employment'!GX13-last_qrtr_tempemp!GY13</f>
        <v>-8.7999999999999972</v>
      </c>
      <c r="GY13" s="286">
        <f>'Data-temp_employment'!GY13-last_qrtr_tempemp!GZ13</f>
        <v>-4</v>
      </c>
      <c r="GZ13" s="286">
        <f>'Data-temp_employment'!GZ13-last_qrtr_tempemp!HA13</f>
        <v>7.2000000000000028</v>
      </c>
      <c r="HA13" s="286">
        <f>'Data-temp_employment'!HA13-last_qrtr_tempemp!HB13</f>
        <v>0.29999999999999716</v>
      </c>
      <c r="HB13" s="286">
        <f>'Data-temp_employment'!HB13</f>
        <v>30.3</v>
      </c>
      <c r="HC13" s="279" t="s">
        <v>26</v>
      </c>
      <c r="HD13" s="286">
        <f>'Data-temp_employment'!HD13-last_qrtr_tempemp!HE13</f>
        <v>-1.1999999999999993</v>
      </c>
      <c r="HE13" s="286">
        <f>'Data-temp_employment'!HE13-last_qrtr_tempemp!HF13</f>
        <v>5.6999999999999957</v>
      </c>
      <c r="HF13" s="286">
        <f>'Data-temp_employment'!HF13-last_qrtr_tempemp!HG13</f>
        <v>5.5</v>
      </c>
      <c r="HG13" s="286">
        <f>'Data-temp_employment'!HG13-last_qrtr_tempemp!HH13</f>
        <v>3.9999999999999964</v>
      </c>
      <c r="HH13" s="286">
        <f>'Data-temp_employment'!HH13-last_qrtr_tempemp!HI13</f>
        <v>-2.1999999999999957</v>
      </c>
      <c r="HI13" s="286">
        <f>'Data-temp_employment'!HI13-last_qrtr_tempemp!HJ13</f>
        <v>-2.1000000000000014</v>
      </c>
      <c r="HJ13" s="286">
        <f>'Data-temp_employment'!HJ13-last_qrtr_tempemp!HK13</f>
        <v>1.8000000000000043</v>
      </c>
      <c r="HK13" s="286">
        <f>'Data-temp_employment'!HK13-last_qrtr_tempemp!HL13</f>
        <v>-10.700000000000003</v>
      </c>
      <c r="HL13" s="286">
        <f>'Data-temp_employment'!HL13-last_qrtr_tempemp!HM13</f>
        <v>-6.7999999999999972</v>
      </c>
      <c r="HM13" s="286">
        <f>'Data-temp_employment'!HM13</f>
        <v>33.299999999999997</v>
      </c>
      <c r="HN13" s="285" t="s">
        <v>26</v>
      </c>
      <c r="HO13" s="286">
        <f>'Data-temp_employment'!HO13-last_qrtr_tempemp!HP13</f>
        <v>-6.1000000000000014</v>
      </c>
      <c r="HP13" s="286">
        <f>'Data-temp_employment'!HP13-last_qrtr_tempemp!HQ13</f>
        <v>-7</v>
      </c>
      <c r="HQ13" s="286">
        <f>'Data-temp_employment'!HQ13-last_qrtr_tempemp!HR13</f>
        <v>17.5</v>
      </c>
      <c r="HR13" s="286">
        <f>'Data-temp_employment'!HR13-last_qrtr_tempemp!HS13</f>
        <v>14.700000000000003</v>
      </c>
      <c r="HS13" s="286">
        <f>'Data-temp_employment'!HS13-last_qrtr_tempemp!HT13</f>
        <v>-11.5</v>
      </c>
      <c r="HT13" s="286">
        <f>'Data-temp_employment'!HT13-last_qrtr_tempemp!HU13</f>
        <v>-9.8999999999999986</v>
      </c>
      <c r="HU13" s="286">
        <f>'Data-temp_employment'!HU13-last_qrtr_tempemp!HV13</f>
        <v>8.3999999999999986</v>
      </c>
      <c r="HV13" s="286">
        <f>'Data-temp_employment'!HV13-last_qrtr_tempemp!HW13</f>
        <v>9.6000000000000014</v>
      </c>
      <c r="HW13" s="286">
        <f>'Data-temp_employment'!HW13-last_qrtr_tempemp!HX13</f>
        <v>-10.400000000000006</v>
      </c>
      <c r="HX13" s="286">
        <f>'Data-temp_employment'!HX13</f>
        <v>48.6</v>
      </c>
      <c r="HY13" s="279" t="s">
        <v>26</v>
      </c>
      <c r="HZ13" s="286">
        <f>'Data-temp_employment'!HZ13-last_qrtr_tempemp!IA13</f>
        <v>0</v>
      </c>
      <c r="IA13" s="286">
        <f>'Data-temp_employment'!IA13-last_qrtr_tempemp!IB13</f>
        <v>0</v>
      </c>
      <c r="IB13" s="286">
        <f>'Data-temp_employment'!IB13-last_qrtr_tempemp!IC13</f>
        <v>0</v>
      </c>
      <c r="IC13" s="286">
        <f>'Data-temp_employment'!IC13-last_qrtr_tempemp!ID13</f>
        <v>0</v>
      </c>
      <c r="ID13" s="286">
        <f>'Data-temp_employment'!ID13-last_qrtr_tempemp!IE13</f>
        <v>0</v>
      </c>
      <c r="IE13" s="286">
        <f>'Data-temp_employment'!IE13-last_qrtr_tempemp!IF13</f>
        <v>0</v>
      </c>
      <c r="IF13" s="286">
        <f>'Data-temp_employment'!IF13-last_qrtr_tempemp!IG13</f>
        <v>0</v>
      </c>
      <c r="IG13" s="286">
        <f>'Data-temp_employment'!IG13-last_qrtr_tempemp!IH13</f>
        <v>0</v>
      </c>
      <c r="IH13" s="286">
        <f>'Data-temp_employment'!IH13-last_qrtr_tempemp!II13</f>
        <v>0</v>
      </c>
      <c r="II13" s="286">
        <f>'Data-temp_employment'!II13</f>
        <v>0</v>
      </c>
      <c r="IJ13" s="279" t="s">
        <v>26</v>
      </c>
      <c r="IK13" s="286">
        <f>'Data-temp_employment'!IK13-last_qrtr_tempemp!IL13</f>
        <v>0</v>
      </c>
      <c r="IL13" s="286">
        <f>'Data-temp_employment'!IL13-last_qrtr_tempemp!IM13</f>
        <v>0</v>
      </c>
      <c r="IM13" s="286">
        <f>'Data-temp_employment'!IM13-last_qrtr_tempemp!IN13</f>
        <v>0</v>
      </c>
      <c r="IN13" s="286">
        <f>'Data-temp_employment'!IN13-last_qrtr_tempemp!IO13</f>
        <v>0</v>
      </c>
      <c r="IO13" s="286">
        <f>'Data-temp_employment'!IO13-last_qrtr_tempemp!IP13</f>
        <v>0</v>
      </c>
      <c r="IP13" s="286">
        <f>'Data-temp_employment'!IP13-last_qrtr_tempemp!IQ13</f>
        <v>0</v>
      </c>
      <c r="IQ13" s="286">
        <f>'Data-temp_employment'!IQ13-last_qrtr_tempemp!IR13</f>
        <v>0</v>
      </c>
      <c r="IR13" s="286">
        <f>'Data-temp_employment'!IR13-last_qrtr_tempemp!IS13</f>
        <v>0</v>
      </c>
      <c r="IS13" s="286">
        <f>'Data-temp_employment'!IS13-last_qrtr_tempemp!IT13</f>
        <v>0</v>
      </c>
      <c r="IT13" s="286">
        <f>'Data-temp_employment'!IT13</f>
        <v>0</v>
      </c>
      <c r="IU13" s="279" t="s">
        <v>26</v>
      </c>
      <c r="IV13" s="286">
        <f>'Data-temp_employment'!IV13-last_qrtr_tempemp!IW13</f>
        <v>-6.4</v>
      </c>
      <c r="IW13" s="286">
        <f>'Data-temp_employment'!IW13-last_qrtr_tempemp!IX13</f>
        <v>-4.7000000000000011</v>
      </c>
      <c r="IX13" s="286">
        <f>'Data-temp_employment'!IX13-last_qrtr_tempemp!IY13</f>
        <v>2.5999999999999996</v>
      </c>
      <c r="IY13" s="286">
        <f>'Data-temp_employment'!IY13-last_qrtr_tempemp!IZ13</f>
        <v>1.0999999999999996</v>
      </c>
      <c r="IZ13" s="286">
        <f>'Data-temp_employment'!IZ13-last_qrtr_tempemp!JA13</f>
        <v>-4.8999999999999995</v>
      </c>
      <c r="JA13" s="286">
        <f>'Data-temp_employment'!JA13-last_qrtr_tempemp!JB13</f>
        <v>-2.5</v>
      </c>
      <c r="JB13" s="286">
        <f>'Data-temp_employment'!JB13-last_qrtr_tempemp!JC13</f>
        <v>-3.5</v>
      </c>
      <c r="JC13" s="286">
        <f>'Data-temp_employment'!JC13-last_qrtr_tempemp!JD13</f>
        <v>4.3999999999999995</v>
      </c>
      <c r="JD13" s="286">
        <f>'Data-temp_employment'!JD13-last_qrtr_tempemp!JE13</f>
        <v>-0.40000000000000036</v>
      </c>
      <c r="JE13" s="286">
        <f>'Data-temp_employment'!JE13</f>
        <v>6.7</v>
      </c>
      <c r="JF13" s="279" t="s">
        <v>26</v>
      </c>
      <c r="JG13" s="286">
        <f>'Data-temp_employment'!JG13-last_qrtr_tempemp!JH13</f>
        <v>8.2000000000000028</v>
      </c>
      <c r="JH13" s="286">
        <f>'Data-temp_employment'!JH13-last_qrtr_tempemp!JI13</f>
        <v>13.800000000000004</v>
      </c>
      <c r="JI13" s="286">
        <f>'Data-temp_employment'!JI13-last_qrtr_tempemp!JJ13</f>
        <v>2.9000000000000057</v>
      </c>
      <c r="JJ13" s="286">
        <f>'Data-temp_employment'!JJ13-last_qrtr_tempemp!JK13</f>
        <v>-0.39999999999999858</v>
      </c>
      <c r="JK13" s="286">
        <f>'Data-temp_employment'!JK13-last_qrtr_tempemp!JL13</f>
        <v>-5</v>
      </c>
      <c r="JL13" s="286">
        <f>'Data-temp_employment'!JL13-last_qrtr_tempemp!JM13</f>
        <v>-2.4000000000000057</v>
      </c>
      <c r="JM13" s="286">
        <f>'Data-temp_employment'!JM13-last_qrtr_tempemp!JN13</f>
        <v>6.5</v>
      </c>
      <c r="JN13" s="286">
        <f>'Data-temp_employment'!JN13-last_qrtr_tempemp!JO13</f>
        <v>0.10000000000000142</v>
      </c>
      <c r="JO13" s="286">
        <f>'Data-temp_employment'!JO13-last_qrtr_tempemp!JP13</f>
        <v>-0.69999999999999574</v>
      </c>
      <c r="JP13" s="286">
        <f>'Data-temp_employment'!JP13</f>
        <v>53.1</v>
      </c>
      <c r="JQ13" s="279" t="s">
        <v>26</v>
      </c>
      <c r="JR13" s="286">
        <f>'Data-temp_employment'!JR13-last_qrtr_tempemp!JS13</f>
        <v>7.8000000000000007</v>
      </c>
      <c r="JS13" s="286">
        <f>'Data-temp_employment'!JS13-last_qrtr_tempemp!JT13</f>
        <v>0.39999999999999858</v>
      </c>
      <c r="JT13" s="286">
        <f>'Data-temp_employment'!JT13-last_qrtr_tempemp!JU13</f>
        <v>-0.59999999999999787</v>
      </c>
      <c r="JU13" s="286">
        <f>'Data-temp_employment'!JU13-last_qrtr_tempemp!JV13</f>
        <v>0</v>
      </c>
      <c r="JV13" s="286">
        <f>'Data-temp_employment'!JV13-last_qrtr_tempemp!JW13</f>
        <v>-1.6000000000000014</v>
      </c>
      <c r="JW13" s="286">
        <f>'Data-temp_employment'!JW13-last_qrtr_tempemp!JX13</f>
        <v>-1.7000000000000028</v>
      </c>
      <c r="JX13" s="286">
        <f>'Data-temp_employment'!JX13-last_qrtr_tempemp!JY13</f>
        <v>-8.6000000000000014</v>
      </c>
      <c r="JY13" s="286">
        <f>'Data-temp_employment'!JY13-last_qrtr_tempemp!JZ13</f>
        <v>1.4000000000000021</v>
      </c>
      <c r="JZ13" s="286">
        <f>'Data-temp_employment'!JZ13-last_qrtr_tempemp!KA13</f>
        <v>-0.79999999999999716</v>
      </c>
      <c r="KA13" s="286">
        <f>'Data-temp_employment'!KA13</f>
        <v>18.100000000000001</v>
      </c>
      <c r="KB13" s="279" t="s">
        <v>26</v>
      </c>
      <c r="KC13" s="286">
        <f>'Data-temp_employment'!KC13-last_qrtr_tempemp!KD13</f>
        <v>6.5</v>
      </c>
      <c r="KD13" s="286">
        <f>'Data-temp_employment'!KD13-last_qrtr_tempemp!KE13</f>
        <v>6.1000000000000014</v>
      </c>
      <c r="KE13" s="286">
        <f>'Data-temp_employment'!KE13-last_qrtr_tempemp!KF13</f>
        <v>-5.7999999999999972</v>
      </c>
      <c r="KF13" s="286">
        <f>'Data-temp_employment'!KF13-last_qrtr_tempemp!KG13</f>
        <v>-6</v>
      </c>
      <c r="KG13" s="286">
        <f>'Data-temp_employment'!KG13-last_qrtr_tempemp!KH13</f>
        <v>-13.600000000000001</v>
      </c>
      <c r="KH13" s="286">
        <f>'Data-temp_employment'!KH13-last_qrtr_tempemp!KI13</f>
        <v>3</v>
      </c>
      <c r="KI13" s="286">
        <f>'Data-temp_employment'!KI13-last_qrtr_tempemp!KJ13</f>
        <v>10.699999999999996</v>
      </c>
      <c r="KJ13" s="286">
        <f>'Data-temp_employment'!KJ13-last_qrtr_tempemp!KK13</f>
        <v>6.9000000000000057</v>
      </c>
      <c r="KK13" s="286">
        <f>'Data-temp_employment'!KK13-last_qrtr_tempemp!KL13</f>
        <v>4.5999999999999943</v>
      </c>
      <c r="KL13" s="286">
        <f>'Data-temp_employment'!KL13</f>
        <v>52.6</v>
      </c>
      <c r="KM13" s="279" t="s">
        <v>26</v>
      </c>
      <c r="KN13" s="286">
        <f>'Data-temp_employment'!KN13-last_qrtr_tempemp!KO13</f>
        <v>-1.4000000000000004</v>
      </c>
      <c r="KO13" s="286">
        <f>'Data-temp_employment'!KO13-last_qrtr_tempemp!KP13</f>
        <v>-1.8000000000000007</v>
      </c>
      <c r="KP13" s="286">
        <f>'Data-temp_employment'!KP13-last_qrtr_tempemp!KQ13</f>
        <v>2.6999999999999993</v>
      </c>
      <c r="KQ13" s="286">
        <f>'Data-temp_employment'!KQ13-last_qrtr_tempemp!KR13</f>
        <v>0.5</v>
      </c>
      <c r="KR13" s="286">
        <f>'Data-temp_employment'!KR13-last_qrtr_tempemp!KS13</f>
        <v>-1.8000000000000007</v>
      </c>
      <c r="KS13" s="286">
        <f>'Data-temp_employment'!KS13-last_qrtr_tempemp!KT13</f>
        <v>-4.0999999999999979</v>
      </c>
      <c r="KT13" s="286">
        <f>'Data-temp_employment'!KT13-last_qrtr_tempemp!KU13</f>
        <v>5.4</v>
      </c>
      <c r="KU13" s="286">
        <f>'Data-temp_employment'!KU13-last_qrtr_tempemp!KV13</f>
        <v>-1.5</v>
      </c>
      <c r="KV13" s="286">
        <f>'Data-temp_employment'!KV13-last_qrtr_tempemp!KW13</f>
        <v>-2.3000000000000007</v>
      </c>
      <c r="KW13" s="286">
        <f>'Data-temp_employment'!KW13</f>
        <v>13.8</v>
      </c>
      <c r="KX13" s="279" t="s">
        <v>26</v>
      </c>
      <c r="KY13" s="286">
        <f>'Data-temp_employment'!KY13-last_qrtr_tempemp!KZ13</f>
        <v>-5.5</v>
      </c>
      <c r="KZ13" s="286">
        <f>'Data-temp_employment'!KZ13-last_qrtr_tempemp!LA13</f>
        <v>-8.2999999999999972</v>
      </c>
      <c r="LA13" s="286">
        <f>'Data-temp_employment'!LA13-last_qrtr_tempemp!LB13</f>
        <v>41.699999999999996</v>
      </c>
      <c r="LB13" s="286">
        <f>'Data-temp_employment'!LB13-last_qrtr_tempemp!LC13</f>
        <v>5</v>
      </c>
      <c r="LC13" s="286">
        <f>'Data-temp_employment'!LC13-last_qrtr_tempemp!LD13</f>
        <v>-19.400000000000002</v>
      </c>
      <c r="LD13" s="286">
        <f>'Data-temp_employment'!LD13-last_qrtr_tempemp!LE13</f>
        <v>-12.899999999999999</v>
      </c>
      <c r="LE13" s="286">
        <f>'Data-temp_employment'!LE13-last_qrtr_tempemp!LF13</f>
        <v>41.599999999999994</v>
      </c>
      <c r="LF13" s="286">
        <f>'Data-temp_employment'!LF13-last_qrtr_tempemp!LG13</f>
        <v>7.0999999999999979</v>
      </c>
      <c r="LG13" s="286">
        <f>'Data-temp_employment'!LG13-last_qrtr_tempemp!LH13</f>
        <v>-30.099999999999998</v>
      </c>
      <c r="LH13" s="286">
        <f>'Data-temp_employment'!LH13</f>
        <v>45.7</v>
      </c>
      <c r="LI13" s="285" t="s">
        <v>26</v>
      </c>
      <c r="LJ13" s="286">
        <f>'Data-temp_employment'!LJ13-last_qrtr_tempemp!LK13</f>
        <v>-0.5</v>
      </c>
      <c r="LK13" s="286">
        <f>'Data-temp_employment'!LK13-last_qrtr_tempemp!LL13</f>
        <v>1.0999999999999996</v>
      </c>
      <c r="LL13" s="286">
        <f>'Data-temp_employment'!LL13-last_qrtr_tempemp!LM13</f>
        <v>6.3999999999999995</v>
      </c>
      <c r="LM13" s="286">
        <f>'Data-temp_employment'!LM13-last_qrtr_tempemp!LN13</f>
        <v>1.3999999999999986</v>
      </c>
      <c r="LN13" s="286">
        <f>'Data-temp_employment'!LN13-last_qrtr_tempemp!LO13</f>
        <v>-3</v>
      </c>
      <c r="LO13" s="286">
        <f>'Data-temp_employment'!LO13-last_qrtr_tempemp!LP13</f>
        <v>-3.8999999999999986</v>
      </c>
      <c r="LP13" s="286">
        <f>'Data-temp_employment'!LP13-last_qrtr_tempemp!LQ13</f>
        <v>-3.7999999999999989</v>
      </c>
      <c r="LQ13" s="286">
        <f>'Data-temp_employment'!LQ13-last_qrtr_tempemp!LR13</f>
        <v>-1.1000000000000005</v>
      </c>
      <c r="LR13" s="286">
        <f>'Data-temp_employment'!LR13-last_qrtr_tempemp!LS13</f>
        <v>1.6999999999999993</v>
      </c>
      <c r="LS13" s="286">
        <f>'Data-temp_employment'!LS13</f>
        <v>10.7</v>
      </c>
      <c r="LT13" s="279" t="s">
        <v>26</v>
      </c>
      <c r="LU13" s="286">
        <f>'Data-temp_employment'!LU13-last_qrtr_tempemp!LV13</f>
        <v>-4.8</v>
      </c>
      <c r="LV13" s="286">
        <f>'Data-temp_employment'!LV13-last_qrtr_tempemp!LW13</f>
        <v>-6.3</v>
      </c>
      <c r="LW13" s="286">
        <f>'Data-temp_employment'!LW13-last_qrtr_tempemp!LX13</f>
        <v>0</v>
      </c>
      <c r="LX13" s="286">
        <f>'Data-temp_employment'!LX13-last_qrtr_tempemp!LY13</f>
        <v>0</v>
      </c>
      <c r="LY13" s="286">
        <f>'Data-temp_employment'!LY13-last_qrtr_tempemp!LZ13</f>
        <v>4.2</v>
      </c>
      <c r="LZ13" s="286">
        <f>'Data-temp_employment'!LZ13-last_qrtr_tempemp!MA13</f>
        <v>5.5</v>
      </c>
      <c r="MA13" s="286">
        <f>'Data-temp_employment'!MA13-last_qrtr_tempemp!MB13</f>
        <v>0</v>
      </c>
      <c r="MB13" s="286">
        <f>'Data-temp_employment'!MB13-last_qrtr_tempemp!MC13</f>
        <v>3.8999999999999995</v>
      </c>
      <c r="MC13" s="286">
        <f>'Data-temp_employment'!MC13-last_qrtr_tempemp!MD13</f>
        <v>3.4000000000000004</v>
      </c>
      <c r="MD13" s="286">
        <f>'Data-temp_employment'!MD13</f>
        <v>5.6</v>
      </c>
      <c r="ME13" s="279" t="s">
        <v>26</v>
      </c>
      <c r="MF13" s="286">
        <f>'Data-temp_employment'!MF13-last_qrtr_tempemp!MG13</f>
        <v>1.3000000000000007</v>
      </c>
      <c r="MG13" s="286">
        <f>'Data-temp_employment'!MG13-last_qrtr_tempemp!MH13</f>
        <v>0</v>
      </c>
      <c r="MH13" s="286">
        <f>'Data-temp_employment'!MH13-last_qrtr_tempemp!MI13</f>
        <v>-5.0999999999999996</v>
      </c>
      <c r="MI13" s="286">
        <f>'Data-temp_employment'!MI13-last_qrtr_tempemp!MJ13</f>
        <v>-2.0999999999999996</v>
      </c>
      <c r="MJ13" s="286">
        <f>'Data-temp_employment'!MJ13-last_qrtr_tempemp!MK13</f>
        <v>-1.5999999999999996</v>
      </c>
      <c r="MK13" s="286">
        <f>'Data-temp_employment'!MK13-last_qrtr_tempemp!ML13</f>
        <v>1.5</v>
      </c>
      <c r="ML13" s="286">
        <f>'Data-temp_employment'!ML13-last_qrtr_tempemp!MM13</f>
        <v>1.4000000000000004</v>
      </c>
      <c r="MM13" s="286">
        <f>'Data-temp_employment'!MM13-last_qrtr_tempemp!MN13</f>
        <v>1.9000000000000004</v>
      </c>
      <c r="MN13" s="286">
        <f>'Data-temp_employment'!MN13-last_qrtr_tempemp!MO13</f>
        <v>-2.1999999999999993</v>
      </c>
      <c r="MO13" s="286">
        <f>'Data-temp_employment'!MO13</f>
        <v>5.2</v>
      </c>
      <c r="MP13" s="279" t="s">
        <v>26</v>
      </c>
      <c r="MQ13" s="286">
        <f>'Data-temp_employment'!MQ13-last_qrtr_tempemp!MR13</f>
        <v>-4.2000000000000011</v>
      </c>
      <c r="MR13" s="286">
        <f>'Data-temp_employment'!MR13-last_qrtr_tempemp!MS13</f>
        <v>0.19999999999999929</v>
      </c>
      <c r="MS13" s="286">
        <f>'Data-temp_employment'!MS13-last_qrtr_tempemp!MT13</f>
        <v>9.4999999999999982</v>
      </c>
      <c r="MT13" s="286">
        <f>'Data-temp_employment'!MT13-last_qrtr_tempemp!MU13</f>
        <v>10.3</v>
      </c>
      <c r="MU13" s="286">
        <f>'Data-temp_employment'!MU13-last_qrtr_tempemp!MV13</f>
        <v>-11.1</v>
      </c>
      <c r="MV13" s="286">
        <f>'Data-temp_employment'!MV13-last_qrtr_tempemp!MW13</f>
        <v>-7.6999999999999993</v>
      </c>
      <c r="MW13" s="286">
        <f>'Data-temp_employment'!MW13-last_qrtr_tempemp!MX13</f>
        <v>0.40000000000000036</v>
      </c>
      <c r="MX13" s="286">
        <f>'Data-temp_employment'!MX13-last_qrtr_tempemp!MY13</f>
        <v>7.4</v>
      </c>
      <c r="MY13" s="286">
        <f>'Data-temp_employment'!MY13-last_qrtr_tempemp!MZ13</f>
        <v>1.1000000000000014</v>
      </c>
      <c r="MZ13" s="286">
        <f>'Data-temp_employment'!MZ13</f>
        <v>16.8</v>
      </c>
      <c r="NA13" s="279" t="s">
        <v>26</v>
      </c>
      <c r="NB13" s="286">
        <f>'Data-temp_employment'!NB13-last_qrtr_tempemp!NC13</f>
        <v>-3.9000000000000004</v>
      </c>
      <c r="NC13" s="286">
        <f>'Data-temp_employment'!NC13-last_qrtr_tempemp!ND13</f>
        <v>-0.19999999999999929</v>
      </c>
      <c r="ND13" s="286">
        <f>'Data-temp_employment'!ND13-last_qrtr_tempemp!NE13</f>
        <v>-3.5</v>
      </c>
      <c r="NE13" s="286">
        <f>'Data-temp_employment'!NE13-last_qrtr_tempemp!NF13</f>
        <v>-3.0999999999999996</v>
      </c>
      <c r="NF13" s="286">
        <f>'Data-temp_employment'!NF13-last_qrtr_tempemp!NG13</f>
        <v>-2.6000000000000014</v>
      </c>
      <c r="NG13" s="286">
        <f>'Data-temp_employment'!NG13-last_qrtr_tempemp!NH13</f>
        <v>-1.7000000000000011</v>
      </c>
      <c r="NH13" s="286">
        <f>'Data-temp_employment'!NH13-last_qrtr_tempemp!NI13</f>
        <v>5.7999999999999989</v>
      </c>
      <c r="NI13" s="286">
        <f>'Data-temp_employment'!NI13-last_qrtr_tempemp!NJ13</f>
        <v>-1.0999999999999996</v>
      </c>
      <c r="NJ13" s="286">
        <f>'Data-temp_employment'!NJ13-last_qrtr_tempemp!NK13</f>
        <v>-0.69999999999999929</v>
      </c>
      <c r="NK13" s="286">
        <f>'Data-temp_employment'!NK13</f>
        <v>6</v>
      </c>
      <c r="NL13" s="279" t="s">
        <v>26</v>
      </c>
      <c r="NM13" s="286">
        <f>'Data-temp_employment'!NM13-last_qrtr_tempemp!NN13</f>
        <v>4.9000000000000021</v>
      </c>
      <c r="NN13" s="286">
        <f>'Data-temp_employment'!NN13-last_qrtr_tempemp!NO13</f>
        <v>10.4</v>
      </c>
      <c r="NO13" s="286">
        <f>'Data-temp_employment'!NO13-last_qrtr_tempemp!NP13</f>
        <v>-5.2000000000000011</v>
      </c>
      <c r="NP13" s="286">
        <f>'Data-temp_employment'!NP13-last_qrtr_tempemp!NQ13</f>
        <v>-4</v>
      </c>
      <c r="NQ13" s="286">
        <f>'Data-temp_employment'!NQ13-last_qrtr_tempemp!NR13</f>
        <v>-7.3000000000000007</v>
      </c>
      <c r="NR13" s="286">
        <f>'Data-temp_employment'!NR13-last_qrtr_tempemp!NS13</f>
        <v>0.19999999999999929</v>
      </c>
      <c r="NS13" s="286">
        <f>'Data-temp_employment'!NS13-last_qrtr_tempemp!NT13</f>
        <v>-1.1000000000000014</v>
      </c>
      <c r="NT13" s="286">
        <f>'Data-temp_employment'!NT13-last_qrtr_tempemp!NU13</f>
        <v>-0.69999999999999929</v>
      </c>
      <c r="NU13" s="286">
        <f>'Data-temp_employment'!NU13-last_qrtr_tempemp!NV13</f>
        <v>3.4000000000000004</v>
      </c>
      <c r="NV13" s="286">
        <f>'Data-temp_employment'!NV13</f>
        <v>21.5</v>
      </c>
      <c r="NW13" s="279" t="s">
        <v>26</v>
      </c>
      <c r="NX13" s="286">
        <f>'Data-temp_employment'!NX13-last_qrtr_tempemp!NY13</f>
        <v>-2.6999999999999993</v>
      </c>
      <c r="NY13" s="286">
        <f>'Data-temp_employment'!NY13-last_qrtr_tempemp!NZ13</f>
        <v>3.9999999999999991</v>
      </c>
      <c r="NZ13" s="286">
        <f>'Data-temp_employment'!NZ13-last_qrtr_tempemp!OA13</f>
        <v>5.0999999999999996</v>
      </c>
      <c r="OA13" s="286">
        <f>'Data-temp_employment'!OA13-last_qrtr_tempemp!OB13</f>
        <v>8</v>
      </c>
      <c r="OB13" s="286">
        <f>'Data-temp_employment'!OB13-last_qrtr_tempemp!OC13</f>
        <v>4.6000000000000014</v>
      </c>
      <c r="OC13" s="286">
        <f>'Data-temp_employment'!OC13-last_qrtr_tempemp!OD13</f>
        <v>-0.80000000000000071</v>
      </c>
      <c r="OD13" s="286">
        <f>'Data-temp_employment'!OD13-last_qrtr_tempemp!OE13</f>
        <v>-8.9</v>
      </c>
      <c r="OE13" s="286">
        <f>'Data-temp_employment'!OE13-last_qrtr_tempemp!OF13</f>
        <v>-2.7000000000000011</v>
      </c>
      <c r="OF13" s="286">
        <f>'Data-temp_employment'!OF13-last_qrtr_tempemp!OG13</f>
        <v>-2.5999999999999996</v>
      </c>
      <c r="OG13" s="286">
        <f>'Data-temp_employment'!OG13</f>
        <v>15.7</v>
      </c>
      <c r="OH13" s="287" t="s">
        <v>26</v>
      </c>
      <c r="OI13" s="286"/>
      <c r="OJ13" s="286"/>
      <c r="OK13" s="286"/>
      <c r="OL13" s="286"/>
      <c r="OM13" s="286"/>
      <c r="ON13" s="286"/>
      <c r="OO13" s="286"/>
      <c r="OP13" s="286"/>
      <c r="OQ13" s="286"/>
      <c r="OR13" s="286"/>
      <c r="OS13" s="279" t="s">
        <v>26</v>
      </c>
      <c r="OT13" s="286" t="e">
        <f>'Data-temp_employment'!#REF!-last_qrtr_tempemp!OU13</f>
        <v>#REF!</v>
      </c>
      <c r="OU13" s="286">
        <f>'Data-temp_employment'!OT13-last_qrtr_tempemp!OV13</f>
        <v>1</v>
      </c>
      <c r="OV13" s="286">
        <f>'Data-temp_employment'!OU13-last_qrtr_tempemp!OW13</f>
        <v>-9.9999999999999978E-2</v>
      </c>
      <c r="OW13" s="286">
        <f>'Data-temp_employment'!OV13-last_qrtr_tempemp!OX13</f>
        <v>0.7</v>
      </c>
      <c r="OX13" s="286">
        <f>'Data-temp_employment'!OW13-last_qrtr_tempemp!OY13</f>
        <v>-0.30000000000000004</v>
      </c>
      <c r="OY13" s="286">
        <f>'Data-temp_employment'!OX13-last_qrtr_tempemp!OZ13</f>
        <v>-0.20000000000000007</v>
      </c>
      <c r="OZ13" s="286">
        <f>'Data-temp_employment'!OY13-last_qrtr_tempemp!PA13</f>
        <v>0</v>
      </c>
      <c r="PA13" s="286">
        <f>'Data-temp_employment'!OZ13-last_qrtr_tempemp!PB13</f>
        <v>-0.19999999999999996</v>
      </c>
      <c r="PB13" s="286">
        <f>'Data-temp_employment'!PA13-last_qrtr_tempemp!PC13</f>
        <v>-0.8</v>
      </c>
      <c r="PC13" s="286">
        <f>'Data-temp_employment'!PB13</f>
        <v>0.8</v>
      </c>
      <c r="PE13" s="319"/>
      <c r="PF13" s="319"/>
      <c r="PG13" s="319"/>
      <c r="PH13" s="319"/>
      <c r="PI13" s="319"/>
      <c r="PJ13" s="319"/>
      <c r="PK13" s="319"/>
      <c r="PL13" s="319"/>
      <c r="PM13" s="319"/>
      <c r="PN13" s="319"/>
      <c r="PO13" s="319"/>
      <c r="PP13" s="319"/>
      <c r="PQ13" s="319"/>
      <c r="PR13" s="319"/>
      <c r="PS13" s="319"/>
      <c r="PT13" s="319"/>
      <c r="PU13" s="319"/>
      <c r="PV13" s="319"/>
      <c r="PW13" s="319"/>
      <c r="PX13" s="319"/>
      <c r="PY13" s="319"/>
      <c r="PZ13" s="319"/>
      <c r="QA13" s="319"/>
      <c r="QB13" s="319"/>
      <c r="QC13" s="319"/>
      <c r="QD13" s="319"/>
      <c r="QE13" s="319"/>
      <c r="QF13" s="319"/>
      <c r="QG13" s="319"/>
      <c r="QH13" s="319"/>
      <c r="QI13" s="319"/>
      <c r="QJ13" s="319"/>
      <c r="QK13" s="319"/>
      <c r="QL13" s="319"/>
      <c r="QM13" s="319"/>
      <c r="QN13" s="319"/>
      <c r="QO13" s="319"/>
      <c r="QP13" s="319"/>
      <c r="QQ13" s="319"/>
      <c r="QR13" s="319"/>
      <c r="QS13" s="319"/>
      <c r="QT13" s="319"/>
      <c r="QU13" s="319"/>
      <c r="QV13" s="319"/>
      <c r="QW13" s="319"/>
      <c r="QX13" s="319"/>
      <c r="QY13" s="319"/>
      <c r="QZ13" s="319"/>
      <c r="RA13" s="319"/>
      <c r="RB13" s="319"/>
      <c r="RC13" s="319"/>
      <c r="RD13" s="319"/>
      <c r="RE13" s="319"/>
      <c r="RF13" s="319"/>
      <c r="RG13" s="319"/>
      <c r="RH13" s="319"/>
      <c r="RI13" s="319"/>
      <c r="RJ13" s="319"/>
      <c r="RK13" s="319"/>
      <c r="RL13" s="319"/>
      <c r="RM13" s="319"/>
      <c r="RN13" s="319"/>
      <c r="RO13" s="319"/>
      <c r="RP13" s="319"/>
    </row>
    <row r="14" spans="1:484">
      <c r="A14" s="269">
        <v>11</v>
      </c>
      <c r="B14" s="285" t="s">
        <v>28</v>
      </c>
      <c r="C14" s="286">
        <f>'Data-temp_employment'!C14-last_qrtr_tempemp!D14</f>
        <v>-3.6999999999999993</v>
      </c>
      <c r="D14" s="286">
        <f>'Data-temp_employment'!D14-last_qrtr_tempemp!E14</f>
        <v>-0.19999999999999929</v>
      </c>
      <c r="E14" s="286">
        <f>'Data-temp_employment'!E14-last_qrtr_tempemp!F14</f>
        <v>-1.1000000000000014</v>
      </c>
      <c r="F14" s="286">
        <f>'Data-temp_employment'!F14-last_qrtr_tempemp!G14</f>
        <v>-1</v>
      </c>
      <c r="G14" s="286">
        <f>'Data-temp_employment'!G14-last_qrtr_tempemp!H14</f>
        <v>-5.2000000000000011</v>
      </c>
      <c r="H14" s="286">
        <f>'Data-temp_employment'!H14-last_qrtr_tempemp!I14</f>
        <v>-1.0999999999999979</v>
      </c>
      <c r="I14" s="286">
        <f>'Data-temp_employment'!I14-last_qrtr_tempemp!J14</f>
        <v>2</v>
      </c>
      <c r="J14" s="286">
        <f>'Data-temp_employment'!J14-last_qrtr_tempemp!K14</f>
        <v>1.4000000000000004</v>
      </c>
      <c r="K14" s="286">
        <f>'Data-temp_employment'!K14-last_qrtr_tempemp!L14</f>
        <v>-2.8000000000000007</v>
      </c>
      <c r="L14" s="286">
        <f>'Data-temp_employment'!L14</f>
        <v>15.2</v>
      </c>
      <c r="M14" s="285" t="s">
        <v>28</v>
      </c>
      <c r="N14" s="286">
        <f>'Data-temp_employment'!N14-last_qrtr_tempemp!O14</f>
        <v>-12.5</v>
      </c>
      <c r="O14" s="286">
        <f>'Data-temp_employment'!O14-last_qrtr_tempemp!P14</f>
        <v>0.20000000000000284</v>
      </c>
      <c r="P14" s="286">
        <f>'Data-temp_employment'!P14-last_qrtr_tempemp!Q14</f>
        <v>-2.5999999999999943</v>
      </c>
      <c r="Q14" s="286">
        <f>'Data-temp_employment'!Q14-last_qrtr_tempemp!R14</f>
        <v>0</v>
      </c>
      <c r="R14" s="286">
        <f>'Data-temp_employment'!R14-last_qrtr_tempemp!S14</f>
        <v>-15.899999999999999</v>
      </c>
      <c r="S14" s="286">
        <f>'Data-temp_employment'!S14-last_qrtr_tempemp!T14</f>
        <v>-0.80000000000000426</v>
      </c>
      <c r="T14" s="286">
        <f>'Data-temp_employment'!T14-last_qrtr_tempemp!U14</f>
        <v>9.3999999999999986</v>
      </c>
      <c r="U14" s="286">
        <f>'Data-temp_employment'!U14-last_qrtr_tempemp!V14</f>
        <v>7.2000000000000028</v>
      </c>
      <c r="V14" s="286">
        <f>'Data-temp_employment'!V14-last_qrtr_tempemp!W14</f>
        <v>-9.1000000000000014</v>
      </c>
      <c r="W14" s="286">
        <f>'Data-temp_employment'!W14</f>
        <v>52.6</v>
      </c>
      <c r="X14" s="285" t="s">
        <v>28</v>
      </c>
      <c r="Y14" s="286">
        <f>'Data-temp_employment'!Y14-last_qrtr_tempemp!Z14</f>
        <v>0</v>
      </c>
      <c r="Z14" s="286">
        <f>'Data-temp_employment'!Z14-last_qrtr_tempemp!AA14</f>
        <v>-0.5</v>
      </c>
      <c r="AA14" s="286">
        <f>'Data-temp_employment'!AA14-last_qrtr_tempemp!AB14</f>
        <v>0</v>
      </c>
      <c r="AB14" s="286">
        <f>'Data-temp_employment'!AB14-last_qrtr_tempemp!AC14</f>
        <v>0</v>
      </c>
      <c r="AC14" s="286">
        <f>'Data-temp_employment'!AC14-last_qrtr_tempemp!AD14</f>
        <v>0</v>
      </c>
      <c r="AD14" s="286">
        <f>'Data-temp_employment'!AD14-last_qrtr_tempemp!AE14</f>
        <v>0</v>
      </c>
      <c r="AE14" s="286">
        <f>'Data-temp_employment'!AE14-last_qrtr_tempemp!AF14</f>
        <v>0</v>
      </c>
      <c r="AF14" s="286">
        <f>'Data-temp_employment'!AF14-last_qrtr_tempemp!AG14</f>
        <v>0</v>
      </c>
      <c r="AG14" s="286">
        <f>'Data-temp_employment'!AG14-last_qrtr_tempemp!AH14</f>
        <v>0</v>
      </c>
      <c r="AH14" s="286">
        <f>'Data-temp_employment'!AH14</f>
        <v>0</v>
      </c>
      <c r="AI14" s="279" t="s">
        <v>28</v>
      </c>
      <c r="AJ14" s="286">
        <f>'Data-temp_employment'!AJ14-last_qrtr_tempemp!AK14</f>
        <v>-0.10000000000000009</v>
      </c>
      <c r="AK14" s="286">
        <f>'Data-temp_employment'!AK14-last_qrtr_tempemp!AL14</f>
        <v>-1.6999999999999997</v>
      </c>
      <c r="AL14" s="286">
        <f>'Data-temp_employment'!AL14-last_qrtr_tempemp!AM14</f>
        <v>0.90000000000000013</v>
      </c>
      <c r="AM14" s="286">
        <f>'Data-temp_employment'!AM14-last_qrtr_tempemp!AN14</f>
        <v>0.70000000000000018</v>
      </c>
      <c r="AN14" s="286">
        <f>'Data-temp_employment'!AN14-last_qrtr_tempemp!AO14</f>
        <v>0.39999999999999991</v>
      </c>
      <c r="AO14" s="286">
        <f>'Data-temp_employment'!AO14-last_qrtr_tempemp!AP14</f>
        <v>-0.5</v>
      </c>
      <c r="AP14" s="286">
        <f>'Data-temp_employment'!AP14-last_qrtr_tempemp!AQ14</f>
        <v>0</v>
      </c>
      <c r="AQ14" s="286">
        <f>'Data-temp_employment'!AQ14-last_qrtr_tempemp!AR14</f>
        <v>-0.89999999999999991</v>
      </c>
      <c r="AR14" s="286">
        <f>'Data-temp_employment'!AR14-last_qrtr_tempemp!AS14</f>
        <v>-0.8</v>
      </c>
      <c r="AS14" s="286">
        <f>'Data-temp_employment'!AS14</f>
        <v>1.4</v>
      </c>
      <c r="AT14" s="279" t="s">
        <v>28</v>
      </c>
      <c r="AU14" s="286">
        <f>'Data-temp_employment'!AU14-last_qrtr_tempemp!AV14</f>
        <v>-3.3999999999999986</v>
      </c>
      <c r="AV14" s="286">
        <f>'Data-temp_employment'!AV14-last_qrtr_tempemp!AW14</f>
        <v>1.5999999999999996</v>
      </c>
      <c r="AW14" s="286">
        <f>'Data-temp_employment'!AW14-last_qrtr_tempemp!AX14</f>
        <v>4.8000000000000007</v>
      </c>
      <c r="AX14" s="286">
        <f>'Data-temp_employment'!AX14-last_qrtr_tempemp!AY14</f>
        <v>1.0999999999999996</v>
      </c>
      <c r="AY14" s="286">
        <f>'Data-temp_employment'!AY14-last_qrtr_tempemp!AZ14</f>
        <v>-9.6</v>
      </c>
      <c r="AZ14" s="286">
        <f>'Data-temp_employment'!AZ14-last_qrtr_tempemp!BA14</f>
        <v>-5.3000000000000007</v>
      </c>
      <c r="BA14" s="286">
        <f>'Data-temp_employment'!BA14-last_qrtr_tempemp!BB14</f>
        <v>2.7999999999999989</v>
      </c>
      <c r="BB14" s="286">
        <f>'Data-temp_employment'!BB14-last_qrtr_tempemp!BC14</f>
        <v>3.3000000000000007</v>
      </c>
      <c r="BC14" s="286">
        <f>'Data-temp_employment'!BC14-last_qrtr_tempemp!BD14</f>
        <v>-3.5999999999999996</v>
      </c>
      <c r="BD14" s="286">
        <f>'Data-temp_employment'!BD14</f>
        <v>8.1999999999999993</v>
      </c>
      <c r="BE14" s="279" t="s">
        <v>28</v>
      </c>
      <c r="BF14" s="286">
        <f>'Data-temp_employment'!BF14-last_qrtr_tempemp!BG14</f>
        <v>-4</v>
      </c>
      <c r="BG14" s="286">
        <f>'Data-temp_employment'!BG14-last_qrtr_tempemp!BH14</f>
        <v>5.3999999999999986</v>
      </c>
      <c r="BH14" s="286">
        <f>'Data-temp_employment'!BH14-last_qrtr_tempemp!BI14</f>
        <v>-2.2999999999999972</v>
      </c>
      <c r="BI14" s="286">
        <f>'Data-temp_employment'!BI14-last_qrtr_tempemp!BJ14</f>
        <v>0.70000000000000284</v>
      </c>
      <c r="BJ14" s="286">
        <f>'Data-temp_employment'!BJ14-last_qrtr_tempemp!BK14</f>
        <v>-8.5999999999999979</v>
      </c>
      <c r="BK14" s="286">
        <f>'Data-temp_employment'!BK14-last_qrtr_tempemp!BL14</f>
        <v>1.1999999999999993</v>
      </c>
      <c r="BL14" s="286">
        <f>'Data-temp_employment'!BL14-last_qrtr_tempemp!BM14</f>
        <v>-0.90000000000000213</v>
      </c>
      <c r="BM14" s="286">
        <f>'Data-temp_employment'!BM14-last_qrtr_tempemp!BN14</f>
        <v>0.19999999999999929</v>
      </c>
      <c r="BN14" s="286">
        <f>'Data-temp_employment'!BN14-last_qrtr_tempemp!BO14</f>
        <v>-6.3999999999999986</v>
      </c>
      <c r="BO14" s="286">
        <f>'Data-temp_employment'!BO14</f>
        <v>21.8</v>
      </c>
      <c r="BP14" s="282" t="s">
        <v>28</v>
      </c>
      <c r="BQ14" s="286">
        <f>'Data-temp_employment'!BQ14-last_qrtr_tempemp!BR14</f>
        <v>-1.1000000000000005</v>
      </c>
      <c r="BR14" s="286">
        <f>'Data-temp_employment'!BR14-last_qrtr_tempemp!BS14</f>
        <v>-0.29999999999999982</v>
      </c>
      <c r="BS14" s="286">
        <f>'Data-temp_employment'!BS14-last_qrtr_tempemp!BT14</f>
        <v>-0.30000000000000027</v>
      </c>
      <c r="BT14" s="286">
        <f>'Data-temp_employment'!BT14-last_qrtr_tempemp!BU14</f>
        <v>1.3000000000000003</v>
      </c>
      <c r="BU14" s="286">
        <f>'Data-temp_employment'!BU14-last_qrtr_tempemp!BV14</f>
        <v>2.2000000000000002</v>
      </c>
      <c r="BV14" s="286">
        <f>'Data-temp_employment'!BV14-last_qrtr_tempemp!BW14</f>
        <v>2.5</v>
      </c>
      <c r="BW14" s="286">
        <f>'Data-temp_employment'!BW14-last_qrtr_tempemp!BX14</f>
        <v>3.3000000000000003</v>
      </c>
      <c r="BX14" s="286">
        <f>'Data-temp_employment'!BX14-last_qrtr_tempemp!BY14</f>
        <v>1.8999999999999995</v>
      </c>
      <c r="BY14" s="286">
        <f>'Data-temp_employment'!BY14-last_qrtr_tempemp!BZ14</f>
        <v>0.70000000000000018</v>
      </c>
      <c r="BZ14" s="286">
        <f>'Data-temp_employment'!BZ14</f>
        <v>7</v>
      </c>
      <c r="CA14" s="285" t="s">
        <v>28</v>
      </c>
      <c r="CB14" s="286">
        <f>'Data-temp_employment'!CB14-last_qrtr_tempemp!CC14</f>
        <v>-3.9000000000000004</v>
      </c>
      <c r="CC14" s="286">
        <f>'Data-temp_employment'!CC14-last_qrtr_tempemp!CD14</f>
        <v>-4.2999999999999989</v>
      </c>
      <c r="CD14" s="286">
        <f>'Data-temp_employment'!CD14-last_qrtr_tempemp!CE14</f>
        <v>-5.7000000000000011</v>
      </c>
      <c r="CE14" s="286">
        <f>'Data-temp_employment'!CE14-last_qrtr_tempemp!CF14</f>
        <v>-4.0999999999999996</v>
      </c>
      <c r="CF14" s="286">
        <f>'Data-temp_employment'!CF14-last_qrtr_tempemp!CG14</f>
        <v>-0.70000000000000107</v>
      </c>
      <c r="CG14" s="286">
        <f>'Data-temp_employment'!CG14-last_qrtr_tempemp!CH14</f>
        <v>0.90000000000000036</v>
      </c>
      <c r="CH14" s="286">
        <f>'Data-temp_employment'!CH14-last_qrtr_tempemp!CI14</f>
        <v>4.0999999999999996</v>
      </c>
      <c r="CI14" s="286">
        <f>'Data-temp_employment'!CI14-last_qrtr_tempemp!CJ14</f>
        <v>2.9000000000000004</v>
      </c>
      <c r="CJ14" s="286">
        <f>'Data-temp_employment'!CJ14-last_qrtr_tempemp!CK14</f>
        <v>1.4000000000000004</v>
      </c>
      <c r="CK14" s="286">
        <f>'Data-temp_employment'!CK14</f>
        <v>14</v>
      </c>
      <c r="CL14" s="285" t="s">
        <v>28</v>
      </c>
      <c r="CM14" s="286">
        <f>'Data-temp_employment'!CM14-last_qrtr_tempemp!CN14</f>
        <v>-2.5</v>
      </c>
      <c r="CN14" s="286">
        <f>'Data-temp_employment'!CN14-last_qrtr_tempemp!CO14</f>
        <v>-1</v>
      </c>
      <c r="CO14" s="286">
        <f>'Data-temp_employment'!CO14-last_qrtr_tempemp!CP14</f>
        <v>-0.40000000000000036</v>
      </c>
      <c r="CP14" s="286">
        <f>'Data-temp_employment'!CP14-last_qrtr_tempemp!CQ14</f>
        <v>-1</v>
      </c>
      <c r="CQ14" s="286">
        <f>'Data-temp_employment'!CQ14-last_qrtr_tempemp!CR14</f>
        <v>-5.3000000000000007</v>
      </c>
      <c r="CR14" s="286">
        <f>'Data-temp_employment'!CR14-last_qrtr_tempemp!CS14</f>
        <v>-2.0999999999999996</v>
      </c>
      <c r="CS14" s="286">
        <f>'Data-temp_employment'!CS14-last_qrtr_tempemp!CT14</f>
        <v>2.4000000000000004</v>
      </c>
      <c r="CT14" s="286">
        <f>'Data-temp_employment'!CT14-last_qrtr_tempemp!CU14</f>
        <v>1.4000000000000004</v>
      </c>
      <c r="CU14" s="286">
        <f>'Data-temp_employment'!CU14-last_qrtr_tempemp!CV14</f>
        <v>-2.8000000000000007</v>
      </c>
      <c r="CV14" s="286">
        <f>'Data-temp_employment'!CV14</f>
        <v>14.3</v>
      </c>
      <c r="CW14" s="285" t="s">
        <v>28</v>
      </c>
      <c r="CX14" s="286">
        <f>'Data-temp_employment'!CX14-last_qrtr_tempemp!CY14</f>
        <v>-10.1</v>
      </c>
      <c r="CY14" s="286">
        <f>'Data-temp_employment'!CY14-last_qrtr_tempemp!CZ14</f>
        <v>-3.6999999999999993</v>
      </c>
      <c r="CZ14" s="286">
        <f>'Data-temp_employment'!CZ14-last_qrtr_tempemp!DA14</f>
        <v>1.0999999999999979</v>
      </c>
      <c r="DA14" s="286">
        <f>'Data-temp_employment'!DA14-last_qrtr_tempemp!DB14</f>
        <v>4.0000000000000018</v>
      </c>
      <c r="DB14" s="286">
        <f>'Data-temp_employment'!DB14-last_qrtr_tempemp!DC14</f>
        <v>-4.5000000000000018</v>
      </c>
      <c r="DC14" s="286">
        <f>'Data-temp_employment'!DC14-last_qrtr_tempemp!DD14</f>
        <v>0.60000000000000142</v>
      </c>
      <c r="DD14" s="286">
        <f>'Data-temp_employment'!DD14-last_qrtr_tempemp!DE14</f>
        <v>5.5</v>
      </c>
      <c r="DE14" s="286">
        <f>'Data-temp_employment'!DE14-last_qrtr_tempemp!DF14</f>
        <v>7</v>
      </c>
      <c r="DF14" s="286">
        <f>'Data-temp_employment'!DF14-last_qrtr_tempemp!DG14</f>
        <v>-1.5</v>
      </c>
      <c r="DG14" s="286">
        <f>'Data-temp_employment'!DG14</f>
        <v>21.2</v>
      </c>
      <c r="DH14" s="285" t="s">
        <v>28</v>
      </c>
      <c r="DI14" s="286">
        <f>'Data-temp_employment'!DI14-last_qrtr_tempemp!DJ14</f>
        <v>0.10000000000000142</v>
      </c>
      <c r="DJ14" s="286">
        <f>'Data-temp_employment'!DJ14-last_qrtr_tempemp!DK14</f>
        <v>5.0999999999999979</v>
      </c>
      <c r="DK14" s="286">
        <f>'Data-temp_employment'!DK14-last_qrtr_tempemp!DL14</f>
        <v>-3.2999999999999972</v>
      </c>
      <c r="DL14" s="286">
        <f>'Data-temp_employment'!DL14-last_qrtr_tempemp!DM14</f>
        <v>-2.9000000000000021</v>
      </c>
      <c r="DM14" s="286">
        <f>'Data-temp_employment'!DM14-last_qrtr_tempemp!DN14</f>
        <v>-6.1999999999999993</v>
      </c>
      <c r="DN14" s="286">
        <f>'Data-temp_employment'!DN14-last_qrtr_tempemp!DO14</f>
        <v>0.79999999999999716</v>
      </c>
      <c r="DO14" s="286">
        <f>'Data-temp_employment'!DO14-last_qrtr_tempemp!DP14</f>
        <v>1.5</v>
      </c>
      <c r="DP14" s="286">
        <f>'Data-temp_employment'!DP14-last_qrtr_tempemp!DQ14</f>
        <v>-1.1000000000000014</v>
      </c>
      <c r="DQ14" s="286">
        <f>'Data-temp_employment'!DQ14-last_qrtr_tempemp!DR14</f>
        <v>-4.7999999999999989</v>
      </c>
      <c r="DR14" s="286">
        <f>'Data-temp_employment'!DR14</f>
        <v>17.100000000000001</v>
      </c>
      <c r="DS14" s="285" t="s">
        <v>28</v>
      </c>
      <c r="DT14" s="286">
        <f>'Data-temp_employment'!DT14-last_qrtr_tempemp!DU14</f>
        <v>0</v>
      </c>
      <c r="DU14" s="286">
        <f>'Data-temp_employment'!DU14-last_qrtr_tempemp!DV14</f>
        <v>0</v>
      </c>
      <c r="DV14" s="286">
        <f>'Data-temp_employment'!DV14-last_qrtr_tempemp!DW14</f>
        <v>0</v>
      </c>
      <c r="DW14" s="286">
        <f>'Data-temp_employment'!DW14-last_qrtr_tempemp!DX14</f>
        <v>0</v>
      </c>
      <c r="DX14" s="286">
        <f>'Data-temp_employment'!DX14-last_qrtr_tempemp!DY14</f>
        <v>0</v>
      </c>
      <c r="DY14" s="286">
        <f>'Data-temp_employment'!DY14-last_qrtr_tempemp!DZ14</f>
        <v>0</v>
      </c>
      <c r="DZ14" s="286">
        <f>'Data-temp_employment'!DZ14-last_qrtr_tempemp!EA14</f>
        <v>0</v>
      </c>
      <c r="EA14" s="286">
        <f>'Data-temp_employment'!EA14-last_qrtr_tempemp!EB14</f>
        <v>0</v>
      </c>
      <c r="EB14" s="286">
        <f>'Data-temp_employment'!EB14-last_qrtr_tempemp!EC14</f>
        <v>0</v>
      </c>
      <c r="EC14" s="286">
        <f>'Data-temp_employment'!EC14</f>
        <v>0</v>
      </c>
      <c r="ED14" s="279" t="s">
        <v>28</v>
      </c>
      <c r="EE14" s="286">
        <f>'Data-temp_employment'!EE14-last_qrtr_tempemp!EF14</f>
        <v>0</v>
      </c>
      <c r="EF14" s="286">
        <f>'Data-temp_employment'!EF14-last_qrtr_tempemp!EG14</f>
        <v>-9.9999999999999978E-2</v>
      </c>
      <c r="EG14" s="286">
        <f>'Data-temp_employment'!EG14-last_qrtr_tempemp!EH14</f>
        <v>-9.9999999999999978E-2</v>
      </c>
      <c r="EH14" s="286">
        <f>'Data-temp_employment'!EH14-last_qrtr_tempemp!EI14</f>
        <v>0</v>
      </c>
      <c r="EI14" s="286">
        <f>'Data-temp_employment'!EI14-last_qrtr_tempemp!EJ14</f>
        <v>-0.5</v>
      </c>
      <c r="EJ14" s="286">
        <f>'Data-temp_employment'!EJ14-last_qrtr_tempemp!EK14</f>
        <v>-0.6</v>
      </c>
      <c r="EK14" s="286">
        <f>'Data-temp_employment'!EK14-last_qrtr_tempemp!EL14</f>
        <v>-9.9999999999999978E-2</v>
      </c>
      <c r="EL14" s="286">
        <f>'Data-temp_employment'!EL14-last_qrtr_tempemp!EM14</f>
        <v>0</v>
      </c>
      <c r="EM14" s="286">
        <f>'Data-temp_employment'!EM14-last_qrtr_tempemp!EN14</f>
        <v>0.6</v>
      </c>
      <c r="EN14" s="286">
        <f>'Data-temp_employment'!EN14</f>
        <v>0.5</v>
      </c>
      <c r="EO14" s="279" t="s">
        <v>28</v>
      </c>
      <c r="EP14" s="286">
        <f>'Data-temp_employment'!EP14-last_qrtr_tempemp!EQ14</f>
        <v>1.4000000000000004</v>
      </c>
      <c r="EQ14" s="286">
        <f>'Data-temp_employment'!EQ14-last_qrtr_tempemp!ER14</f>
        <v>4.6000000000000005</v>
      </c>
      <c r="ER14" s="286">
        <f>'Data-temp_employment'!ER14-last_qrtr_tempemp!ES14</f>
        <v>-1.4000000000000004</v>
      </c>
      <c r="ES14" s="286">
        <f>'Data-temp_employment'!ES14-last_qrtr_tempemp!ET14</f>
        <v>-1.8000000000000007</v>
      </c>
      <c r="ET14" s="286">
        <f>'Data-temp_employment'!ET14-last_qrtr_tempemp!EU14</f>
        <v>-2.5</v>
      </c>
      <c r="EU14" s="286">
        <f>'Data-temp_employment'!EU14-last_qrtr_tempemp!EV14</f>
        <v>1.4000000000000004</v>
      </c>
      <c r="EV14" s="286">
        <f>'Data-temp_employment'!EV14-last_qrtr_tempemp!EW14</f>
        <v>-1.3999999999999995</v>
      </c>
      <c r="EW14" s="286">
        <f>'Data-temp_employment'!EW14-last_qrtr_tempemp!EX14</f>
        <v>-3.0000000000000009</v>
      </c>
      <c r="EX14" s="286">
        <f>'Data-temp_employment'!EX14-last_qrtr_tempemp!EY14</f>
        <v>-3.2999999999999989</v>
      </c>
      <c r="EY14" s="286">
        <f>'Data-temp_employment'!EY14</f>
        <v>6</v>
      </c>
      <c r="EZ14" s="285" t="s">
        <v>28</v>
      </c>
      <c r="FA14" s="286">
        <f>'Data-temp_employment'!FA14-last_qrtr_tempemp!FB14</f>
        <v>-0.79999999999999982</v>
      </c>
      <c r="FB14" s="286">
        <f>'Data-temp_employment'!FB14-last_qrtr_tempemp!FC14</f>
        <v>9.9999999999999645E-2</v>
      </c>
      <c r="FC14" s="286">
        <f>'Data-temp_employment'!FC14-last_qrtr_tempemp!FD14</f>
        <v>-0.10000000000000009</v>
      </c>
      <c r="FD14" s="286">
        <f>'Data-temp_employment'!FD14-last_qrtr_tempemp!FE14</f>
        <v>1</v>
      </c>
      <c r="FE14" s="286">
        <f>'Data-temp_employment'!FE14-last_qrtr_tempemp!FF14</f>
        <v>-1</v>
      </c>
      <c r="FF14" s="286">
        <f>'Data-temp_employment'!FF14-last_qrtr_tempemp!FG14</f>
        <v>-0.10000000000000009</v>
      </c>
      <c r="FG14" s="286">
        <f>'Data-temp_employment'!FG14-last_qrtr_tempemp!FH14</f>
        <v>0</v>
      </c>
      <c r="FH14" s="286">
        <f>'Data-temp_employment'!FH14-last_qrtr_tempemp!FI14</f>
        <v>1.1000000000000001</v>
      </c>
      <c r="FI14" s="286">
        <f>'Data-temp_employment'!FI14-last_qrtr_tempemp!FJ14</f>
        <v>0.30000000000000027</v>
      </c>
      <c r="FJ14" s="286">
        <f>'Data-temp_employment'!FJ14</f>
        <v>1.9</v>
      </c>
      <c r="FK14" s="285" t="s">
        <v>28</v>
      </c>
      <c r="FL14" s="286">
        <f>'Data-temp_employment'!FL14-last_qrtr_tempemp!FM14</f>
        <v>0</v>
      </c>
      <c r="FM14" s="286">
        <f>'Data-temp_employment'!FM14-last_qrtr_tempemp!FN14</f>
        <v>0.60000000000000053</v>
      </c>
      <c r="FN14" s="286">
        <f>'Data-temp_employment'!FN14-last_qrtr_tempemp!FO14</f>
        <v>-0.20000000000000018</v>
      </c>
      <c r="FO14" s="286">
        <f>'Data-temp_employment'!FO14-last_qrtr_tempemp!FP14</f>
        <v>-1.1000000000000001</v>
      </c>
      <c r="FP14" s="286">
        <f>'Data-temp_employment'!FP14-last_qrtr_tempemp!FQ14</f>
        <v>-2.2000000000000002</v>
      </c>
      <c r="FQ14" s="286">
        <f>'Data-temp_employment'!FQ14-last_qrtr_tempemp!FR14</f>
        <v>-9.9999999999999645E-2</v>
      </c>
      <c r="FR14" s="286">
        <f>'Data-temp_employment'!FR14-last_qrtr_tempemp!FS14</f>
        <v>1.3000000000000003</v>
      </c>
      <c r="FS14" s="286">
        <f>'Data-temp_employment'!FS14-last_qrtr_tempemp!FT14</f>
        <v>0.89999999999999991</v>
      </c>
      <c r="FT14" s="286">
        <f>'Data-temp_employment'!FT14-last_qrtr_tempemp!FU14</f>
        <v>-1.7000000000000002</v>
      </c>
      <c r="FU14" s="286">
        <f>'Data-temp_employment'!FU14</f>
        <v>4.5</v>
      </c>
      <c r="FV14" s="279" t="s">
        <v>28</v>
      </c>
      <c r="FW14" s="286">
        <f>'Data-temp_employment'!FW14-last_qrtr_tempemp!FX14</f>
        <v>-4.6000000000000005</v>
      </c>
      <c r="FX14" s="286">
        <f>'Data-temp_employment'!FX14-last_qrtr_tempemp!FY14</f>
        <v>-1.2000000000000011</v>
      </c>
      <c r="FY14" s="286">
        <f>'Data-temp_employment'!FY14-last_qrtr_tempemp!FZ14</f>
        <v>1.5999999999999996</v>
      </c>
      <c r="FZ14" s="286">
        <f>'Data-temp_employment'!FZ14-last_qrtr_tempemp!GA14</f>
        <v>1.8999999999999995</v>
      </c>
      <c r="GA14" s="286">
        <f>'Data-temp_employment'!GA14-last_qrtr_tempemp!GB14</f>
        <v>-5.0999999999999996</v>
      </c>
      <c r="GB14" s="286">
        <f>'Data-temp_employment'!GB14-last_qrtr_tempemp!GC14</f>
        <v>-1.2000000000000011</v>
      </c>
      <c r="GC14" s="286">
        <f>'Data-temp_employment'!GC14-last_qrtr_tempemp!GD14</f>
        <v>3</v>
      </c>
      <c r="GD14" s="286">
        <f>'Data-temp_employment'!GD14-last_qrtr_tempemp!GE14</f>
        <v>3.1999999999999993</v>
      </c>
      <c r="GE14" s="286">
        <f>'Data-temp_employment'!GE14-last_qrtr_tempemp!GF14</f>
        <v>-3.8000000000000007</v>
      </c>
      <c r="GF14" s="286">
        <f>'Data-temp_employment'!GF14</f>
        <v>9.8000000000000007</v>
      </c>
      <c r="GG14" s="285" t="s">
        <v>28</v>
      </c>
      <c r="GH14" s="286">
        <f>'Data-temp_employment'!GH14-last_qrtr_tempemp!GI14</f>
        <v>0</v>
      </c>
      <c r="GI14" s="286">
        <f>'Data-temp_employment'!GI14-last_qrtr_tempemp!GJ14</f>
        <v>0</v>
      </c>
      <c r="GJ14" s="286">
        <f>'Data-temp_employment'!GJ14-last_qrtr_tempemp!GK14</f>
        <v>0</v>
      </c>
      <c r="GK14" s="286">
        <f>'Data-temp_employment'!GK14-last_qrtr_tempemp!GL14</f>
        <v>0</v>
      </c>
      <c r="GL14" s="286">
        <f>'Data-temp_employment'!GL14-last_qrtr_tempemp!GM14</f>
        <v>0</v>
      </c>
      <c r="GM14" s="286">
        <f>'Data-temp_employment'!GM14-last_qrtr_tempemp!GN14</f>
        <v>0</v>
      </c>
      <c r="GN14" s="286">
        <f>'Data-temp_employment'!GN14-last_qrtr_tempemp!GO14</f>
        <v>0</v>
      </c>
      <c r="GO14" s="286">
        <f>'Data-temp_employment'!GO14-last_qrtr_tempemp!GP14</f>
        <v>0</v>
      </c>
      <c r="GP14" s="286">
        <f>'Data-temp_employment'!GP14-last_qrtr_tempemp!GQ14</f>
        <v>0</v>
      </c>
      <c r="GQ14" s="286">
        <f>'Data-temp_employment'!GQ14</f>
        <v>0</v>
      </c>
      <c r="GR14" s="279" t="s">
        <v>28</v>
      </c>
      <c r="GS14" s="286">
        <f>'Data-temp_employment'!GS14-last_qrtr_tempemp!GT14</f>
        <v>-0.10000000000000009</v>
      </c>
      <c r="GT14" s="286">
        <f>'Data-temp_employment'!GT14-last_qrtr_tempemp!GU14</f>
        <v>0.10000000000000009</v>
      </c>
      <c r="GU14" s="286">
        <f>'Data-temp_employment'!GU14-last_qrtr_tempemp!GV14</f>
        <v>0.29999999999999982</v>
      </c>
      <c r="GV14" s="286">
        <f>'Data-temp_employment'!GV14-last_qrtr_tempemp!GW14</f>
        <v>-1.0999999999999999</v>
      </c>
      <c r="GW14" s="286">
        <f>'Data-temp_employment'!GW14-last_qrtr_tempemp!GX14</f>
        <v>-1.3</v>
      </c>
      <c r="GX14" s="286">
        <f>'Data-temp_employment'!GX14-last_qrtr_tempemp!GY14</f>
        <v>-0.29999999999999982</v>
      </c>
      <c r="GY14" s="286">
        <f>'Data-temp_employment'!GY14-last_qrtr_tempemp!GZ14</f>
        <v>0.39999999999999991</v>
      </c>
      <c r="GZ14" s="286">
        <f>'Data-temp_employment'!GZ14-last_qrtr_tempemp!HA14</f>
        <v>0.19999999999999996</v>
      </c>
      <c r="HA14" s="286">
        <f>'Data-temp_employment'!HA14-last_qrtr_tempemp!HB14</f>
        <v>-0.39999999999999991</v>
      </c>
      <c r="HB14" s="286">
        <f>'Data-temp_employment'!HB14</f>
        <v>1.6</v>
      </c>
      <c r="HC14" s="279" t="s">
        <v>28</v>
      </c>
      <c r="HD14" s="286">
        <f>'Data-temp_employment'!HD14-last_qrtr_tempemp!HE14</f>
        <v>-0.8</v>
      </c>
      <c r="HE14" s="286">
        <f>'Data-temp_employment'!HE14-last_qrtr_tempemp!HF14</f>
        <v>-1.4</v>
      </c>
      <c r="HF14" s="286">
        <f>'Data-temp_employment'!HF14-last_qrtr_tempemp!HG14</f>
        <v>-0.99999999999999989</v>
      </c>
      <c r="HG14" s="286">
        <f>'Data-temp_employment'!HG14-last_qrtr_tempemp!HH14</f>
        <v>-0.4</v>
      </c>
      <c r="HH14" s="286">
        <f>'Data-temp_employment'!HH14-last_qrtr_tempemp!HI14</f>
        <v>-0.40000000000000013</v>
      </c>
      <c r="HI14" s="286">
        <f>'Data-temp_employment'!HI14-last_qrtr_tempemp!HJ14</f>
        <v>0.20000000000000007</v>
      </c>
      <c r="HJ14" s="286">
        <f>'Data-temp_employment'!HJ14-last_qrtr_tempemp!HK14</f>
        <v>0.99999999999999989</v>
      </c>
      <c r="HK14" s="286">
        <f>'Data-temp_employment'!HK14-last_qrtr_tempemp!HL14</f>
        <v>0.8</v>
      </c>
      <c r="HL14" s="286">
        <f>'Data-temp_employment'!HL14-last_qrtr_tempemp!HM14</f>
        <v>0.5</v>
      </c>
      <c r="HM14" s="286">
        <f>'Data-temp_employment'!HM14</f>
        <v>1.1000000000000001</v>
      </c>
      <c r="HN14" s="285" t="s">
        <v>28</v>
      </c>
      <c r="HO14" s="286">
        <f>'Data-temp_employment'!HO14-last_qrtr_tempemp!HP14</f>
        <v>-7.5999999999999979</v>
      </c>
      <c r="HP14" s="286">
        <f>'Data-temp_employment'!HP14-last_qrtr_tempemp!HQ14</f>
        <v>-2.0999999999999979</v>
      </c>
      <c r="HQ14" s="286">
        <f>'Data-temp_employment'!HQ14-last_qrtr_tempemp!HR14</f>
        <v>-1.3999999999999986</v>
      </c>
      <c r="HR14" s="286">
        <f>'Data-temp_employment'!HR14-last_qrtr_tempemp!HS14</f>
        <v>0.79999999999999716</v>
      </c>
      <c r="HS14" s="286">
        <f>'Data-temp_employment'!HS14-last_qrtr_tempemp!HT14</f>
        <v>-5.5</v>
      </c>
      <c r="HT14" s="286">
        <f>'Data-temp_employment'!HT14-last_qrtr_tempemp!HU14</f>
        <v>-3.2000000000000028</v>
      </c>
      <c r="HU14" s="286">
        <f>'Data-temp_employment'!HU14-last_qrtr_tempemp!HV14</f>
        <v>3.9000000000000021</v>
      </c>
      <c r="HV14" s="286">
        <f>'Data-temp_employment'!HV14-last_qrtr_tempemp!HW14</f>
        <v>2.9000000000000021</v>
      </c>
      <c r="HW14" s="286">
        <f>'Data-temp_employment'!HW14-last_qrtr_tempemp!HX14</f>
        <v>-1.5999999999999979</v>
      </c>
      <c r="HX14" s="286">
        <f>'Data-temp_employment'!HX14</f>
        <v>23</v>
      </c>
      <c r="HY14" s="279" t="s">
        <v>28</v>
      </c>
      <c r="HZ14" s="286">
        <f>'Data-temp_employment'!HZ14-last_qrtr_tempemp!IA14</f>
        <v>0.7</v>
      </c>
      <c r="IA14" s="286">
        <f>'Data-temp_employment'!IA14-last_qrtr_tempemp!IB14</f>
        <v>0</v>
      </c>
      <c r="IB14" s="286">
        <f>'Data-temp_employment'!IB14-last_qrtr_tempemp!IC14</f>
        <v>0</v>
      </c>
      <c r="IC14" s="286">
        <f>'Data-temp_employment'!IC14-last_qrtr_tempemp!ID14</f>
        <v>0.60000000000000009</v>
      </c>
      <c r="ID14" s="286">
        <f>'Data-temp_employment'!ID14-last_qrtr_tempemp!IE14</f>
        <v>2.6</v>
      </c>
      <c r="IE14" s="286">
        <f>'Data-temp_employment'!IE14-last_qrtr_tempemp!IF14</f>
        <v>2.9</v>
      </c>
      <c r="IF14" s="286">
        <f>'Data-temp_employment'!IF14-last_qrtr_tempemp!IG14</f>
        <v>1.4999999999999998</v>
      </c>
      <c r="IG14" s="286">
        <f>'Data-temp_employment'!IG14-last_qrtr_tempemp!IH14</f>
        <v>1.1000000000000001</v>
      </c>
      <c r="IH14" s="286">
        <f>'Data-temp_employment'!IH14-last_qrtr_tempemp!II14</f>
        <v>0.60000000000000009</v>
      </c>
      <c r="II14" s="286">
        <f>'Data-temp_employment'!II14</f>
        <v>3.9</v>
      </c>
      <c r="IJ14" s="285" t="s">
        <v>28</v>
      </c>
      <c r="IK14" s="286">
        <f>'Data-temp_employment'!IK14-last_qrtr_tempemp!IL14</f>
        <v>0</v>
      </c>
      <c r="IL14" s="286">
        <f>'Data-temp_employment'!IL14-last_qrtr_tempemp!IM14</f>
        <v>0</v>
      </c>
      <c r="IM14" s="286">
        <f>'Data-temp_employment'!IM14-last_qrtr_tempemp!IN14</f>
        <v>0</v>
      </c>
      <c r="IN14" s="286">
        <f>'Data-temp_employment'!IN14-last_qrtr_tempemp!IO14</f>
        <v>0</v>
      </c>
      <c r="IO14" s="286">
        <f>'Data-temp_employment'!IO14-last_qrtr_tempemp!IP14</f>
        <v>0</v>
      </c>
      <c r="IP14" s="286">
        <f>'Data-temp_employment'!IP14-last_qrtr_tempemp!IQ14</f>
        <v>0</v>
      </c>
      <c r="IQ14" s="286">
        <f>'Data-temp_employment'!IQ14-last_qrtr_tempemp!IR14</f>
        <v>0</v>
      </c>
      <c r="IR14" s="286">
        <f>'Data-temp_employment'!IR14-last_qrtr_tempemp!IS14</f>
        <v>0</v>
      </c>
      <c r="IS14" s="286">
        <f>'Data-temp_employment'!IS14-last_qrtr_tempemp!IT14</f>
        <v>0</v>
      </c>
      <c r="IT14" s="286">
        <f>'Data-temp_employment'!IT14</f>
        <v>0</v>
      </c>
      <c r="IU14" s="279" t="s">
        <v>28</v>
      </c>
      <c r="IV14" s="286">
        <f>'Data-temp_employment'!IV14-last_qrtr_tempemp!IW14</f>
        <v>0.19999999999999973</v>
      </c>
      <c r="IW14" s="286">
        <f>'Data-temp_employment'!IW14-last_qrtr_tempemp!IX14</f>
        <v>0.40000000000000036</v>
      </c>
      <c r="IX14" s="286">
        <f>'Data-temp_employment'!IX14-last_qrtr_tempemp!IY14</f>
        <v>1.2000000000000002</v>
      </c>
      <c r="IY14" s="286">
        <f>'Data-temp_employment'!IY14-last_qrtr_tempemp!IZ14</f>
        <v>-0.10000000000000009</v>
      </c>
      <c r="IZ14" s="286">
        <f>'Data-temp_employment'!IZ14-last_qrtr_tempemp!JA14</f>
        <v>-1.4000000000000001</v>
      </c>
      <c r="JA14" s="286">
        <f>'Data-temp_employment'!JA14-last_qrtr_tempemp!JB14</f>
        <v>-1.5</v>
      </c>
      <c r="JB14" s="286">
        <f>'Data-temp_employment'!JB14-last_qrtr_tempemp!JC14</f>
        <v>-0.39999999999999991</v>
      </c>
      <c r="JC14" s="286">
        <f>'Data-temp_employment'!JC14-last_qrtr_tempemp!JD14</f>
        <v>-0.10000000000000009</v>
      </c>
      <c r="JD14" s="286">
        <f>'Data-temp_employment'!JD14-last_qrtr_tempemp!JE14</f>
        <v>-0.60000000000000009</v>
      </c>
      <c r="JE14" s="286">
        <f>'Data-temp_employment'!JE14</f>
        <v>1.6</v>
      </c>
      <c r="JF14" s="279" t="s">
        <v>28</v>
      </c>
      <c r="JG14" s="286">
        <f>'Data-temp_employment'!JG14-last_qrtr_tempemp!JH14</f>
        <v>-0.39999999999999991</v>
      </c>
      <c r="JH14" s="286">
        <f>'Data-temp_employment'!JH14-last_qrtr_tempemp!JI14</f>
        <v>-0.7</v>
      </c>
      <c r="JI14" s="286">
        <f>'Data-temp_employment'!JI14-last_qrtr_tempemp!JJ14</f>
        <v>-0.4</v>
      </c>
      <c r="JJ14" s="286">
        <f>'Data-temp_employment'!JJ14-last_qrtr_tempemp!JK14</f>
        <v>-0.5</v>
      </c>
      <c r="JK14" s="286">
        <f>'Data-temp_employment'!JK14-last_qrtr_tempemp!JL14</f>
        <v>-0.8</v>
      </c>
      <c r="JL14" s="286">
        <f>'Data-temp_employment'!JL14-last_qrtr_tempemp!JM14</f>
        <v>-0.9</v>
      </c>
      <c r="JM14" s="286">
        <f>'Data-temp_employment'!JM14-last_qrtr_tempemp!JN14</f>
        <v>-0.8</v>
      </c>
      <c r="JN14" s="286">
        <f>'Data-temp_employment'!JN14-last_qrtr_tempemp!JO14</f>
        <v>0.8</v>
      </c>
      <c r="JO14" s="286">
        <f>'Data-temp_employment'!JO14-last_qrtr_tempemp!JP14</f>
        <v>0.7</v>
      </c>
      <c r="JP14" s="286">
        <f>'Data-temp_employment'!JP14</f>
        <v>0.6</v>
      </c>
      <c r="JQ14" s="279" t="s">
        <v>28</v>
      </c>
      <c r="JR14" s="286">
        <f>'Data-temp_employment'!JR14-last_qrtr_tempemp!JS14</f>
        <v>-0.19999999999999973</v>
      </c>
      <c r="JS14" s="286">
        <f>'Data-temp_employment'!JS14-last_qrtr_tempemp!JT14</f>
        <v>0.59999999999999987</v>
      </c>
      <c r="JT14" s="286">
        <f>'Data-temp_employment'!JT14-last_qrtr_tempemp!JU14</f>
        <v>0.49999999999999978</v>
      </c>
      <c r="JU14" s="286">
        <f>'Data-temp_employment'!JU14-last_qrtr_tempemp!JV14</f>
        <v>-0.5</v>
      </c>
      <c r="JV14" s="286">
        <f>'Data-temp_employment'!JV14-last_qrtr_tempemp!JW14</f>
        <v>-0.10000000000000009</v>
      </c>
      <c r="JW14" s="286">
        <f>'Data-temp_employment'!JW14-last_qrtr_tempemp!JX14</f>
        <v>0.10000000000000009</v>
      </c>
      <c r="JX14" s="286">
        <f>'Data-temp_employment'!JX14-last_qrtr_tempemp!JY14</f>
        <v>0.19999999999999996</v>
      </c>
      <c r="JY14" s="286">
        <f>'Data-temp_employment'!JY14-last_qrtr_tempemp!JZ14</f>
        <v>-0.79999999999999982</v>
      </c>
      <c r="JZ14" s="286">
        <f>'Data-temp_employment'!JZ14-last_qrtr_tempemp!KA14</f>
        <v>-1.3</v>
      </c>
      <c r="KA14" s="286">
        <f>'Data-temp_employment'!KA14</f>
        <v>0.9</v>
      </c>
      <c r="KB14" s="279" t="s">
        <v>28</v>
      </c>
      <c r="KC14" s="286">
        <f>'Data-temp_employment'!KC14-last_qrtr_tempemp!KD14</f>
        <v>-1.1999999999999997</v>
      </c>
      <c r="KD14" s="286">
        <f>'Data-temp_employment'!KD14-last_qrtr_tempemp!KE14</f>
        <v>-1</v>
      </c>
      <c r="KE14" s="286">
        <f>'Data-temp_employment'!KE14-last_qrtr_tempemp!KF14</f>
        <v>-0.5</v>
      </c>
      <c r="KF14" s="286">
        <f>'Data-temp_employment'!KF14-last_qrtr_tempemp!KG14</f>
        <v>0.80000000000000027</v>
      </c>
      <c r="KG14" s="286">
        <f>'Data-temp_employment'!KG14-last_qrtr_tempemp!KH14</f>
        <v>-1.1999999999999997</v>
      </c>
      <c r="KH14" s="286">
        <f>'Data-temp_employment'!KH14-last_qrtr_tempemp!KI14</f>
        <v>0.20000000000000018</v>
      </c>
      <c r="KI14" s="286">
        <f>'Data-temp_employment'!KI14-last_qrtr_tempemp!KJ14</f>
        <v>0.89999999999999947</v>
      </c>
      <c r="KJ14" s="286">
        <f>'Data-temp_employment'!KJ14-last_qrtr_tempemp!KK14</f>
        <v>1.4</v>
      </c>
      <c r="KK14" s="286">
        <f>'Data-temp_employment'!KK14-last_qrtr_tempemp!KL14</f>
        <v>-0.70000000000000018</v>
      </c>
      <c r="KL14" s="286">
        <f>'Data-temp_employment'!KL14</f>
        <v>3.4</v>
      </c>
      <c r="KM14" s="279" t="s">
        <v>28</v>
      </c>
      <c r="KN14" s="286">
        <f>'Data-temp_employment'!KN14-last_qrtr_tempemp!KO14</f>
        <v>-0.60000000000000009</v>
      </c>
      <c r="KO14" s="286">
        <f>'Data-temp_employment'!KO14-last_qrtr_tempemp!KP14</f>
        <v>0.10000000000000009</v>
      </c>
      <c r="KP14" s="286">
        <f>'Data-temp_employment'!KP14-last_qrtr_tempemp!KQ14</f>
        <v>-0.30000000000000004</v>
      </c>
      <c r="KQ14" s="286">
        <f>'Data-temp_employment'!KQ14-last_qrtr_tempemp!KR14</f>
        <v>0.10000000000000009</v>
      </c>
      <c r="KR14" s="286">
        <f>'Data-temp_employment'!KR14-last_qrtr_tempemp!KS14</f>
        <v>-0.89999999999999991</v>
      </c>
      <c r="KS14" s="286">
        <f>'Data-temp_employment'!KS14-last_qrtr_tempemp!KT14</f>
        <v>0.30000000000000004</v>
      </c>
      <c r="KT14" s="286">
        <f>'Data-temp_employment'!KT14-last_qrtr_tempemp!KU14</f>
        <v>0.89999999999999991</v>
      </c>
      <c r="KU14" s="286">
        <f>'Data-temp_employment'!KU14-last_qrtr_tempemp!KV14</f>
        <v>1</v>
      </c>
      <c r="KV14" s="286">
        <f>'Data-temp_employment'!KV14-last_qrtr_tempemp!KW14</f>
        <v>0.10000000000000009</v>
      </c>
      <c r="KW14" s="286">
        <f>'Data-temp_employment'!KW14</f>
        <v>2.8</v>
      </c>
      <c r="KX14" s="279" t="s">
        <v>28</v>
      </c>
      <c r="KY14" s="286">
        <f>'Data-temp_employment'!KY14-last_qrtr_tempemp!KZ14</f>
        <v>-5.4</v>
      </c>
      <c r="KZ14" s="286">
        <f>'Data-temp_employment'!KZ14-last_qrtr_tempemp!LA14</f>
        <v>-9.9999999999999645E-2</v>
      </c>
      <c r="LA14" s="286">
        <f>'Data-temp_employment'!LA14-last_qrtr_tempemp!LB14</f>
        <v>5.9</v>
      </c>
      <c r="LB14" s="286">
        <f>'Data-temp_employment'!LB14-last_qrtr_tempemp!LC14</f>
        <v>3.7999999999999989</v>
      </c>
      <c r="LC14" s="286">
        <f>'Data-temp_employment'!LC14-last_qrtr_tempemp!LD14</f>
        <v>-8.4</v>
      </c>
      <c r="LD14" s="286">
        <f>'Data-temp_employment'!LD14-last_qrtr_tempemp!LE14</f>
        <v>-4.2000000000000011</v>
      </c>
      <c r="LE14" s="286">
        <f>'Data-temp_employment'!LE14-last_qrtr_tempemp!LF14</f>
        <v>5</v>
      </c>
      <c r="LF14" s="286">
        <f>'Data-temp_employment'!LF14-last_qrtr_tempemp!LG14</f>
        <v>3.6999999999999997</v>
      </c>
      <c r="LG14" s="286">
        <f>'Data-temp_employment'!LG14-last_qrtr_tempemp!LH14</f>
        <v>-5.8999999999999995</v>
      </c>
      <c r="LH14" s="286">
        <f>'Data-temp_employment'!LH14</f>
        <v>11</v>
      </c>
      <c r="LI14" s="285" t="s">
        <v>28</v>
      </c>
      <c r="LJ14" s="286">
        <f>'Data-temp_employment'!LJ14-last_qrtr_tempemp!LK14</f>
        <v>0.5</v>
      </c>
      <c r="LK14" s="286">
        <f>'Data-temp_employment'!LK14-last_qrtr_tempemp!LL14</f>
        <v>0.90000000000000013</v>
      </c>
      <c r="LL14" s="286">
        <f>'Data-temp_employment'!LL14-last_qrtr_tempemp!LM14</f>
        <v>0.29999999999999982</v>
      </c>
      <c r="LM14" s="286">
        <f>'Data-temp_employment'!LM14-last_qrtr_tempemp!LN14</f>
        <v>-0.60000000000000009</v>
      </c>
      <c r="LN14" s="286">
        <f>'Data-temp_employment'!LN14-last_qrtr_tempemp!LO14</f>
        <v>-0.8</v>
      </c>
      <c r="LO14" s="286">
        <f>'Data-temp_employment'!LO14-last_qrtr_tempemp!LP14</f>
        <v>-0.29999999999999982</v>
      </c>
      <c r="LP14" s="286">
        <f>'Data-temp_employment'!LP14-last_qrtr_tempemp!LQ14</f>
        <v>0.20000000000000007</v>
      </c>
      <c r="LQ14" s="286">
        <f>'Data-temp_employment'!LQ14-last_qrtr_tempemp!LR14</f>
        <v>0.30000000000000004</v>
      </c>
      <c r="LR14" s="286">
        <f>'Data-temp_employment'!LR14-last_qrtr_tempemp!LS14</f>
        <v>0.29999999999999982</v>
      </c>
      <c r="LS14" s="286">
        <f>'Data-temp_employment'!LS14</f>
        <v>1.1000000000000001</v>
      </c>
      <c r="LT14" s="279" t="s">
        <v>28</v>
      </c>
      <c r="LU14" s="286">
        <f>'Data-temp_employment'!LU14-last_qrtr_tempemp!LV14</f>
        <v>-0.79999999999999982</v>
      </c>
      <c r="LV14" s="286">
        <f>'Data-temp_employment'!LV14-last_qrtr_tempemp!LW14</f>
        <v>0.19999999999999996</v>
      </c>
      <c r="LW14" s="286">
        <f>'Data-temp_employment'!LW14-last_qrtr_tempemp!LX14</f>
        <v>9.9999999999999867E-2</v>
      </c>
      <c r="LX14" s="286">
        <f>'Data-temp_employment'!LX14-last_qrtr_tempemp!LY14</f>
        <v>0.10000000000000009</v>
      </c>
      <c r="LY14" s="286">
        <f>'Data-temp_employment'!LY14-last_qrtr_tempemp!LZ14</f>
        <v>-0.19999999999999996</v>
      </c>
      <c r="LZ14" s="286">
        <f>'Data-temp_employment'!LZ14-last_qrtr_tempemp!MA14</f>
        <v>-0.5</v>
      </c>
      <c r="MA14" s="286">
        <f>'Data-temp_employment'!MA14-last_qrtr_tempemp!MB14</f>
        <v>0</v>
      </c>
      <c r="MB14" s="286">
        <f>'Data-temp_employment'!MB14-last_qrtr_tempemp!MC14</f>
        <v>-0.79999999999999993</v>
      </c>
      <c r="MC14" s="286">
        <f>'Data-temp_employment'!MC14-last_qrtr_tempemp!MD14</f>
        <v>-0.49999999999999989</v>
      </c>
      <c r="MD14" s="286">
        <f>'Data-temp_employment'!MD14</f>
        <v>1</v>
      </c>
      <c r="ME14" s="279" t="s">
        <v>28</v>
      </c>
      <c r="MF14" s="286">
        <f>'Data-temp_employment'!MF14-last_qrtr_tempemp!MG14</f>
        <v>-0.99999999999999978</v>
      </c>
      <c r="MG14" s="286">
        <f>'Data-temp_employment'!MG14-last_qrtr_tempemp!MH14</f>
        <v>0</v>
      </c>
      <c r="MH14" s="286">
        <f>'Data-temp_employment'!MH14-last_qrtr_tempemp!MI14</f>
        <v>-0.49999999999999978</v>
      </c>
      <c r="MI14" s="286">
        <f>'Data-temp_employment'!MI14-last_qrtr_tempemp!MJ14</f>
        <v>9.9999999999999867E-2</v>
      </c>
      <c r="MJ14" s="286">
        <f>'Data-temp_employment'!MJ14-last_qrtr_tempemp!MK14</f>
        <v>-0.7</v>
      </c>
      <c r="MK14" s="286">
        <f>'Data-temp_employment'!MK14-last_qrtr_tempemp!ML14</f>
        <v>0.30000000000000004</v>
      </c>
      <c r="ML14" s="286">
        <f>'Data-temp_employment'!ML14-last_qrtr_tempemp!MM14</f>
        <v>0.39999999999999991</v>
      </c>
      <c r="MM14" s="286">
        <f>'Data-temp_employment'!MM14-last_qrtr_tempemp!MN14</f>
        <v>0.90000000000000013</v>
      </c>
      <c r="MN14" s="286">
        <f>'Data-temp_employment'!MN14-last_qrtr_tempemp!MO14</f>
        <v>0.39999999999999991</v>
      </c>
      <c r="MO14" s="286">
        <f>'Data-temp_employment'!MO14</f>
        <v>2</v>
      </c>
      <c r="MP14" s="279" t="s">
        <v>28</v>
      </c>
      <c r="MQ14" s="286">
        <f>'Data-temp_employment'!MQ14-last_qrtr_tempemp!MR14</f>
        <v>-0.20000000000000007</v>
      </c>
      <c r="MR14" s="286">
        <f>'Data-temp_employment'!MR14-last_qrtr_tempemp!MS14</f>
        <v>-9.9999999999999978E-2</v>
      </c>
      <c r="MS14" s="286">
        <f>'Data-temp_employment'!MS14-last_qrtr_tempemp!MT14</f>
        <v>0.60000000000000009</v>
      </c>
      <c r="MT14" s="286">
        <f>'Data-temp_employment'!MT14-last_qrtr_tempemp!MU14</f>
        <v>-9.9999999999999978E-2</v>
      </c>
      <c r="MU14" s="286">
        <f>'Data-temp_employment'!MU14-last_qrtr_tempemp!MV14</f>
        <v>-0.20000000000000007</v>
      </c>
      <c r="MV14" s="286">
        <f>'Data-temp_employment'!MV14-last_qrtr_tempemp!MW14</f>
        <v>-0.10000000000000009</v>
      </c>
      <c r="MW14" s="286">
        <f>'Data-temp_employment'!MW14-last_qrtr_tempemp!MX14</f>
        <v>0.4</v>
      </c>
      <c r="MX14" s="286">
        <f>'Data-temp_employment'!MX14-last_qrtr_tempemp!MY14</f>
        <v>-0.19999999999999996</v>
      </c>
      <c r="MY14" s="286">
        <f>'Data-temp_employment'!MY14-last_qrtr_tempemp!MZ14</f>
        <v>-0.6</v>
      </c>
      <c r="MZ14" s="286">
        <f>'Data-temp_employment'!MZ14</f>
        <v>1.1000000000000001</v>
      </c>
      <c r="NA14" s="279" t="s">
        <v>28</v>
      </c>
      <c r="NB14" s="286">
        <f>'Data-temp_employment'!NB14-last_qrtr_tempemp!NC14</f>
        <v>1.5999999999999996</v>
      </c>
      <c r="NC14" s="286">
        <f>'Data-temp_employment'!NC14-last_qrtr_tempemp!ND14</f>
        <v>1.2000000000000002</v>
      </c>
      <c r="ND14" s="286">
        <f>'Data-temp_employment'!ND14-last_qrtr_tempemp!NE14</f>
        <v>-0.5</v>
      </c>
      <c r="NE14" s="286">
        <f>'Data-temp_employment'!NE14-last_qrtr_tempemp!NF14</f>
        <v>0.40000000000000036</v>
      </c>
      <c r="NF14" s="286">
        <f>'Data-temp_employment'!NF14-last_qrtr_tempemp!NG14</f>
        <v>2.2000000000000002</v>
      </c>
      <c r="NG14" s="286">
        <f>'Data-temp_employment'!NG14-last_qrtr_tempemp!NH14</f>
        <v>4.0999999999999996</v>
      </c>
      <c r="NH14" s="286">
        <f>'Data-temp_employment'!NH14-last_qrtr_tempemp!NI14</f>
        <v>0.29999999999999982</v>
      </c>
      <c r="NI14" s="286">
        <f>'Data-temp_employment'!NI14-last_qrtr_tempemp!NJ14</f>
        <v>1.1999999999999993</v>
      </c>
      <c r="NJ14" s="286">
        <f>'Data-temp_employment'!NJ14-last_qrtr_tempemp!NK14</f>
        <v>-0.20000000000000018</v>
      </c>
      <c r="NK14" s="286">
        <f>'Data-temp_employment'!NK14</f>
        <v>7.3</v>
      </c>
      <c r="NL14" s="285" t="s">
        <v>28</v>
      </c>
      <c r="NM14" s="286">
        <f>'Data-temp_employment'!NM14-last_qrtr_tempemp!NN14</f>
        <v>0.79999999999999982</v>
      </c>
      <c r="NN14" s="286">
        <f>'Data-temp_employment'!NN14-last_qrtr_tempemp!NO14</f>
        <v>3.3000000000000003</v>
      </c>
      <c r="NO14" s="286">
        <f>'Data-temp_employment'!NO14-last_qrtr_tempemp!NP14</f>
        <v>-2.1999999999999997</v>
      </c>
      <c r="NP14" s="286">
        <f>'Data-temp_employment'!NP14-last_qrtr_tempemp!NQ14</f>
        <v>-1.2999999999999998</v>
      </c>
      <c r="NQ14" s="286">
        <f>'Data-temp_employment'!NQ14-last_qrtr_tempemp!NR14</f>
        <v>-2.1000000000000005</v>
      </c>
      <c r="NR14" s="286">
        <f>'Data-temp_employment'!NR14-last_qrtr_tempemp!NS14</f>
        <v>0</v>
      </c>
      <c r="NS14" s="286">
        <f>'Data-temp_employment'!NS14-last_qrtr_tempemp!NT14</f>
        <v>-2.1</v>
      </c>
      <c r="NT14" s="286">
        <f>'Data-temp_employment'!NT14-last_qrtr_tempemp!NU14</f>
        <v>-1.3000000000000003</v>
      </c>
      <c r="NU14" s="286">
        <f>'Data-temp_employment'!NU14-last_qrtr_tempemp!NV14</f>
        <v>-0.60000000000000009</v>
      </c>
      <c r="NV14" s="286">
        <f>'Data-temp_employment'!NV14</f>
        <v>2.4</v>
      </c>
      <c r="NW14" s="279" t="s">
        <v>28</v>
      </c>
      <c r="NX14" s="286">
        <f>'Data-temp_employment'!NX14-last_qrtr_tempemp!NY14</f>
        <v>0.20000000000000018</v>
      </c>
      <c r="NY14" s="286">
        <f>'Data-temp_employment'!NY14-last_qrtr_tempemp!NZ14</f>
        <v>0.30000000000000027</v>
      </c>
      <c r="NZ14" s="286">
        <f>'Data-temp_employment'!NZ14-last_qrtr_tempemp!OA14</f>
        <v>-0.29999999999999982</v>
      </c>
      <c r="OA14" s="286">
        <f>'Data-temp_employment'!OA14-last_qrtr_tempemp!OB14</f>
        <v>-0.8</v>
      </c>
      <c r="OB14" s="286">
        <f>'Data-temp_employment'!OB14-last_qrtr_tempemp!OC14</f>
        <v>-0.90000000000000013</v>
      </c>
      <c r="OC14" s="286">
        <f>'Data-temp_employment'!OC14-last_qrtr_tempemp!OD14</f>
        <v>-0.5</v>
      </c>
      <c r="OD14" s="286">
        <f>'Data-temp_employment'!OD14-last_qrtr_tempemp!OE14</f>
        <v>-0.19999999999999996</v>
      </c>
      <c r="OE14" s="286">
        <f>'Data-temp_employment'!OE14-last_qrtr_tempemp!OF14</f>
        <v>-0.39999999999999991</v>
      </c>
      <c r="OF14" s="286">
        <f>'Data-temp_employment'!OF14-last_qrtr_tempemp!OG14</f>
        <v>0.10000000000000009</v>
      </c>
      <c r="OG14" s="286">
        <f>'Data-temp_employment'!OG14</f>
        <v>1.6</v>
      </c>
      <c r="OH14" s="287" t="s">
        <v>28</v>
      </c>
      <c r="OI14" s="286"/>
      <c r="OJ14" s="286"/>
      <c r="OK14" s="286"/>
      <c r="OL14" s="286"/>
      <c r="OM14" s="286"/>
      <c r="ON14" s="286"/>
      <c r="OO14" s="286"/>
      <c r="OP14" s="286"/>
      <c r="OQ14" s="286"/>
      <c r="OR14" s="286"/>
      <c r="OS14" s="279" t="s">
        <v>28</v>
      </c>
      <c r="OT14" s="286" t="e">
        <f>'Data-temp_employment'!#REF!-last_qrtr_tempemp!OU14</f>
        <v>#REF!</v>
      </c>
      <c r="OU14" s="286">
        <f>'Data-temp_employment'!OT14-last_qrtr_tempemp!OV14</f>
        <v>0.60000000000000009</v>
      </c>
      <c r="OV14" s="286">
        <f>'Data-temp_employment'!OU14-last_qrtr_tempemp!OW14</f>
        <v>0.5</v>
      </c>
      <c r="OW14" s="286">
        <f>'Data-temp_employment'!OV14-last_qrtr_tempemp!OX14</f>
        <v>0.60000000000000009</v>
      </c>
      <c r="OX14" s="286">
        <f>'Data-temp_employment'!OW14-last_qrtr_tempemp!OY14</f>
        <v>1</v>
      </c>
      <c r="OY14" s="286">
        <f>'Data-temp_employment'!OX14-last_qrtr_tempemp!OZ14</f>
        <v>0.39999999999999997</v>
      </c>
      <c r="OZ14" s="286">
        <f>'Data-temp_employment'!OY14-last_qrtr_tempemp!PA14</f>
        <v>0.6</v>
      </c>
      <c r="PA14" s="286">
        <f>'Data-temp_employment'!OZ14-last_qrtr_tempemp!PB14</f>
        <v>-0.39999999999999991</v>
      </c>
      <c r="PB14" s="286">
        <f>'Data-temp_employment'!PA14-last_qrtr_tempemp!PC14</f>
        <v>-1.5</v>
      </c>
      <c r="PC14" s="286">
        <f>'Data-temp_employment'!PB14</f>
        <v>1</v>
      </c>
      <c r="PE14" s="319"/>
      <c r="PF14" s="319"/>
      <c r="PG14" s="319"/>
      <c r="PH14" s="319"/>
      <c r="PI14" s="319"/>
      <c r="PJ14" s="319"/>
      <c r="PK14" s="319"/>
      <c r="PL14" s="319"/>
      <c r="PM14" s="319"/>
      <c r="PN14" s="319"/>
      <c r="PO14" s="319"/>
      <c r="PP14" s="319"/>
      <c r="PQ14" s="319"/>
      <c r="PR14" s="319"/>
      <c r="PS14" s="319"/>
      <c r="PT14" s="319"/>
      <c r="PU14" s="319"/>
      <c r="PV14" s="319"/>
      <c r="PW14" s="319"/>
      <c r="PX14" s="319"/>
      <c r="PY14" s="319"/>
      <c r="PZ14" s="319"/>
      <c r="QA14" s="319"/>
      <c r="QB14" s="319"/>
      <c r="QC14" s="319"/>
      <c r="QD14" s="319"/>
      <c r="QE14" s="319"/>
      <c r="QF14" s="319"/>
      <c r="QG14" s="319"/>
      <c r="QH14" s="319"/>
      <c r="QI14" s="319"/>
      <c r="QJ14" s="319"/>
      <c r="QK14" s="319"/>
      <c r="QL14" s="319"/>
      <c r="QM14" s="319"/>
      <c r="QN14" s="319"/>
      <c r="QO14" s="319"/>
      <c r="QP14" s="319"/>
      <c r="QQ14" s="319"/>
      <c r="QR14" s="319"/>
      <c r="QS14" s="319"/>
      <c r="QT14" s="319"/>
      <c r="QU14" s="319"/>
      <c r="QV14" s="319"/>
      <c r="QW14" s="319"/>
      <c r="QX14" s="319"/>
      <c r="QY14" s="319"/>
      <c r="QZ14" s="319"/>
      <c r="RA14" s="319"/>
      <c r="RB14" s="319"/>
      <c r="RC14" s="319"/>
      <c r="RD14" s="319"/>
      <c r="RE14" s="319"/>
      <c r="RF14" s="319"/>
      <c r="RG14" s="319"/>
      <c r="RH14" s="319"/>
      <c r="RI14" s="319"/>
      <c r="RJ14" s="319"/>
      <c r="RK14" s="319"/>
      <c r="RL14" s="319"/>
      <c r="RM14" s="319"/>
      <c r="RN14" s="319"/>
      <c r="RO14" s="319"/>
      <c r="RP14" s="319"/>
    </row>
    <row r="15" spans="1:484">
      <c r="A15" s="269">
        <v>12</v>
      </c>
      <c r="B15" s="285" t="s">
        <v>19</v>
      </c>
      <c r="C15" s="286">
        <f>'Data-temp_employment'!C15-last_qrtr_tempemp!D15</f>
        <v>-1.1000000000000014</v>
      </c>
      <c r="D15" s="286">
        <f>'Data-temp_employment'!D15-last_qrtr_tempemp!E15</f>
        <v>-0.5</v>
      </c>
      <c r="E15" s="286">
        <f>'Data-temp_employment'!E15-last_qrtr_tempemp!F15</f>
        <v>0</v>
      </c>
      <c r="F15" s="286">
        <f>'Data-temp_employment'!F15-last_qrtr_tempemp!G15</f>
        <v>0.70000000000000107</v>
      </c>
      <c r="G15" s="286">
        <f>'Data-temp_employment'!G15-last_qrtr_tempemp!H15</f>
        <v>-0.5</v>
      </c>
      <c r="H15" s="286">
        <f>'Data-temp_employment'!H15-last_qrtr_tempemp!I15</f>
        <v>-0.40000000000000036</v>
      </c>
      <c r="I15" s="286">
        <f>'Data-temp_employment'!I15-last_qrtr_tempemp!J15</f>
        <v>0</v>
      </c>
      <c r="J15" s="286">
        <f>'Data-temp_employment'!J15-last_qrtr_tempemp!K15</f>
        <v>9.9999999999999645E-2</v>
      </c>
      <c r="K15" s="286">
        <f>'Data-temp_employment'!K15-last_qrtr_tempemp!L15</f>
        <v>-1</v>
      </c>
      <c r="L15" s="286">
        <f>'Data-temp_employment'!L15</f>
        <v>8.6</v>
      </c>
      <c r="M15" s="285" t="s">
        <v>19</v>
      </c>
      <c r="N15" s="286">
        <f>'Data-temp_employment'!N15-last_qrtr_tempemp!O15</f>
        <v>-36</v>
      </c>
      <c r="O15" s="286">
        <f>'Data-temp_employment'!O15-last_qrtr_tempemp!P15</f>
        <v>-16.300000000000011</v>
      </c>
      <c r="P15" s="286">
        <f>'Data-temp_employment'!P15-last_qrtr_tempemp!Q15</f>
        <v>4.5999999999999659</v>
      </c>
      <c r="Q15" s="286">
        <f>'Data-temp_employment'!Q15-last_qrtr_tempemp!R15</f>
        <v>32</v>
      </c>
      <c r="R15" s="286">
        <f>'Data-temp_employment'!R15-last_qrtr_tempemp!S15</f>
        <v>-13.899999999999977</v>
      </c>
      <c r="S15" s="286">
        <f>'Data-temp_employment'!S15-last_qrtr_tempemp!T15</f>
        <v>-12.899999999999977</v>
      </c>
      <c r="T15" s="286">
        <f>'Data-temp_employment'!T15-last_qrtr_tempemp!U15</f>
        <v>9.6000000000000227</v>
      </c>
      <c r="U15" s="286">
        <f>'Data-temp_employment'!U15-last_qrtr_tempemp!V15</f>
        <v>11.199999999999989</v>
      </c>
      <c r="V15" s="286">
        <f>'Data-temp_employment'!V15-last_qrtr_tempemp!W15</f>
        <v>-37.399999999999977</v>
      </c>
      <c r="W15" s="286">
        <f>'Data-temp_employment'!W15</f>
        <v>369.6</v>
      </c>
      <c r="X15" s="285" t="s">
        <v>19</v>
      </c>
      <c r="Y15" s="286">
        <f>'Data-temp_employment'!Y15-last_qrtr_tempemp!Z15</f>
        <v>-0.8</v>
      </c>
      <c r="Z15" s="286">
        <f>'Data-temp_employment'!Z15-last_qrtr_tempemp!AA15</f>
        <v>-2.1</v>
      </c>
      <c r="AA15" s="286">
        <f>'Data-temp_employment'!AA15-last_qrtr_tempemp!AB15</f>
        <v>2.5999999999999996</v>
      </c>
      <c r="AB15" s="286">
        <f>'Data-temp_employment'!AB15-last_qrtr_tempemp!AC15</f>
        <v>0</v>
      </c>
      <c r="AC15" s="286">
        <f>'Data-temp_employment'!AC15-last_qrtr_tempemp!AD15</f>
        <v>0</v>
      </c>
      <c r="AD15" s="286">
        <f>'Data-temp_employment'!AD15-last_qrtr_tempemp!AE15</f>
        <v>-2.2999999999999998</v>
      </c>
      <c r="AE15" s="286">
        <f>'Data-temp_employment'!AE15-last_qrtr_tempemp!AF15</f>
        <v>2</v>
      </c>
      <c r="AF15" s="286">
        <f>'Data-temp_employment'!AF15-last_qrtr_tempemp!AG15</f>
        <v>0</v>
      </c>
      <c r="AG15" s="286">
        <f>'Data-temp_employment'!AG15-last_qrtr_tempemp!AH15</f>
        <v>-1.1000000000000001</v>
      </c>
      <c r="AH15" s="286">
        <f>'Data-temp_employment'!AH15</f>
        <v>0</v>
      </c>
      <c r="AI15" s="279" t="s">
        <v>19</v>
      </c>
      <c r="AJ15" s="286">
        <f>'Data-temp_employment'!AJ15-last_qrtr_tempemp!AK15</f>
        <v>2.7999999999999989</v>
      </c>
      <c r="AK15" s="286">
        <f>'Data-temp_employment'!AK15-last_qrtr_tempemp!AL15</f>
        <v>-10.500000000000002</v>
      </c>
      <c r="AL15" s="286">
        <f>'Data-temp_employment'!AL15-last_qrtr_tempemp!AM15</f>
        <v>-2.3999999999999986</v>
      </c>
      <c r="AM15" s="286">
        <f>'Data-temp_employment'!AM15-last_qrtr_tempemp!AN15</f>
        <v>3.7000000000000011</v>
      </c>
      <c r="AN15" s="286">
        <f>'Data-temp_employment'!AN15-last_qrtr_tempemp!AO15</f>
        <v>9.9999999999999645E-2</v>
      </c>
      <c r="AO15" s="286">
        <f>'Data-temp_employment'!AO15-last_qrtr_tempemp!AP15</f>
        <v>-5.6000000000000014</v>
      </c>
      <c r="AP15" s="286">
        <f>'Data-temp_employment'!AP15-last_qrtr_tempemp!AQ15</f>
        <v>3.6999999999999993</v>
      </c>
      <c r="AQ15" s="286">
        <f>'Data-temp_employment'!AQ15-last_qrtr_tempemp!AR15</f>
        <v>-4.3999999999999986</v>
      </c>
      <c r="AR15" s="286">
        <f>'Data-temp_employment'!AR15-last_qrtr_tempemp!AS15</f>
        <v>0.19999999999999929</v>
      </c>
      <c r="AS15" s="286">
        <f>'Data-temp_employment'!AS15</f>
        <v>10</v>
      </c>
      <c r="AT15" s="279" t="s">
        <v>19</v>
      </c>
      <c r="AU15" s="286">
        <f>'Data-temp_employment'!AU15-last_qrtr_tempemp!AV15</f>
        <v>-12.5</v>
      </c>
      <c r="AV15" s="286">
        <f>'Data-temp_employment'!AV15-last_qrtr_tempemp!AW15</f>
        <v>-5.0999999999999943</v>
      </c>
      <c r="AW15" s="286">
        <f>'Data-temp_employment'!AW15-last_qrtr_tempemp!AX15</f>
        <v>-3.1000000000000014</v>
      </c>
      <c r="AX15" s="286">
        <f>'Data-temp_employment'!AX15-last_qrtr_tempemp!AY15</f>
        <v>13.5</v>
      </c>
      <c r="AY15" s="286">
        <f>'Data-temp_employment'!AY15-last_qrtr_tempemp!AZ15</f>
        <v>-2.3000000000000043</v>
      </c>
      <c r="AZ15" s="286">
        <f>'Data-temp_employment'!AZ15-last_qrtr_tempemp!BA15</f>
        <v>-9</v>
      </c>
      <c r="BA15" s="286">
        <f>'Data-temp_employment'!BA15-last_qrtr_tempemp!BB15</f>
        <v>-5.3000000000000043</v>
      </c>
      <c r="BB15" s="286">
        <f>'Data-temp_employment'!BB15-last_qrtr_tempemp!BC15</f>
        <v>9.8000000000000043</v>
      </c>
      <c r="BC15" s="286">
        <f>'Data-temp_employment'!BC15-last_qrtr_tempemp!BD15</f>
        <v>-5.0999999999999943</v>
      </c>
      <c r="BD15" s="286">
        <f>'Data-temp_employment'!BD15</f>
        <v>29</v>
      </c>
      <c r="BE15" s="285" t="s">
        <v>19</v>
      </c>
      <c r="BF15" s="286">
        <f>'Data-temp_employment'!BF15-last_qrtr_tempemp!BG15</f>
        <v>-22.199999999999989</v>
      </c>
      <c r="BG15" s="286">
        <f>'Data-temp_employment'!BG15-last_qrtr_tempemp!BH15</f>
        <v>-6.6999999999999886</v>
      </c>
      <c r="BH15" s="286">
        <f>'Data-temp_employment'!BH15-last_qrtr_tempemp!BI15</f>
        <v>-1.5999999999999943</v>
      </c>
      <c r="BI15" s="286">
        <f>'Data-temp_employment'!BI15-last_qrtr_tempemp!BJ15</f>
        <v>15.599999999999994</v>
      </c>
      <c r="BJ15" s="286">
        <f>'Data-temp_employment'!BJ15-last_qrtr_tempemp!BK15</f>
        <v>-23.700000000000017</v>
      </c>
      <c r="BK15" s="286">
        <f>'Data-temp_employment'!BK15-last_qrtr_tempemp!BL15</f>
        <v>-11.099999999999994</v>
      </c>
      <c r="BL15" s="286">
        <f>'Data-temp_employment'!BL15-last_qrtr_tempemp!BM15</f>
        <v>0.40000000000000568</v>
      </c>
      <c r="BM15" s="286">
        <f>'Data-temp_employment'!BM15-last_qrtr_tempemp!BN15</f>
        <v>16.200000000000017</v>
      </c>
      <c r="BN15" s="286">
        <f>'Data-temp_employment'!BN15-last_qrtr_tempemp!BO15</f>
        <v>-16.400000000000006</v>
      </c>
      <c r="BO15" s="286">
        <f>'Data-temp_employment'!BO15</f>
        <v>156.4</v>
      </c>
      <c r="BP15" s="285" t="s">
        <v>19</v>
      </c>
      <c r="BQ15" s="286">
        <f>'Data-temp_employment'!BQ15-last_qrtr_tempemp!BR15</f>
        <v>-0.89999999999999147</v>
      </c>
      <c r="BR15" s="286">
        <f>'Data-temp_employment'!BR15-last_qrtr_tempemp!BS15</f>
        <v>8.6000000000000085</v>
      </c>
      <c r="BS15" s="286">
        <f>'Data-temp_employment'!BS15-last_qrtr_tempemp!BT15</f>
        <v>4.5</v>
      </c>
      <c r="BT15" s="286">
        <f>'Data-temp_employment'!BT15-last_qrtr_tempemp!BU15</f>
        <v>-6</v>
      </c>
      <c r="BU15" s="286">
        <f>'Data-temp_employment'!BU15-last_qrtr_tempemp!BV15</f>
        <v>6.9999999999999858</v>
      </c>
      <c r="BV15" s="286">
        <f>'Data-temp_employment'!BV15-last_qrtr_tempemp!BW15</f>
        <v>13.299999999999997</v>
      </c>
      <c r="BW15" s="286">
        <f>'Data-temp_employment'!BW15-last_qrtr_tempemp!BX15</f>
        <v>9.5999999999999943</v>
      </c>
      <c r="BX15" s="286">
        <f>'Data-temp_employment'!BX15-last_qrtr_tempemp!BY15</f>
        <v>-2.7999999999999972</v>
      </c>
      <c r="BY15" s="286">
        <f>'Data-temp_employment'!BY15-last_qrtr_tempemp!BZ15</f>
        <v>-6.5999999999999943</v>
      </c>
      <c r="BZ15" s="286">
        <f>'Data-temp_employment'!BZ15</f>
        <v>106.6</v>
      </c>
      <c r="CA15" s="285" t="s">
        <v>19</v>
      </c>
      <c r="CB15" s="286">
        <f>'Data-temp_employment'!CB15-last_qrtr_tempemp!CC15</f>
        <v>-2.5999999999999943</v>
      </c>
      <c r="CC15" s="286">
        <f>'Data-temp_employment'!CC15-last_qrtr_tempemp!CD15</f>
        <v>-1.5</v>
      </c>
      <c r="CD15" s="286">
        <f>'Data-temp_employment'!CD15-last_qrtr_tempemp!CE15</f>
        <v>4.9000000000000057</v>
      </c>
      <c r="CE15" s="286">
        <f>'Data-temp_employment'!CE15-last_qrtr_tempemp!CF15</f>
        <v>5</v>
      </c>
      <c r="CF15" s="286">
        <f>'Data-temp_employment'!CF15-last_qrtr_tempemp!CG15</f>
        <v>5.5999999999999943</v>
      </c>
      <c r="CG15" s="286">
        <f>'Data-temp_employment'!CG15-last_qrtr_tempemp!CH15</f>
        <v>1.0999999999999943</v>
      </c>
      <c r="CH15" s="286">
        <f>'Data-temp_employment'!CH15-last_qrtr_tempemp!CI15</f>
        <v>-9.9999999999994316E-2</v>
      </c>
      <c r="CI15" s="286">
        <f>'Data-temp_employment'!CI15-last_qrtr_tempemp!CJ15</f>
        <v>-8</v>
      </c>
      <c r="CJ15" s="286">
        <f>'Data-temp_employment'!CJ15-last_qrtr_tempemp!CK15</f>
        <v>-8.0999999999999943</v>
      </c>
      <c r="CK15" s="286">
        <f>'Data-temp_employment'!CK15</f>
        <v>66.8</v>
      </c>
      <c r="CL15" s="285" t="s">
        <v>19</v>
      </c>
      <c r="CM15" s="286">
        <f>'Data-temp_employment'!CM15-last_qrtr_tempemp!CN15</f>
        <v>1.5</v>
      </c>
      <c r="CN15" s="286">
        <f>'Data-temp_employment'!CN15-last_qrtr_tempemp!CO15</f>
        <v>9.9999999999994316E-2</v>
      </c>
      <c r="CO15" s="286">
        <f>'Data-temp_employment'!CO15-last_qrtr_tempemp!CP15</f>
        <v>5.5</v>
      </c>
      <c r="CP15" s="286">
        <f>'Data-temp_employment'!CP15-last_qrtr_tempemp!CQ15</f>
        <v>1.1000000000000014</v>
      </c>
      <c r="CQ15" s="286">
        <f>'Data-temp_employment'!CQ15-last_qrtr_tempemp!CR15</f>
        <v>-4.3999999999999986</v>
      </c>
      <c r="CR15" s="286">
        <f>'Data-temp_employment'!CR15-last_qrtr_tempemp!CS15</f>
        <v>-6</v>
      </c>
      <c r="CS15" s="286">
        <f>'Data-temp_employment'!CS15-last_qrtr_tempemp!CT15</f>
        <v>5.2999999999999972</v>
      </c>
      <c r="CT15" s="286">
        <f>'Data-temp_employment'!CT15-last_qrtr_tempemp!CU15</f>
        <v>6.8999999999999986</v>
      </c>
      <c r="CU15" s="286">
        <f>'Data-temp_employment'!CU15-last_qrtr_tempemp!CV15</f>
        <v>0.10000000000000142</v>
      </c>
      <c r="CV15" s="286">
        <f>'Data-temp_employment'!CV15</f>
        <v>39</v>
      </c>
      <c r="CW15" s="285" t="s">
        <v>19</v>
      </c>
      <c r="CX15" s="286">
        <f>'Data-temp_employment'!CX15-last_qrtr_tempemp!CY15</f>
        <v>-25.699999999999989</v>
      </c>
      <c r="CY15" s="286">
        <f>'Data-temp_employment'!CY15-last_qrtr_tempemp!CZ15</f>
        <v>-10.700000000000045</v>
      </c>
      <c r="CZ15" s="286">
        <f>'Data-temp_employment'!CZ15-last_qrtr_tempemp!DA15</f>
        <v>3.3000000000000114</v>
      </c>
      <c r="DA15" s="286">
        <f>'Data-temp_employment'!DA15-last_qrtr_tempemp!DB15</f>
        <v>19.699999999999989</v>
      </c>
      <c r="DB15" s="286">
        <f>'Data-temp_employment'!DB15-last_qrtr_tempemp!DC15</f>
        <v>-17.399999999999977</v>
      </c>
      <c r="DC15" s="286">
        <f>'Data-temp_employment'!DC15-last_qrtr_tempemp!DD15</f>
        <v>-18.900000000000034</v>
      </c>
      <c r="DD15" s="286">
        <f>'Data-temp_employment'!DD15-last_qrtr_tempemp!DE15</f>
        <v>-2.5</v>
      </c>
      <c r="DE15" s="286">
        <f>'Data-temp_employment'!DE15-last_qrtr_tempemp!DF15</f>
        <v>-8.6000000000000227</v>
      </c>
      <c r="DF15" s="286">
        <f>'Data-temp_employment'!DF15-last_qrtr_tempemp!DG15</f>
        <v>-32.5</v>
      </c>
      <c r="DG15" s="286">
        <f>'Data-temp_employment'!DG15</f>
        <v>243.5</v>
      </c>
      <c r="DH15" s="285" t="s">
        <v>19</v>
      </c>
      <c r="DI15" s="286">
        <f>'Data-temp_employment'!DI15-last_qrtr_tempemp!DJ15</f>
        <v>-12</v>
      </c>
      <c r="DJ15" s="286">
        <f>'Data-temp_employment'!DJ15-last_qrtr_tempemp!DK15</f>
        <v>-5.7000000000000028</v>
      </c>
      <c r="DK15" s="286">
        <f>'Data-temp_employment'!DK15-last_qrtr_tempemp!DL15</f>
        <v>-4.0999999999999943</v>
      </c>
      <c r="DL15" s="286">
        <f>'Data-temp_employment'!DL15-last_qrtr_tempemp!DM15</f>
        <v>11.299999999999997</v>
      </c>
      <c r="DM15" s="286">
        <f>'Data-temp_employment'!DM15-last_qrtr_tempemp!DN15</f>
        <v>8.1000000000000085</v>
      </c>
      <c r="DN15" s="286">
        <f>'Data-temp_employment'!DN15-last_qrtr_tempemp!DO15</f>
        <v>12.199999999999989</v>
      </c>
      <c r="DO15" s="286">
        <f>'Data-temp_employment'!DO15-last_qrtr_tempemp!DP15</f>
        <v>6.7999999999999972</v>
      </c>
      <c r="DP15" s="286">
        <f>'Data-temp_employment'!DP15-last_qrtr_tempemp!DQ15</f>
        <v>12.899999999999991</v>
      </c>
      <c r="DQ15" s="286">
        <f>'Data-temp_employment'!DQ15-last_qrtr_tempemp!DR15</f>
        <v>-5</v>
      </c>
      <c r="DR15" s="286">
        <f>'Data-temp_employment'!DR15</f>
        <v>87.1</v>
      </c>
      <c r="DS15" s="285" t="s">
        <v>19</v>
      </c>
      <c r="DT15" s="286">
        <f>'Data-temp_employment'!DT15-last_qrtr_tempemp!DU15</f>
        <v>0</v>
      </c>
      <c r="DU15" s="286">
        <f>'Data-temp_employment'!DU15-last_qrtr_tempemp!DV15</f>
        <v>0</v>
      </c>
      <c r="DV15" s="286">
        <f>'Data-temp_employment'!DV15-last_qrtr_tempemp!DW15</f>
        <v>0</v>
      </c>
      <c r="DW15" s="286">
        <f>'Data-temp_employment'!DW15-last_qrtr_tempemp!DX15</f>
        <v>0</v>
      </c>
      <c r="DX15" s="286">
        <f>'Data-temp_employment'!DX15-last_qrtr_tempemp!DY15</f>
        <v>0</v>
      </c>
      <c r="DY15" s="286">
        <f>'Data-temp_employment'!DY15-last_qrtr_tempemp!DZ15</f>
        <v>0</v>
      </c>
      <c r="DZ15" s="286">
        <f>'Data-temp_employment'!DZ15-last_qrtr_tempemp!EA15</f>
        <v>0</v>
      </c>
      <c r="EA15" s="286">
        <f>'Data-temp_employment'!EA15-last_qrtr_tempemp!EB15</f>
        <v>0</v>
      </c>
      <c r="EB15" s="286">
        <f>'Data-temp_employment'!EB15-last_qrtr_tempemp!EC15</f>
        <v>0</v>
      </c>
      <c r="EC15" s="286">
        <f>'Data-temp_employment'!EC15</f>
        <v>0</v>
      </c>
      <c r="ED15" s="285" t="s">
        <v>19</v>
      </c>
      <c r="EE15" s="286">
        <f>'Data-temp_employment'!EE15-last_qrtr_tempemp!EF15</f>
        <v>-1.3000000000000007</v>
      </c>
      <c r="EF15" s="286">
        <f>'Data-temp_employment'!EF15-last_qrtr_tempemp!EG15</f>
        <v>-1.2999999999999998</v>
      </c>
      <c r="EG15" s="286">
        <f>'Data-temp_employment'!EG15-last_qrtr_tempemp!EH15</f>
        <v>-0.90000000000000036</v>
      </c>
      <c r="EH15" s="286">
        <f>'Data-temp_employment'!EH15-last_qrtr_tempemp!EI15</f>
        <v>1.7000000000000011</v>
      </c>
      <c r="EI15" s="286">
        <f>'Data-temp_employment'!EI15-last_qrtr_tempemp!EJ15</f>
        <v>0.70000000000000018</v>
      </c>
      <c r="EJ15" s="286">
        <f>'Data-temp_employment'!EJ15-last_qrtr_tempemp!EK15</f>
        <v>0.60000000000000053</v>
      </c>
      <c r="EK15" s="286">
        <f>'Data-temp_employment'!EK15-last_qrtr_tempemp!EL15</f>
        <v>-2.7000000000000011</v>
      </c>
      <c r="EL15" s="286">
        <f>'Data-temp_employment'!EL15-last_qrtr_tempemp!EM15</f>
        <v>-0.59999999999999964</v>
      </c>
      <c r="EM15" s="286">
        <f>'Data-temp_employment'!EM15-last_qrtr_tempemp!EN15</f>
        <v>-1.6000000000000005</v>
      </c>
      <c r="EN15" s="286">
        <f>'Data-temp_employment'!EN15</f>
        <v>6.3</v>
      </c>
      <c r="EO15" s="285" t="s">
        <v>19</v>
      </c>
      <c r="EP15" s="286">
        <f>'Data-temp_employment'!EP15-last_qrtr_tempemp!EQ15</f>
        <v>-11.200000000000003</v>
      </c>
      <c r="EQ15" s="286">
        <f>'Data-temp_employment'!EQ15-last_qrtr_tempemp!ER15</f>
        <v>0.20000000000000284</v>
      </c>
      <c r="ER15" s="286">
        <f>'Data-temp_employment'!ER15-last_qrtr_tempemp!ES15</f>
        <v>-4.5</v>
      </c>
      <c r="ES15" s="286">
        <f>'Data-temp_employment'!ES15-last_qrtr_tempemp!ET15</f>
        <v>7</v>
      </c>
      <c r="ET15" s="286">
        <f>'Data-temp_employment'!ET15-last_qrtr_tempemp!EU15</f>
        <v>6.3999999999999986</v>
      </c>
      <c r="EU15" s="286">
        <f>'Data-temp_employment'!EU15-last_qrtr_tempemp!EV15</f>
        <v>9.3999999999999986</v>
      </c>
      <c r="EV15" s="286">
        <f>'Data-temp_employment'!EV15-last_qrtr_tempemp!EW15</f>
        <v>3</v>
      </c>
      <c r="EW15" s="286">
        <f>'Data-temp_employment'!EW15-last_qrtr_tempemp!EX15</f>
        <v>1.2000000000000028</v>
      </c>
      <c r="EX15" s="286">
        <f>'Data-temp_employment'!EX15-last_qrtr_tempemp!EY15</f>
        <v>-0.79999999999999716</v>
      </c>
      <c r="EY15" s="286">
        <f>'Data-temp_employment'!EY15</f>
        <v>45.8</v>
      </c>
      <c r="EZ15" s="285" t="s">
        <v>19</v>
      </c>
      <c r="FA15" s="286">
        <f>'Data-temp_employment'!FA15-last_qrtr_tempemp!FB15</f>
        <v>-1.6999999999999957</v>
      </c>
      <c r="FB15" s="286">
        <f>'Data-temp_employment'!FB15-last_qrtr_tempemp!FC15</f>
        <v>1.5</v>
      </c>
      <c r="FC15" s="286">
        <f>'Data-temp_employment'!FC15-last_qrtr_tempemp!FD15</f>
        <v>0</v>
      </c>
      <c r="FD15" s="286">
        <f>'Data-temp_employment'!FD15-last_qrtr_tempemp!FE15</f>
        <v>0.79999999999999716</v>
      </c>
      <c r="FE15" s="286">
        <f>'Data-temp_employment'!FE15-last_qrtr_tempemp!FF15</f>
        <v>-3.7000000000000028</v>
      </c>
      <c r="FF15" s="286">
        <f>'Data-temp_employment'!FF15-last_qrtr_tempemp!FG15</f>
        <v>-1.7000000000000028</v>
      </c>
      <c r="FG15" s="286">
        <f>'Data-temp_employment'!FG15-last_qrtr_tempemp!FH15</f>
        <v>6.8999999999999986</v>
      </c>
      <c r="FH15" s="286">
        <f>'Data-temp_employment'!FH15-last_qrtr_tempemp!FI15</f>
        <v>12.700000000000003</v>
      </c>
      <c r="FI15" s="286">
        <f>'Data-temp_employment'!FI15-last_qrtr_tempemp!FJ15</f>
        <v>7</v>
      </c>
      <c r="FJ15" s="286">
        <f>'Data-temp_employment'!FJ15</f>
        <v>48.2</v>
      </c>
      <c r="FK15" s="285" t="s">
        <v>19</v>
      </c>
      <c r="FL15" s="286">
        <f>'Data-temp_employment'!FL15-last_qrtr_tempemp!FM15</f>
        <v>4.3000000000000007</v>
      </c>
      <c r="FM15" s="286">
        <f>'Data-temp_employment'!FM15-last_qrtr_tempemp!FN15</f>
        <v>7.7999999999999972</v>
      </c>
      <c r="FN15" s="286">
        <f>'Data-temp_employment'!FN15-last_qrtr_tempemp!FO15</f>
        <v>5.6000000000000014</v>
      </c>
      <c r="FO15" s="286">
        <f>'Data-temp_employment'!FO15-last_qrtr_tempemp!FP15</f>
        <v>5.6000000000000014</v>
      </c>
      <c r="FP15" s="286">
        <f>'Data-temp_employment'!FP15-last_qrtr_tempemp!FQ15</f>
        <v>-0.10000000000000142</v>
      </c>
      <c r="FQ15" s="286">
        <f>'Data-temp_employment'!FQ15-last_qrtr_tempemp!FR15</f>
        <v>6</v>
      </c>
      <c r="FR15" s="286">
        <f>'Data-temp_employment'!FR15-last_qrtr_tempemp!FS15</f>
        <v>5.8999999999999986</v>
      </c>
      <c r="FS15" s="286">
        <f>'Data-temp_employment'!FS15-last_qrtr_tempemp!FT15</f>
        <v>-0.59999999999999432</v>
      </c>
      <c r="FT15" s="286">
        <f>'Data-temp_employment'!FT15-last_qrtr_tempemp!FU15</f>
        <v>-9.7000000000000028</v>
      </c>
      <c r="FU15" s="286">
        <f>'Data-temp_employment'!FU15</f>
        <v>34.799999999999997</v>
      </c>
      <c r="FV15" s="285" t="s">
        <v>19</v>
      </c>
      <c r="FW15" s="286">
        <f>'Data-temp_employment'!FW15-last_qrtr_tempemp!FX15</f>
        <v>-5.9000000000000057</v>
      </c>
      <c r="FX15" s="286">
        <f>'Data-temp_employment'!FX15-last_qrtr_tempemp!FY15</f>
        <v>-6.0999999999999943</v>
      </c>
      <c r="FY15" s="286">
        <f>'Data-temp_employment'!FY15-last_qrtr_tempemp!FZ15</f>
        <v>-0.89999999999999147</v>
      </c>
      <c r="FZ15" s="286">
        <f>'Data-temp_employment'!FZ15-last_qrtr_tempemp!GA15</f>
        <v>10.900000000000006</v>
      </c>
      <c r="GA15" s="286">
        <f>'Data-temp_employment'!GA15-last_qrtr_tempemp!GB15</f>
        <v>1.5999999999999943</v>
      </c>
      <c r="GB15" s="286">
        <f>'Data-temp_employment'!GB15-last_qrtr_tempemp!GC15</f>
        <v>-4.3000000000000114</v>
      </c>
      <c r="GC15" s="286">
        <f>'Data-temp_employment'!GC15-last_qrtr_tempemp!GD15</f>
        <v>-0.40000000000000568</v>
      </c>
      <c r="GD15" s="286">
        <f>'Data-temp_employment'!GD15-last_qrtr_tempemp!GE15</f>
        <v>3.7000000000000028</v>
      </c>
      <c r="GE15" s="286">
        <f>'Data-temp_employment'!GE15-last_qrtr_tempemp!GF15</f>
        <v>-3.7999999999999972</v>
      </c>
      <c r="GF15" s="286">
        <f>'Data-temp_employment'!GF15</f>
        <v>75.900000000000006</v>
      </c>
      <c r="GG15" s="285" t="s">
        <v>19</v>
      </c>
      <c r="GH15" s="286">
        <f>'Data-temp_employment'!GH15-last_qrtr_tempemp!GI15</f>
        <v>-3.0000000000000004</v>
      </c>
      <c r="GI15" s="286">
        <f>'Data-temp_employment'!GI15-last_qrtr_tempemp!GJ15</f>
        <v>-2</v>
      </c>
      <c r="GJ15" s="286">
        <f>'Data-temp_employment'!GJ15-last_qrtr_tempemp!GK15</f>
        <v>-0.70000000000000018</v>
      </c>
      <c r="GK15" s="286">
        <f>'Data-temp_employment'!GK15-last_qrtr_tempemp!GL15</f>
        <v>1.3000000000000003</v>
      </c>
      <c r="GL15" s="286">
        <f>'Data-temp_employment'!GL15-last_qrtr_tempemp!GM15</f>
        <v>-0.69999999999999973</v>
      </c>
      <c r="GM15" s="286">
        <f>'Data-temp_employment'!GM15-last_qrtr_tempemp!GN15</f>
        <v>0.20000000000000018</v>
      </c>
      <c r="GN15" s="286">
        <f>'Data-temp_employment'!GN15-last_qrtr_tempemp!GO15</f>
        <v>1.7000000000000002</v>
      </c>
      <c r="GO15" s="286">
        <f>'Data-temp_employment'!GO15-last_qrtr_tempemp!GP15</f>
        <v>-0.10000000000000009</v>
      </c>
      <c r="GP15" s="286">
        <f>'Data-temp_employment'!GP15-last_qrtr_tempemp!GQ15</f>
        <v>-2.7</v>
      </c>
      <c r="GQ15" s="286">
        <f>'Data-temp_employment'!GQ15</f>
        <v>1.8</v>
      </c>
      <c r="GR15" s="285" t="s">
        <v>19</v>
      </c>
      <c r="GS15" s="286">
        <f>'Data-temp_employment'!GS15-last_qrtr_tempemp!GT15</f>
        <v>-10.100000000000001</v>
      </c>
      <c r="GT15" s="286">
        <f>'Data-temp_employment'!GT15-last_qrtr_tempemp!GU15</f>
        <v>-7.5</v>
      </c>
      <c r="GU15" s="286">
        <f>'Data-temp_employment'!GU15-last_qrtr_tempemp!GV15</f>
        <v>-0.5</v>
      </c>
      <c r="GV15" s="286">
        <f>'Data-temp_employment'!GV15-last_qrtr_tempemp!GW15</f>
        <v>6.7000000000000028</v>
      </c>
      <c r="GW15" s="286">
        <f>'Data-temp_employment'!GW15-last_qrtr_tempemp!GX15</f>
        <v>0.39999999999999858</v>
      </c>
      <c r="GX15" s="286">
        <f>'Data-temp_employment'!GX15-last_qrtr_tempemp!GY15</f>
        <v>-5.7000000000000028</v>
      </c>
      <c r="GY15" s="286">
        <f>'Data-temp_employment'!GY15-last_qrtr_tempemp!GZ15</f>
        <v>-1.3000000000000043</v>
      </c>
      <c r="GZ15" s="286">
        <f>'Data-temp_employment'!GZ15-last_qrtr_tempemp!HA15</f>
        <v>-0.89999999999999858</v>
      </c>
      <c r="HA15" s="286">
        <f>'Data-temp_employment'!HA15-last_qrtr_tempemp!HB15</f>
        <v>-6.1999999999999957</v>
      </c>
      <c r="HB15" s="286">
        <f>'Data-temp_employment'!HB15</f>
        <v>41.4</v>
      </c>
      <c r="HC15" s="279" t="s">
        <v>19</v>
      </c>
      <c r="HD15" s="286">
        <f>'Data-temp_employment'!HD15-last_qrtr_tempemp!HE15</f>
        <v>-3.9000000000000057</v>
      </c>
      <c r="HE15" s="286">
        <f>'Data-temp_employment'!HE15-last_qrtr_tempemp!HF15</f>
        <v>0.5</v>
      </c>
      <c r="HF15" s="286">
        <f>'Data-temp_employment'!HF15-last_qrtr_tempemp!HG15</f>
        <v>-2.6000000000000085</v>
      </c>
      <c r="HG15" s="286">
        <f>'Data-temp_employment'!HG15-last_qrtr_tempemp!HH15</f>
        <v>-1.8999999999999915</v>
      </c>
      <c r="HH15" s="286">
        <f>'Data-temp_employment'!HH15-last_qrtr_tempemp!HI15</f>
        <v>-12.100000000000009</v>
      </c>
      <c r="HI15" s="286">
        <f>'Data-temp_employment'!HI15-last_qrtr_tempemp!HJ15</f>
        <v>-5.0999999999999943</v>
      </c>
      <c r="HJ15" s="286">
        <f>'Data-temp_employment'!HJ15-last_qrtr_tempemp!HK15</f>
        <v>-8</v>
      </c>
      <c r="HK15" s="286">
        <f>'Data-temp_employment'!HK15-last_qrtr_tempemp!HL15</f>
        <v>-2.2999999999999972</v>
      </c>
      <c r="HL15" s="286">
        <f>'Data-temp_employment'!HL15-last_qrtr_tempemp!HM15</f>
        <v>-10.5</v>
      </c>
      <c r="HM15" s="286">
        <f>'Data-temp_employment'!HM15</f>
        <v>58.7</v>
      </c>
      <c r="HN15" s="285" t="s">
        <v>19</v>
      </c>
      <c r="HO15" s="286">
        <f>'Data-temp_employment'!HO15-last_qrtr_tempemp!HP15</f>
        <v>-2.6999999999999957</v>
      </c>
      <c r="HP15" s="286">
        <f>'Data-temp_employment'!HP15-last_qrtr_tempemp!HQ15</f>
        <v>-9.5</v>
      </c>
      <c r="HQ15" s="286">
        <f>'Data-temp_employment'!HQ15-last_qrtr_tempemp!HR15</f>
        <v>9.8000000000000114</v>
      </c>
      <c r="HR15" s="286">
        <f>'Data-temp_employment'!HR15-last_qrtr_tempemp!HS15</f>
        <v>1.1000000000000014</v>
      </c>
      <c r="HS15" s="286">
        <f>'Data-temp_employment'!HS15-last_qrtr_tempemp!HT15</f>
        <v>-6.0999999999999943</v>
      </c>
      <c r="HT15" s="286">
        <f>'Data-temp_employment'!HT15-last_qrtr_tempemp!HU15</f>
        <v>-13.800000000000004</v>
      </c>
      <c r="HU15" s="286">
        <f>'Data-temp_employment'!HU15-last_qrtr_tempemp!HV15</f>
        <v>2</v>
      </c>
      <c r="HV15" s="286">
        <f>'Data-temp_employment'!HV15-last_qrtr_tempemp!HW15</f>
        <v>-3.2999999999999972</v>
      </c>
      <c r="HW15" s="286">
        <f>'Data-temp_employment'!HW15-last_qrtr_tempemp!HX15</f>
        <v>-9.6000000000000014</v>
      </c>
      <c r="HX15" s="286">
        <f>'Data-temp_employment'!HX15</f>
        <v>52.9</v>
      </c>
      <c r="HY15" s="285" t="s">
        <v>19</v>
      </c>
      <c r="HZ15" s="286">
        <f>'Data-temp_employment'!HZ15-last_qrtr_tempemp!IA15</f>
        <v>-0.60000000000000009</v>
      </c>
      <c r="IA15" s="286">
        <f>'Data-temp_employment'!IA15-last_qrtr_tempemp!IB15</f>
        <v>0</v>
      </c>
      <c r="IB15" s="286">
        <f>'Data-temp_employment'!IB15-last_qrtr_tempemp!IC15</f>
        <v>-0.5</v>
      </c>
      <c r="IC15" s="286">
        <f>'Data-temp_employment'!IC15-last_qrtr_tempemp!ID15</f>
        <v>-0.80000000000000027</v>
      </c>
      <c r="ID15" s="286">
        <f>'Data-temp_employment'!ID15-last_qrtr_tempemp!IE15</f>
        <v>-0.19999999999999973</v>
      </c>
      <c r="IE15" s="286">
        <f>'Data-temp_employment'!IE15-last_qrtr_tempemp!IF15</f>
        <v>1.2999999999999998</v>
      </c>
      <c r="IF15" s="286">
        <f>'Data-temp_employment'!IF15-last_qrtr_tempemp!IG15</f>
        <v>2.2999999999999998</v>
      </c>
      <c r="IG15" s="286">
        <f>'Data-temp_employment'!IG15-last_qrtr_tempemp!IH15</f>
        <v>1.6</v>
      </c>
      <c r="IH15" s="286">
        <f>'Data-temp_employment'!IH15-last_qrtr_tempemp!II15</f>
        <v>0.5</v>
      </c>
      <c r="II15" s="286">
        <f>'Data-temp_employment'!II15</f>
        <v>3.9</v>
      </c>
      <c r="IJ15" s="285" t="s">
        <v>19</v>
      </c>
      <c r="IK15" s="286">
        <f>'Data-temp_employment'!IK15-last_qrtr_tempemp!IL15</f>
        <v>0</v>
      </c>
      <c r="IL15" s="286">
        <f>'Data-temp_employment'!IL15-last_qrtr_tempemp!IM15</f>
        <v>0</v>
      </c>
      <c r="IM15" s="286">
        <f>'Data-temp_employment'!IM15-last_qrtr_tempemp!IN15</f>
        <v>0</v>
      </c>
      <c r="IN15" s="286">
        <f>'Data-temp_employment'!IN15-last_qrtr_tempemp!IO15</f>
        <v>0</v>
      </c>
      <c r="IO15" s="286">
        <f>'Data-temp_employment'!IO15-last_qrtr_tempemp!IP15</f>
        <v>0</v>
      </c>
      <c r="IP15" s="286">
        <f>'Data-temp_employment'!IP15-last_qrtr_tempemp!IQ15</f>
        <v>0</v>
      </c>
      <c r="IQ15" s="286">
        <f>'Data-temp_employment'!IQ15-last_qrtr_tempemp!IR15</f>
        <v>0</v>
      </c>
      <c r="IR15" s="286">
        <f>'Data-temp_employment'!IR15-last_qrtr_tempemp!IS15</f>
        <v>0</v>
      </c>
      <c r="IS15" s="286">
        <f>'Data-temp_employment'!IS15-last_qrtr_tempemp!IT15</f>
        <v>0</v>
      </c>
      <c r="IT15" s="286">
        <f>'Data-temp_employment'!IT15</f>
        <v>0</v>
      </c>
      <c r="IU15" s="285" t="s">
        <v>19</v>
      </c>
      <c r="IV15" s="286">
        <f>'Data-temp_employment'!IV15-last_qrtr_tempemp!IW15</f>
        <v>-3.0999999999999996</v>
      </c>
      <c r="IW15" s="286">
        <f>'Data-temp_employment'!IW15-last_qrtr_tempemp!IX15</f>
        <v>-4.8999999999999995</v>
      </c>
      <c r="IX15" s="286">
        <f>'Data-temp_employment'!IX15-last_qrtr_tempemp!IY15</f>
        <v>2.1999999999999993</v>
      </c>
      <c r="IY15" s="286">
        <f>'Data-temp_employment'!IY15-last_qrtr_tempemp!IZ15</f>
        <v>1.0999999999999996</v>
      </c>
      <c r="IZ15" s="286">
        <f>'Data-temp_employment'!IZ15-last_qrtr_tempemp!JA15</f>
        <v>0.60000000000000053</v>
      </c>
      <c r="JA15" s="286">
        <f>'Data-temp_employment'!JA15-last_qrtr_tempemp!JB15</f>
        <v>-9.9999999999999645E-2</v>
      </c>
      <c r="JB15" s="286">
        <f>'Data-temp_employment'!JB15-last_qrtr_tempemp!JC15</f>
        <v>3.4000000000000004</v>
      </c>
      <c r="JC15" s="286">
        <f>'Data-temp_employment'!JC15-last_qrtr_tempemp!JD15</f>
        <v>-1.3000000000000007</v>
      </c>
      <c r="JD15" s="286">
        <f>'Data-temp_employment'!JD15-last_qrtr_tempemp!JE15</f>
        <v>-5.6999999999999993</v>
      </c>
      <c r="JE15" s="286">
        <f>'Data-temp_employment'!JE15</f>
        <v>5.9</v>
      </c>
      <c r="JF15" s="285" t="s">
        <v>19</v>
      </c>
      <c r="JG15" s="286">
        <f>'Data-temp_employment'!JG15-last_qrtr_tempemp!JH15</f>
        <v>-6.3999999999999915</v>
      </c>
      <c r="JH15" s="286">
        <f>'Data-temp_employment'!JH15-last_qrtr_tempemp!JI15</f>
        <v>-0.79999999999999716</v>
      </c>
      <c r="JI15" s="286">
        <f>'Data-temp_employment'!JI15-last_qrtr_tempemp!JJ15</f>
        <v>4.6999999999999886</v>
      </c>
      <c r="JJ15" s="286">
        <f>'Data-temp_employment'!JJ15-last_qrtr_tempemp!JK15</f>
        <v>8.7999999999999972</v>
      </c>
      <c r="JK15" s="286">
        <f>'Data-temp_employment'!JK15-last_qrtr_tempemp!JL15</f>
        <v>-6.0999999999999943</v>
      </c>
      <c r="JL15" s="286">
        <f>'Data-temp_employment'!JL15-last_qrtr_tempemp!JM15</f>
        <v>-16.099999999999994</v>
      </c>
      <c r="JM15" s="286">
        <f>'Data-temp_employment'!JM15-last_qrtr_tempemp!JN15</f>
        <v>-9.7999999999999972</v>
      </c>
      <c r="JN15" s="286">
        <f>'Data-temp_employment'!JN15-last_qrtr_tempemp!JO15</f>
        <v>-7.6000000000000085</v>
      </c>
      <c r="JO15" s="286">
        <f>'Data-temp_employment'!JO15-last_qrtr_tempemp!JP15</f>
        <v>-12.699999999999989</v>
      </c>
      <c r="JP15" s="286">
        <f>'Data-temp_employment'!JP15</f>
        <v>104.8</v>
      </c>
      <c r="JQ15" s="285" t="s">
        <v>19</v>
      </c>
      <c r="JR15" s="286">
        <f>'Data-temp_employment'!JR15-last_qrtr_tempemp!JS15</f>
        <v>-9.7999999999999989</v>
      </c>
      <c r="JS15" s="286">
        <f>'Data-temp_employment'!JS15-last_qrtr_tempemp!JT15</f>
        <v>-5.3999999999999986</v>
      </c>
      <c r="JT15" s="286">
        <f>'Data-temp_employment'!JT15-last_qrtr_tempemp!JU15</f>
        <v>-1.8000000000000007</v>
      </c>
      <c r="JU15" s="286">
        <f>'Data-temp_employment'!JU15-last_qrtr_tempemp!JV15</f>
        <v>3.4000000000000004</v>
      </c>
      <c r="JV15" s="286">
        <f>'Data-temp_employment'!JV15-last_qrtr_tempemp!JW15</f>
        <v>-7.9</v>
      </c>
      <c r="JW15" s="286">
        <f>'Data-temp_employment'!JW15-last_qrtr_tempemp!JX15</f>
        <v>-3.3999999999999986</v>
      </c>
      <c r="JX15" s="286">
        <f>'Data-temp_employment'!JX15-last_qrtr_tempemp!JY15</f>
        <v>-0.10000000000000142</v>
      </c>
      <c r="JY15" s="286">
        <f>'Data-temp_employment'!JY15-last_qrtr_tempemp!JZ15</f>
        <v>8.9</v>
      </c>
      <c r="JZ15" s="286">
        <f>'Data-temp_employment'!JZ15-last_qrtr_tempemp!KA15</f>
        <v>-0.5</v>
      </c>
      <c r="KA15" s="286">
        <f>'Data-temp_employment'!KA15</f>
        <v>19.399999999999999</v>
      </c>
      <c r="KB15" s="285" t="s">
        <v>19</v>
      </c>
      <c r="KC15" s="286">
        <f>'Data-temp_employment'!KC15-last_qrtr_tempemp!KD15</f>
        <v>-0.79999999999999716</v>
      </c>
      <c r="KD15" s="286">
        <f>'Data-temp_employment'!KD15-last_qrtr_tempemp!KE15</f>
        <v>-5.1000000000000014</v>
      </c>
      <c r="KE15" s="286">
        <f>'Data-temp_employment'!KE15-last_qrtr_tempemp!KF15</f>
        <v>-6.1000000000000014</v>
      </c>
      <c r="KF15" s="286">
        <f>'Data-temp_employment'!KF15-last_qrtr_tempemp!KG15</f>
        <v>5.6999999999999957</v>
      </c>
      <c r="KG15" s="286">
        <f>'Data-temp_employment'!KG15-last_qrtr_tempemp!KH15</f>
        <v>-2.1000000000000014</v>
      </c>
      <c r="KH15" s="286">
        <f>'Data-temp_employment'!KH15-last_qrtr_tempemp!KI15</f>
        <v>-7.1999999999999957</v>
      </c>
      <c r="KI15" s="286">
        <f>'Data-temp_employment'!KI15-last_qrtr_tempemp!KJ15</f>
        <v>-7.1000000000000014</v>
      </c>
      <c r="KJ15" s="286">
        <f>'Data-temp_employment'!KJ15-last_qrtr_tempemp!KK15</f>
        <v>-0.79999999999999716</v>
      </c>
      <c r="KK15" s="286">
        <f>'Data-temp_employment'!KK15-last_qrtr_tempemp!KL15</f>
        <v>-3.6000000000000014</v>
      </c>
      <c r="KL15" s="286">
        <f>'Data-temp_employment'!KL15</f>
        <v>40.5</v>
      </c>
      <c r="KM15" s="279" t="s">
        <v>19</v>
      </c>
      <c r="KN15" s="286">
        <f>'Data-temp_employment'!KN15-last_qrtr_tempemp!KO15</f>
        <v>-2.6000000000000014</v>
      </c>
      <c r="KO15" s="286">
        <f>'Data-temp_employment'!KO15-last_qrtr_tempemp!KP15</f>
        <v>-3.3999999999999986</v>
      </c>
      <c r="KP15" s="286">
        <f>'Data-temp_employment'!KP15-last_qrtr_tempemp!KQ15</f>
        <v>-3.3999999999999986</v>
      </c>
      <c r="KQ15" s="286">
        <f>'Data-temp_employment'!KQ15-last_qrtr_tempemp!KR15</f>
        <v>2.1999999999999993</v>
      </c>
      <c r="KR15" s="286">
        <f>'Data-temp_employment'!KR15-last_qrtr_tempemp!KS15</f>
        <v>-0.19999999999999929</v>
      </c>
      <c r="KS15" s="286">
        <f>'Data-temp_employment'!KS15-last_qrtr_tempemp!KT15</f>
        <v>4.5</v>
      </c>
      <c r="KT15" s="286">
        <f>'Data-temp_employment'!KT15-last_qrtr_tempemp!KU15</f>
        <v>3.9000000000000021</v>
      </c>
      <c r="KU15" s="286">
        <f>'Data-temp_employment'!KU15-last_qrtr_tempemp!KV15</f>
        <v>1.6999999999999993</v>
      </c>
      <c r="KV15" s="286">
        <f>'Data-temp_employment'!KV15-last_qrtr_tempemp!KW15</f>
        <v>-2.7000000000000028</v>
      </c>
      <c r="KW15" s="286">
        <f>'Data-temp_employment'!KW15</f>
        <v>18</v>
      </c>
      <c r="KX15" s="285" t="s">
        <v>19</v>
      </c>
      <c r="KY15" s="286">
        <f>'Data-temp_employment'!KY15-last_qrtr_tempemp!KZ15</f>
        <v>-3</v>
      </c>
      <c r="KZ15" s="286">
        <f>'Data-temp_employment'!KZ15-last_qrtr_tempemp!LA15</f>
        <v>-5.5</v>
      </c>
      <c r="LA15" s="286">
        <f>'Data-temp_employment'!LA15-last_qrtr_tempemp!LB15</f>
        <v>2.9000000000000021</v>
      </c>
      <c r="LB15" s="286">
        <f>'Data-temp_employment'!LB15-last_qrtr_tempemp!LC15</f>
        <v>2.1999999999999993</v>
      </c>
      <c r="LC15" s="286">
        <f>'Data-temp_employment'!LC15-last_qrtr_tempemp!LD15</f>
        <v>-2.8000000000000007</v>
      </c>
      <c r="LD15" s="286">
        <f>'Data-temp_employment'!LD15-last_qrtr_tempemp!LE15</f>
        <v>-4.9000000000000021</v>
      </c>
      <c r="LE15" s="286">
        <f>'Data-temp_employment'!LE15-last_qrtr_tempemp!LF15</f>
        <v>1.3999999999999986</v>
      </c>
      <c r="LF15" s="286">
        <f>'Data-temp_employment'!LF15-last_qrtr_tempemp!LG15</f>
        <v>2.3000000000000007</v>
      </c>
      <c r="LG15" s="286">
        <f>'Data-temp_employment'!LG15-last_qrtr_tempemp!LH15</f>
        <v>-0.39999999999999858</v>
      </c>
      <c r="LH15" s="286">
        <f>'Data-temp_employment'!LH15</f>
        <v>21.8</v>
      </c>
      <c r="LI15" s="285" t="s">
        <v>19</v>
      </c>
      <c r="LJ15" s="286">
        <f>'Data-temp_employment'!LJ15-last_qrtr_tempemp!LK15</f>
        <v>0</v>
      </c>
      <c r="LK15" s="286">
        <f>'Data-temp_employment'!LK15-last_qrtr_tempemp!LL15</f>
        <v>3.0999999999999996</v>
      </c>
      <c r="LL15" s="286">
        <f>'Data-temp_employment'!LL15-last_qrtr_tempemp!LM15</f>
        <v>1</v>
      </c>
      <c r="LM15" s="286">
        <f>'Data-temp_employment'!LM15-last_qrtr_tempemp!LN15</f>
        <v>-0.29999999999999893</v>
      </c>
      <c r="LN15" s="286">
        <f>'Data-temp_employment'!LN15-last_qrtr_tempemp!LO15</f>
        <v>-3.5</v>
      </c>
      <c r="LO15" s="286">
        <f>'Data-temp_employment'!LO15-last_qrtr_tempemp!LP15</f>
        <v>-2.4000000000000004</v>
      </c>
      <c r="LP15" s="286">
        <f>'Data-temp_employment'!LP15-last_qrtr_tempemp!LQ15</f>
        <v>1</v>
      </c>
      <c r="LQ15" s="286">
        <f>'Data-temp_employment'!LQ15-last_qrtr_tempemp!LR15</f>
        <v>3.1999999999999993</v>
      </c>
      <c r="LR15" s="286">
        <f>'Data-temp_employment'!LR15-last_qrtr_tempemp!LS15</f>
        <v>1</v>
      </c>
      <c r="LS15" s="286">
        <f>'Data-temp_employment'!LS15</f>
        <v>7.1</v>
      </c>
      <c r="LT15" s="279" t="s">
        <v>19</v>
      </c>
      <c r="LU15" s="286">
        <f>'Data-temp_employment'!LU15-last_qrtr_tempemp!LV15</f>
        <v>1.0999999999999996</v>
      </c>
      <c r="LV15" s="286">
        <f>'Data-temp_employment'!LV15-last_qrtr_tempemp!LW15</f>
        <v>0.40000000000000036</v>
      </c>
      <c r="LW15" s="286">
        <f>'Data-temp_employment'!LW15-last_qrtr_tempemp!LX15</f>
        <v>0.5</v>
      </c>
      <c r="LX15" s="286">
        <f>'Data-temp_employment'!LX15-last_qrtr_tempemp!LY15</f>
        <v>-0.79999999999999982</v>
      </c>
      <c r="LY15" s="286">
        <f>'Data-temp_employment'!LY15-last_qrtr_tempemp!LZ15</f>
        <v>-2.7</v>
      </c>
      <c r="LZ15" s="286">
        <f>'Data-temp_employment'!LZ15-last_qrtr_tempemp!MA15</f>
        <v>-2.0999999999999996</v>
      </c>
      <c r="MA15" s="286">
        <f>'Data-temp_employment'!MA15-last_qrtr_tempemp!MB15</f>
        <v>0.60000000000000053</v>
      </c>
      <c r="MB15" s="286">
        <f>'Data-temp_employment'!MB15-last_qrtr_tempemp!MC15</f>
        <v>1.7999999999999998</v>
      </c>
      <c r="MC15" s="286">
        <f>'Data-temp_employment'!MC15-last_qrtr_tempemp!MD15</f>
        <v>1.5999999999999996</v>
      </c>
      <c r="MD15" s="286">
        <f>'Data-temp_employment'!MD15</f>
        <v>6.9</v>
      </c>
      <c r="ME15" s="285" t="s">
        <v>19</v>
      </c>
      <c r="MF15" s="286">
        <f>'Data-temp_employment'!MF15-last_qrtr_tempemp!MG15</f>
        <v>-1.2999999999999989</v>
      </c>
      <c r="MG15" s="286">
        <f>'Data-temp_employment'!MG15-last_qrtr_tempemp!MH15</f>
        <v>-2.5999999999999996</v>
      </c>
      <c r="MH15" s="286">
        <f>'Data-temp_employment'!MH15-last_qrtr_tempemp!MI15</f>
        <v>0.89999999999999858</v>
      </c>
      <c r="MI15" s="286">
        <f>'Data-temp_employment'!MI15-last_qrtr_tempemp!MJ15</f>
        <v>3.5999999999999996</v>
      </c>
      <c r="MJ15" s="286">
        <f>'Data-temp_employment'!MJ15-last_qrtr_tempemp!MK15</f>
        <v>5.5</v>
      </c>
      <c r="MK15" s="286">
        <f>'Data-temp_employment'!MK15-last_qrtr_tempemp!ML15</f>
        <v>2.8000000000000007</v>
      </c>
      <c r="ML15" s="286">
        <f>'Data-temp_employment'!ML15-last_qrtr_tempemp!MM15</f>
        <v>1</v>
      </c>
      <c r="MM15" s="286">
        <f>'Data-temp_employment'!MM15-last_qrtr_tempemp!MN15</f>
        <v>-2.2000000000000011</v>
      </c>
      <c r="MN15" s="286">
        <f>'Data-temp_employment'!MN15-last_qrtr_tempemp!MO15</f>
        <v>-3</v>
      </c>
      <c r="MO15" s="286">
        <f>'Data-temp_employment'!MO15</f>
        <v>9.8000000000000007</v>
      </c>
      <c r="MP15" s="285" t="s">
        <v>19</v>
      </c>
      <c r="MQ15" s="286">
        <f>'Data-temp_employment'!MQ15-last_qrtr_tempemp!MR15</f>
        <v>1.1999999999999993</v>
      </c>
      <c r="MR15" s="286">
        <f>'Data-temp_employment'!MR15-last_qrtr_tempemp!MS15</f>
        <v>1.6000000000000014</v>
      </c>
      <c r="MS15" s="286">
        <f>'Data-temp_employment'!MS15-last_qrtr_tempemp!MT15</f>
        <v>-3.2000000000000028</v>
      </c>
      <c r="MT15" s="286">
        <f>'Data-temp_employment'!MT15-last_qrtr_tempemp!MU15</f>
        <v>-3</v>
      </c>
      <c r="MU15" s="286">
        <f>'Data-temp_employment'!MU15-last_qrtr_tempemp!MV15</f>
        <v>-3.3000000000000007</v>
      </c>
      <c r="MV15" s="286">
        <f>'Data-temp_employment'!MV15-last_qrtr_tempemp!MW15</f>
        <v>0.20000000000000284</v>
      </c>
      <c r="MW15" s="286">
        <f>'Data-temp_employment'!MW15-last_qrtr_tempemp!MX15</f>
        <v>-0.30000000000000071</v>
      </c>
      <c r="MX15" s="286">
        <f>'Data-temp_employment'!MX15-last_qrtr_tempemp!MY15</f>
        <v>-1.8999999999999986</v>
      </c>
      <c r="MY15" s="286">
        <f>'Data-temp_employment'!MY15-last_qrtr_tempemp!MZ15</f>
        <v>-4.2000000000000011</v>
      </c>
      <c r="MZ15" s="286">
        <f>'Data-temp_employment'!MZ15</f>
        <v>16</v>
      </c>
      <c r="NA15" s="279" t="s">
        <v>19</v>
      </c>
      <c r="NB15" s="286">
        <f>'Data-temp_employment'!NB15-last_qrtr_tempemp!NC15</f>
        <v>-2.0999999999999979</v>
      </c>
      <c r="NC15" s="286">
        <f>'Data-temp_employment'!NC15-last_qrtr_tempemp!ND15</f>
        <v>-0.80000000000000071</v>
      </c>
      <c r="ND15" s="286">
        <f>'Data-temp_employment'!ND15-last_qrtr_tempemp!NE15</f>
        <v>5.1999999999999993</v>
      </c>
      <c r="NE15" s="286">
        <f>'Data-temp_employment'!NE15-last_qrtr_tempemp!NF15</f>
        <v>1.5</v>
      </c>
      <c r="NF15" s="286">
        <f>'Data-temp_employment'!NF15-last_qrtr_tempemp!NG15</f>
        <v>3</v>
      </c>
      <c r="NG15" s="286">
        <f>'Data-temp_employment'!NG15-last_qrtr_tempemp!NH15</f>
        <v>4.8000000000000043</v>
      </c>
      <c r="NH15" s="286">
        <f>'Data-temp_employment'!NH15-last_qrtr_tempemp!NI15</f>
        <v>8.0999999999999979</v>
      </c>
      <c r="NI15" s="286">
        <f>'Data-temp_employment'!NI15-last_qrtr_tempemp!NJ15</f>
        <v>5.9000000000000021</v>
      </c>
      <c r="NJ15" s="286">
        <f>'Data-temp_employment'!NJ15-last_qrtr_tempemp!NK15</f>
        <v>-4.4000000000000021</v>
      </c>
      <c r="NK15" s="286">
        <f>'Data-temp_employment'!NK15</f>
        <v>29.7</v>
      </c>
      <c r="NL15" s="285" t="s">
        <v>19</v>
      </c>
      <c r="NM15" s="286">
        <f>'Data-temp_employment'!NM15-last_qrtr_tempemp!NN15</f>
        <v>-9.6000000000000014</v>
      </c>
      <c r="NN15" s="286">
        <f>'Data-temp_employment'!NN15-last_qrtr_tempemp!NO15</f>
        <v>-0.80000000000000071</v>
      </c>
      <c r="NO15" s="286">
        <f>'Data-temp_employment'!NO15-last_qrtr_tempemp!NP15</f>
        <v>-8.5</v>
      </c>
      <c r="NP15" s="286">
        <f>'Data-temp_employment'!NP15-last_qrtr_tempemp!NQ15</f>
        <v>5.8000000000000007</v>
      </c>
      <c r="NQ15" s="286">
        <f>'Data-temp_employment'!NQ15-last_qrtr_tempemp!NR15</f>
        <v>8.3000000000000007</v>
      </c>
      <c r="NR15" s="286">
        <f>'Data-temp_employment'!NR15-last_qrtr_tempemp!NS15</f>
        <v>11.899999999999999</v>
      </c>
      <c r="NS15" s="286">
        <f>'Data-temp_employment'!NS15-last_qrtr_tempemp!NT15</f>
        <v>2.1999999999999993</v>
      </c>
      <c r="NT15" s="286">
        <f>'Data-temp_employment'!NT15-last_qrtr_tempemp!NU15</f>
        <v>5.7999999999999972</v>
      </c>
      <c r="NU15" s="286">
        <f>'Data-temp_employment'!NU15-last_qrtr_tempemp!NV15</f>
        <v>7.3000000000000043</v>
      </c>
      <c r="NV15" s="286">
        <f>'Data-temp_employment'!NV15</f>
        <v>39.200000000000003</v>
      </c>
      <c r="NW15" s="279" t="s">
        <v>19</v>
      </c>
      <c r="NX15" s="286">
        <f>'Data-temp_employment'!NX15-last_qrtr_tempemp!NY15</f>
        <v>0.89999999999999858</v>
      </c>
      <c r="NY15" s="286">
        <f>'Data-temp_employment'!NY15-last_qrtr_tempemp!NZ15</f>
        <v>2.5</v>
      </c>
      <c r="NZ15" s="286">
        <f>'Data-temp_employment'!NZ15-last_qrtr_tempemp!OA15</f>
        <v>3.6999999999999993</v>
      </c>
      <c r="OA15" s="286">
        <f>'Data-temp_employment'!OA15-last_qrtr_tempemp!OB15</f>
        <v>3.2000000000000028</v>
      </c>
      <c r="OB15" s="286">
        <f>'Data-temp_employment'!OB15-last_qrtr_tempemp!OC15</f>
        <v>2</v>
      </c>
      <c r="OC15" s="286">
        <f>'Data-temp_employment'!OC15-last_qrtr_tempemp!OD15</f>
        <v>2.1999999999999993</v>
      </c>
      <c r="OD15" s="286">
        <f>'Data-temp_employment'!OD15-last_qrtr_tempemp!OE15</f>
        <v>2.0999999999999943</v>
      </c>
      <c r="OE15" s="286">
        <f>'Data-temp_employment'!OE15-last_qrtr_tempemp!OF15</f>
        <v>-0.5</v>
      </c>
      <c r="OF15" s="286">
        <f>'Data-temp_employment'!OF15-last_qrtr_tempemp!OG15</f>
        <v>-4.6999999999999993</v>
      </c>
      <c r="OG15" s="286">
        <f>'Data-temp_employment'!OG15</f>
        <v>29.2</v>
      </c>
      <c r="OH15" s="287" t="s">
        <v>19</v>
      </c>
      <c r="OI15" s="286"/>
      <c r="OJ15" s="286"/>
      <c r="OK15" s="286"/>
      <c r="OL15" s="286"/>
      <c r="OM15" s="286"/>
      <c r="ON15" s="286"/>
      <c r="OO15" s="286"/>
      <c r="OP15" s="286"/>
      <c r="OQ15" s="286"/>
      <c r="OR15" s="286"/>
      <c r="OS15" s="285" t="s">
        <v>19</v>
      </c>
      <c r="OT15" s="286" t="e">
        <f>'Data-temp_employment'!#REF!-last_qrtr_tempemp!OU15</f>
        <v>#REF!</v>
      </c>
      <c r="OU15" s="286">
        <f>'Data-temp_employment'!OT15-last_qrtr_tempemp!OV15</f>
        <v>0.19999999999999998</v>
      </c>
      <c r="OV15" s="286">
        <f>'Data-temp_employment'!OU15-last_qrtr_tempemp!OW15</f>
        <v>0.4</v>
      </c>
      <c r="OW15" s="286">
        <f>'Data-temp_employment'!OV15-last_qrtr_tempemp!OX15</f>
        <v>-0.79999999999999993</v>
      </c>
      <c r="OX15" s="286">
        <f>'Data-temp_employment'!OW15-last_qrtr_tempemp!OY15</f>
        <v>0.30000000000000004</v>
      </c>
      <c r="OY15" s="286">
        <f>'Data-temp_employment'!OX15-last_qrtr_tempemp!OZ15</f>
        <v>0.8</v>
      </c>
      <c r="OZ15" s="286">
        <f>'Data-temp_employment'!OY15-last_qrtr_tempemp!PA15</f>
        <v>1.5999999999999999</v>
      </c>
      <c r="PA15" s="286">
        <f>'Data-temp_employment'!OZ15-last_qrtr_tempemp!PB15</f>
        <v>-0.19999999999999996</v>
      </c>
      <c r="PB15" s="286">
        <f>'Data-temp_employment'!PA15-last_qrtr_tempemp!PC15</f>
        <v>9.9999999999999978E-2</v>
      </c>
      <c r="PC15" s="286">
        <f>'Data-temp_employment'!PB15</f>
        <v>0.5</v>
      </c>
      <c r="PE15" s="319"/>
      <c r="PF15" s="319"/>
      <c r="PG15" s="319"/>
      <c r="PH15" s="319"/>
      <c r="PI15" s="319"/>
      <c r="PJ15" s="319"/>
      <c r="PK15" s="319"/>
      <c r="PL15" s="319"/>
      <c r="PM15" s="319"/>
      <c r="PN15" s="319"/>
      <c r="PO15" s="319"/>
      <c r="PP15" s="319"/>
      <c r="PQ15" s="319"/>
      <c r="PR15" s="319"/>
      <c r="PS15" s="319"/>
      <c r="PT15" s="319"/>
      <c r="PU15" s="319"/>
      <c r="PV15" s="319"/>
      <c r="PW15" s="319"/>
      <c r="PX15" s="319"/>
      <c r="PY15" s="319"/>
      <c r="PZ15" s="319"/>
      <c r="QA15" s="319"/>
      <c r="QB15" s="319"/>
      <c r="QC15" s="319"/>
      <c r="QD15" s="319"/>
      <c r="QE15" s="319"/>
      <c r="QF15" s="319"/>
      <c r="QG15" s="319"/>
      <c r="QH15" s="319"/>
      <c r="QI15" s="319"/>
      <c r="QJ15" s="319"/>
      <c r="QK15" s="319"/>
      <c r="QL15" s="319"/>
      <c r="QM15" s="319"/>
      <c r="QN15" s="319"/>
      <c r="QO15" s="319"/>
      <c r="QP15" s="319"/>
      <c r="QQ15" s="319"/>
      <c r="QR15" s="319"/>
      <c r="QS15" s="319"/>
      <c r="QT15" s="319"/>
      <c r="QU15" s="319"/>
      <c r="QV15" s="319"/>
      <c r="QW15" s="319"/>
      <c r="QX15" s="319"/>
      <c r="QY15" s="319"/>
      <c r="QZ15" s="319"/>
      <c r="RA15" s="319"/>
      <c r="RB15" s="319"/>
      <c r="RC15" s="319"/>
      <c r="RD15" s="319"/>
      <c r="RE15" s="319"/>
      <c r="RF15" s="319"/>
      <c r="RG15" s="319"/>
      <c r="RH15" s="319"/>
      <c r="RI15" s="319"/>
      <c r="RJ15" s="319"/>
      <c r="RK15" s="319"/>
      <c r="RL15" s="319"/>
      <c r="RM15" s="319"/>
      <c r="RN15" s="319"/>
      <c r="RO15" s="319"/>
      <c r="RP15" s="319"/>
    </row>
    <row r="16" spans="1:484">
      <c r="A16" s="269">
        <v>13</v>
      </c>
      <c r="B16" s="285" t="s">
        <v>20</v>
      </c>
      <c r="C16" s="286">
        <f>'Data-temp_employment'!C16-last_qrtr_tempemp!D16</f>
        <v>4.9000000000000004</v>
      </c>
      <c r="D16" s="286">
        <f>'Data-temp_employment'!D16-last_qrtr_tempemp!E16</f>
        <v>4.5999999999999996</v>
      </c>
      <c r="E16" s="286">
        <f>'Data-temp_employment'!E16-last_qrtr_tempemp!F16</f>
        <v>4.7999999999999989</v>
      </c>
      <c r="F16" s="286">
        <f>'Data-temp_employment'!F16-last_qrtr_tempemp!G16</f>
        <v>-1</v>
      </c>
      <c r="G16" s="286">
        <f>'Data-temp_employment'!G16-last_qrtr_tempemp!H16</f>
        <v>-0.20000000000000107</v>
      </c>
      <c r="H16" s="286">
        <f>'Data-temp_employment'!H16-last_qrtr_tempemp!I16</f>
        <v>0</v>
      </c>
      <c r="I16" s="286">
        <f>'Data-temp_employment'!I16-last_qrtr_tempemp!J16</f>
        <v>-0.5</v>
      </c>
      <c r="J16" s="286">
        <f>'Data-temp_employment'!J16-last_qrtr_tempemp!K16</f>
        <v>-1.5999999999999996</v>
      </c>
      <c r="K16" s="286">
        <f>'Data-temp_employment'!K16-last_qrtr_tempemp!L16</f>
        <v>-1.5999999999999996</v>
      </c>
      <c r="L16" s="286">
        <f>'Data-temp_employment'!L16</f>
        <v>11.5</v>
      </c>
      <c r="M16" s="285" t="s">
        <v>20</v>
      </c>
      <c r="N16" s="286">
        <f>'Data-temp_employment'!N16-last_qrtr_tempemp!O16</f>
        <v>127.40000000000003</v>
      </c>
      <c r="O16" s="286">
        <f>'Data-temp_employment'!O16-last_qrtr_tempemp!P16</f>
        <v>124</v>
      </c>
      <c r="P16" s="286">
        <f>'Data-temp_employment'!P16-last_qrtr_tempemp!Q16</f>
        <v>126.19999999999999</v>
      </c>
      <c r="Q16" s="286">
        <f>'Data-temp_employment'!Q16-last_qrtr_tempemp!R16</f>
        <v>-24</v>
      </c>
      <c r="R16" s="286">
        <f>'Data-temp_employment'!R16-last_qrtr_tempemp!S16</f>
        <v>-10.099999999999966</v>
      </c>
      <c r="S16" s="286">
        <f>'Data-temp_employment'!S16-last_qrtr_tempemp!T16</f>
        <v>-0.89999999999997726</v>
      </c>
      <c r="T16" s="286">
        <f>'Data-temp_employment'!T16-last_qrtr_tempemp!U16</f>
        <v>-8.2000000000000455</v>
      </c>
      <c r="U16" s="286">
        <f>'Data-temp_employment'!U16-last_qrtr_tempemp!V16</f>
        <v>-35.600000000000023</v>
      </c>
      <c r="V16" s="286">
        <f>'Data-temp_employment'!V16-last_qrtr_tempemp!W16</f>
        <v>-38.600000000000023</v>
      </c>
      <c r="W16" s="286">
        <f>'Data-temp_employment'!W16</f>
        <v>297.10000000000002</v>
      </c>
      <c r="X16" s="285" t="s">
        <v>20</v>
      </c>
      <c r="Y16" s="286">
        <f>'Data-temp_employment'!Y16-last_qrtr_tempemp!Z16</f>
        <v>4.1000000000000005</v>
      </c>
      <c r="Z16" s="286">
        <f>'Data-temp_employment'!Z16-last_qrtr_tempemp!AA16</f>
        <v>10.5</v>
      </c>
      <c r="AA16" s="286">
        <f>'Data-temp_employment'!AA16-last_qrtr_tempemp!AB16</f>
        <v>8.2000000000000011</v>
      </c>
      <c r="AB16" s="286">
        <f>'Data-temp_employment'!AB16-last_qrtr_tempemp!AC16</f>
        <v>0.90000000000000036</v>
      </c>
      <c r="AC16" s="286">
        <f>'Data-temp_employment'!AC16-last_qrtr_tempemp!AD16</f>
        <v>-5.8000000000000007</v>
      </c>
      <c r="AD16" s="286">
        <f>'Data-temp_employment'!AD16-last_qrtr_tempemp!AE16</f>
        <v>-4.8000000000000007</v>
      </c>
      <c r="AE16" s="286">
        <f>'Data-temp_employment'!AE16-last_qrtr_tempemp!AF16</f>
        <v>-0.10000000000000142</v>
      </c>
      <c r="AF16" s="286">
        <f>'Data-temp_employment'!AF16-last_qrtr_tempemp!AG16</f>
        <v>1.0999999999999996</v>
      </c>
      <c r="AG16" s="286">
        <f>'Data-temp_employment'!AG16-last_qrtr_tempemp!AH16</f>
        <v>2.8000000000000007</v>
      </c>
      <c r="AH16" s="286">
        <f>'Data-temp_employment'!AH16</f>
        <v>8.5</v>
      </c>
      <c r="AI16" s="285" t="s">
        <v>20</v>
      </c>
      <c r="AJ16" s="286">
        <f>'Data-temp_employment'!AJ16-last_qrtr_tempemp!AK16</f>
        <v>15.999999999999998</v>
      </c>
      <c r="AK16" s="286">
        <f>'Data-temp_employment'!AK16-last_qrtr_tempemp!AL16</f>
        <v>11.400000000000002</v>
      </c>
      <c r="AL16" s="286">
        <f>'Data-temp_employment'!AL16-last_qrtr_tempemp!AM16</f>
        <v>20.100000000000001</v>
      </c>
      <c r="AM16" s="286">
        <f>'Data-temp_employment'!AM16-last_qrtr_tempemp!AN16</f>
        <v>9</v>
      </c>
      <c r="AN16" s="286">
        <f>'Data-temp_employment'!AN16-last_qrtr_tempemp!AO16</f>
        <v>-11.200000000000003</v>
      </c>
      <c r="AO16" s="286">
        <f>'Data-temp_employment'!AO16-last_qrtr_tempemp!AP16</f>
        <v>-12</v>
      </c>
      <c r="AP16" s="286">
        <f>'Data-temp_employment'!AP16-last_qrtr_tempemp!AQ16</f>
        <v>-6.5</v>
      </c>
      <c r="AQ16" s="286">
        <f>'Data-temp_employment'!AQ16-last_qrtr_tempemp!AR16</f>
        <v>2.4000000000000021</v>
      </c>
      <c r="AR16" s="286">
        <f>'Data-temp_employment'!AR16-last_qrtr_tempemp!AS16</f>
        <v>-9.1000000000000014</v>
      </c>
      <c r="AS16" s="286">
        <f>'Data-temp_employment'!AS16</f>
        <v>18.899999999999999</v>
      </c>
      <c r="AT16" s="285" t="s">
        <v>20</v>
      </c>
      <c r="AU16" s="286">
        <f>'Data-temp_employment'!AU16-last_qrtr_tempemp!AV16</f>
        <v>20.900000000000002</v>
      </c>
      <c r="AV16" s="286">
        <f>'Data-temp_employment'!AV16-last_qrtr_tempemp!AW16</f>
        <v>25.5</v>
      </c>
      <c r="AW16" s="286">
        <f>'Data-temp_employment'!AW16-last_qrtr_tempemp!AX16</f>
        <v>26.9</v>
      </c>
      <c r="AX16" s="286">
        <f>'Data-temp_employment'!AX16-last_qrtr_tempemp!AY16</f>
        <v>-12.200000000000003</v>
      </c>
      <c r="AY16" s="286">
        <f>'Data-temp_employment'!AY16-last_qrtr_tempemp!AZ16</f>
        <v>-8.1000000000000014</v>
      </c>
      <c r="AZ16" s="286">
        <f>'Data-temp_employment'!AZ16-last_qrtr_tempemp!BA16</f>
        <v>-6.7999999999999972</v>
      </c>
      <c r="BA16" s="286">
        <f>'Data-temp_employment'!BA16-last_qrtr_tempemp!BB16</f>
        <v>4</v>
      </c>
      <c r="BB16" s="286">
        <f>'Data-temp_employment'!BB16-last_qrtr_tempemp!BC16</f>
        <v>-15.699999999999996</v>
      </c>
      <c r="BC16" s="286">
        <f>'Data-temp_employment'!BC16-last_qrtr_tempemp!BD16</f>
        <v>-7</v>
      </c>
      <c r="BD16" s="286">
        <f>'Data-temp_employment'!BD16</f>
        <v>39.200000000000003</v>
      </c>
      <c r="BE16" s="285" t="s">
        <v>20</v>
      </c>
      <c r="BF16" s="286">
        <f>'Data-temp_employment'!BF16-last_qrtr_tempemp!BG16</f>
        <v>29.099999999999994</v>
      </c>
      <c r="BG16" s="286">
        <f>'Data-temp_employment'!BG16-last_qrtr_tempemp!BH16</f>
        <v>32.800000000000004</v>
      </c>
      <c r="BH16" s="286">
        <f>'Data-temp_employment'!BH16-last_qrtr_tempemp!BI16</f>
        <v>26.700000000000003</v>
      </c>
      <c r="BI16" s="286">
        <f>'Data-temp_employment'!BI16-last_qrtr_tempemp!BJ16</f>
        <v>-7.3999999999999915</v>
      </c>
      <c r="BJ16" s="286">
        <f>'Data-temp_employment'!BJ16-last_qrtr_tempemp!BK16</f>
        <v>-4.9000000000000057</v>
      </c>
      <c r="BK16" s="286">
        <f>'Data-temp_employment'!BK16-last_qrtr_tempemp!BL16</f>
        <v>7.7000000000000028</v>
      </c>
      <c r="BL16" s="286">
        <f>'Data-temp_employment'!BL16-last_qrtr_tempemp!BM16</f>
        <v>-4.5000000000000071</v>
      </c>
      <c r="BM16" s="286">
        <f>'Data-temp_employment'!BM16-last_qrtr_tempemp!BN16</f>
        <v>-9.6000000000000014</v>
      </c>
      <c r="BN16" s="286">
        <f>'Data-temp_employment'!BN16-last_qrtr_tempemp!BO16</f>
        <v>-13.700000000000003</v>
      </c>
      <c r="BO16" s="286">
        <f>'Data-temp_employment'!BO16</f>
        <v>55.8</v>
      </c>
      <c r="BP16" s="285" t="s">
        <v>20</v>
      </c>
      <c r="BQ16" s="286">
        <f>'Data-temp_employment'!BQ16-last_qrtr_tempemp!BR16</f>
        <v>32.599999999999987</v>
      </c>
      <c r="BR16" s="286">
        <f>'Data-temp_employment'!BR16-last_qrtr_tempemp!BS16</f>
        <v>17.600000000000001</v>
      </c>
      <c r="BS16" s="286">
        <f>'Data-temp_employment'!BS16-last_qrtr_tempemp!BT16</f>
        <v>29.599999999999994</v>
      </c>
      <c r="BT16" s="286">
        <f>'Data-temp_employment'!BT16-last_qrtr_tempemp!BU16</f>
        <v>-5.0999999999999872</v>
      </c>
      <c r="BU16" s="286">
        <f>'Data-temp_employment'!BU16-last_qrtr_tempemp!BV16</f>
        <v>13</v>
      </c>
      <c r="BV16" s="286">
        <f>'Data-temp_employment'!BV16-last_qrtr_tempemp!BW16</f>
        <v>1.7000000000000028</v>
      </c>
      <c r="BW16" s="286">
        <f>'Data-temp_employment'!BW16-last_qrtr_tempemp!BX16</f>
        <v>0.19999999999999574</v>
      </c>
      <c r="BX16" s="286">
        <f>'Data-temp_employment'!BX16-last_qrtr_tempemp!BY16</f>
        <v>-12.300000000000004</v>
      </c>
      <c r="BY16" s="286">
        <f>'Data-temp_employment'!BY16-last_qrtr_tempemp!BZ16</f>
        <v>2.2000000000000028</v>
      </c>
      <c r="BZ16" s="286">
        <f>'Data-temp_employment'!BZ16</f>
        <v>66.800000000000011</v>
      </c>
      <c r="CA16" s="285" t="s">
        <v>20</v>
      </c>
      <c r="CB16" s="286">
        <f>'Data-temp_employment'!CB16-last_qrtr_tempemp!CC16</f>
        <v>46.299999999999983</v>
      </c>
      <c r="CC16" s="286">
        <f>'Data-temp_employment'!CC16-last_qrtr_tempemp!CD16</f>
        <v>53.100000000000009</v>
      </c>
      <c r="CD16" s="286">
        <f>'Data-temp_employment'!CD16-last_qrtr_tempemp!CE16</f>
        <v>45.7</v>
      </c>
      <c r="CE16" s="286">
        <f>'Data-temp_employment'!CE16-last_qrtr_tempemp!CF16</f>
        <v>-9.2999999999999829</v>
      </c>
      <c r="CF16" s="286">
        <f>'Data-temp_employment'!CF16-last_qrtr_tempemp!CG16</f>
        <v>7</v>
      </c>
      <c r="CG16" s="286">
        <f>'Data-temp_employment'!CG16-last_qrtr_tempemp!CH16</f>
        <v>13.299999999999997</v>
      </c>
      <c r="CH16" s="286">
        <f>'Data-temp_employment'!CH16-last_qrtr_tempemp!CI16</f>
        <v>-1.1000000000000085</v>
      </c>
      <c r="CI16" s="286">
        <f>'Data-temp_employment'!CI16-last_qrtr_tempemp!CJ16</f>
        <v>-1.7000000000000171</v>
      </c>
      <c r="CJ16" s="286">
        <f>'Data-temp_employment'!CJ16-last_qrtr_tempemp!CK16</f>
        <v>-14.100000000000009</v>
      </c>
      <c r="CK16" s="286">
        <f>'Data-temp_employment'!CK16</f>
        <v>107.89999999999999</v>
      </c>
      <c r="CL16" s="285" t="s">
        <v>20</v>
      </c>
      <c r="CM16" s="286">
        <f>'Data-temp_employment'!CM16-last_qrtr_tempemp!CN16</f>
        <v>21.200000000000003</v>
      </c>
      <c r="CN16" s="286">
        <f>'Data-temp_employment'!CN16-last_qrtr_tempemp!CO16</f>
        <v>25.700000000000003</v>
      </c>
      <c r="CO16" s="286">
        <f>'Data-temp_employment'!CO16-last_qrtr_tempemp!CP16</f>
        <v>29.499999999999993</v>
      </c>
      <c r="CP16" s="286">
        <f>'Data-temp_employment'!CP16-last_qrtr_tempemp!CQ16</f>
        <v>-5.5</v>
      </c>
      <c r="CQ16" s="286">
        <f>'Data-temp_employment'!CQ16-last_qrtr_tempemp!CR16</f>
        <v>16.799999999999997</v>
      </c>
      <c r="CR16" s="286">
        <f>'Data-temp_employment'!CR16-last_qrtr_tempemp!CS16</f>
        <v>17.600000000000009</v>
      </c>
      <c r="CS16" s="286">
        <f>'Data-temp_employment'!CS16-last_qrtr_tempemp!CT16</f>
        <v>17.099999999999994</v>
      </c>
      <c r="CT16" s="286">
        <f>'Data-temp_employment'!CT16-last_qrtr_tempemp!CU16</f>
        <v>-14.099999999999994</v>
      </c>
      <c r="CU16" s="286">
        <f>'Data-temp_employment'!CU16-last_qrtr_tempemp!CV16</f>
        <v>-8</v>
      </c>
      <c r="CV16" s="286">
        <f>'Data-temp_employment'!CV16</f>
        <v>106.7</v>
      </c>
      <c r="CW16" s="285" t="s">
        <v>20</v>
      </c>
      <c r="CX16" s="286">
        <f>'Data-temp_employment'!CX16-last_qrtr_tempemp!CY16</f>
        <v>59.900000000000006</v>
      </c>
      <c r="CY16" s="286">
        <f>'Data-temp_employment'!CY16-last_qrtr_tempemp!CZ16</f>
        <v>51.100000000000009</v>
      </c>
      <c r="CZ16" s="286">
        <f>'Data-temp_employment'!CZ16-last_qrtr_tempemp!DA16</f>
        <v>54.5</v>
      </c>
      <c r="DA16" s="286">
        <f>'Data-temp_employment'!DA16-last_qrtr_tempemp!DB16</f>
        <v>-14.900000000000006</v>
      </c>
      <c r="DB16" s="286">
        <f>'Data-temp_employment'!DB16-last_qrtr_tempemp!DC16</f>
        <v>-25.300000000000011</v>
      </c>
      <c r="DC16" s="286">
        <f>'Data-temp_employment'!DC16-last_qrtr_tempemp!DD16</f>
        <v>-11.100000000000009</v>
      </c>
      <c r="DD16" s="286">
        <f>'Data-temp_employment'!DD16-last_qrtr_tempemp!DE16</f>
        <v>-11.799999999999997</v>
      </c>
      <c r="DE16" s="286">
        <f>'Data-temp_employment'!DE16-last_qrtr_tempemp!DF16</f>
        <v>1.6000000000000085</v>
      </c>
      <c r="DF16" s="286">
        <f>'Data-temp_employment'!DF16-last_qrtr_tempemp!DG16</f>
        <v>-18.099999999999994</v>
      </c>
      <c r="DG16" s="286">
        <f>'Data-temp_employment'!DG16</f>
        <v>106.3</v>
      </c>
      <c r="DH16" s="285" t="s">
        <v>20</v>
      </c>
      <c r="DI16" s="286">
        <f>'Data-temp_employment'!DI16-last_qrtr_tempemp!DJ16</f>
        <v>31.099999999999994</v>
      </c>
      <c r="DJ16" s="286">
        <f>'Data-temp_employment'!DJ16-last_qrtr_tempemp!DK16</f>
        <v>31.099999999999994</v>
      </c>
      <c r="DK16" s="286">
        <f>'Data-temp_employment'!DK16-last_qrtr_tempemp!DL16</f>
        <v>29.099999999999994</v>
      </c>
      <c r="DL16" s="286">
        <f>'Data-temp_employment'!DL16-last_qrtr_tempemp!DM16</f>
        <v>-6</v>
      </c>
      <c r="DM16" s="286">
        <f>'Data-temp_employment'!DM16-last_qrtr_tempemp!DN16</f>
        <v>-3.4000000000000057</v>
      </c>
      <c r="DN16" s="286">
        <f>'Data-temp_employment'!DN16-last_qrtr_tempemp!DO16</f>
        <v>-5.8999999999999915</v>
      </c>
      <c r="DO16" s="286">
        <f>'Data-temp_employment'!DO16-last_qrtr_tempemp!DP16</f>
        <v>-7</v>
      </c>
      <c r="DP16" s="286">
        <f>'Data-temp_employment'!DP16-last_qrtr_tempemp!DQ16</f>
        <v>-9.7999999999999972</v>
      </c>
      <c r="DQ16" s="286">
        <f>'Data-temp_employment'!DQ16-last_qrtr_tempemp!DR16</f>
        <v>-4.4000000000000057</v>
      </c>
      <c r="DR16" s="286">
        <f>'Data-temp_employment'!DR16</f>
        <v>76</v>
      </c>
      <c r="DS16" s="285" t="s">
        <v>20</v>
      </c>
      <c r="DT16" s="286">
        <f>'Data-temp_employment'!DT16-last_qrtr_tempemp!DU16</f>
        <v>15.200000000000001</v>
      </c>
      <c r="DU16" s="286">
        <f>'Data-temp_employment'!DU16-last_qrtr_tempemp!DV16</f>
        <v>16.100000000000001</v>
      </c>
      <c r="DV16" s="286">
        <f>'Data-temp_employment'!DV16-last_qrtr_tempemp!DW16</f>
        <v>16.5</v>
      </c>
      <c r="DW16" s="286">
        <f>'Data-temp_employment'!DW16-last_qrtr_tempemp!DX16</f>
        <v>2.3999999999999986</v>
      </c>
      <c r="DX16" s="286">
        <f>'Data-temp_employment'!DX16-last_qrtr_tempemp!DY16</f>
        <v>1.8000000000000007</v>
      </c>
      <c r="DY16" s="286">
        <f>'Data-temp_employment'!DY16-last_qrtr_tempemp!DZ16</f>
        <v>-1.4000000000000004</v>
      </c>
      <c r="DZ16" s="286">
        <f>'Data-temp_employment'!DZ16-last_qrtr_tempemp!EA16</f>
        <v>-6.5</v>
      </c>
      <c r="EA16" s="286">
        <f>'Data-temp_employment'!EA16-last_qrtr_tempemp!EB16</f>
        <v>-13.3</v>
      </c>
      <c r="EB16" s="286">
        <f>'Data-temp_employment'!EB16-last_qrtr_tempemp!EC16</f>
        <v>-8.1</v>
      </c>
      <c r="EC16" s="286">
        <f>'Data-temp_employment'!EC16</f>
        <v>8.1</v>
      </c>
      <c r="ED16" s="285" t="s">
        <v>20</v>
      </c>
      <c r="EE16" s="286">
        <f>'Data-temp_employment'!EE16-last_qrtr_tempemp!EF16</f>
        <v>0</v>
      </c>
      <c r="EF16" s="286">
        <f>'Data-temp_employment'!EF16-last_qrtr_tempemp!EG16</f>
        <v>0</v>
      </c>
      <c r="EG16" s="286">
        <f>'Data-temp_employment'!EG16-last_qrtr_tempemp!EH16</f>
        <v>0</v>
      </c>
      <c r="EH16" s="286">
        <f>'Data-temp_employment'!EH16-last_qrtr_tempemp!EI16</f>
        <v>0</v>
      </c>
      <c r="EI16" s="286">
        <f>'Data-temp_employment'!EI16-last_qrtr_tempemp!EJ16</f>
        <v>0</v>
      </c>
      <c r="EJ16" s="286">
        <f>'Data-temp_employment'!EJ16-last_qrtr_tempemp!EK16</f>
        <v>0</v>
      </c>
      <c r="EK16" s="286">
        <f>'Data-temp_employment'!EK16-last_qrtr_tempemp!EL16</f>
        <v>0</v>
      </c>
      <c r="EL16" s="286">
        <f>'Data-temp_employment'!EL16-last_qrtr_tempemp!EM16</f>
        <v>0</v>
      </c>
      <c r="EM16" s="286">
        <f>'Data-temp_employment'!EM16-last_qrtr_tempemp!EN16</f>
        <v>0</v>
      </c>
      <c r="EN16" s="286">
        <f>'Data-temp_employment'!EN16</f>
        <v>0</v>
      </c>
      <c r="EO16" s="285" t="s">
        <v>20</v>
      </c>
      <c r="EP16" s="286">
        <f>'Data-temp_employment'!EP16-last_qrtr_tempemp!EQ16</f>
        <v>22</v>
      </c>
      <c r="EQ16" s="286">
        <f>'Data-temp_employment'!EQ16-last_qrtr_tempemp!ER16</f>
        <v>22.799999999999997</v>
      </c>
      <c r="ER16" s="286">
        <f>'Data-temp_employment'!ER16-last_qrtr_tempemp!ES16</f>
        <v>24.300000000000004</v>
      </c>
      <c r="ES16" s="286">
        <f>'Data-temp_employment'!ES16-last_qrtr_tempemp!ET16</f>
        <v>5.7000000000000028</v>
      </c>
      <c r="ET16" s="286">
        <f>'Data-temp_employment'!ET16-last_qrtr_tempemp!EU16</f>
        <v>-2.7999999999999972</v>
      </c>
      <c r="EU16" s="286">
        <f>'Data-temp_employment'!EU16-last_qrtr_tempemp!EV16</f>
        <v>-3.5</v>
      </c>
      <c r="EV16" s="286">
        <f>'Data-temp_employment'!EV16-last_qrtr_tempemp!EW16</f>
        <v>-13</v>
      </c>
      <c r="EW16" s="286">
        <f>'Data-temp_employment'!EW16-last_qrtr_tempemp!EX16</f>
        <v>-7.2000000000000028</v>
      </c>
      <c r="EX16" s="286">
        <f>'Data-temp_employment'!EX16-last_qrtr_tempemp!EY16</f>
        <v>-7.0000000000000071</v>
      </c>
      <c r="EY16" s="286">
        <f>'Data-temp_employment'!EY16</f>
        <v>54.5</v>
      </c>
      <c r="EZ16" s="285" t="s">
        <v>20</v>
      </c>
      <c r="FA16" s="286">
        <f>'Data-temp_employment'!FA16-last_qrtr_tempemp!FB16</f>
        <v>7.9000000000000021</v>
      </c>
      <c r="FB16" s="286">
        <f>'Data-temp_employment'!FB16-last_qrtr_tempemp!FC16</f>
        <v>15.900000000000002</v>
      </c>
      <c r="FC16" s="286">
        <f>'Data-temp_employment'!FC16-last_qrtr_tempemp!FD16</f>
        <v>11.799999999999997</v>
      </c>
      <c r="FD16" s="286">
        <f>'Data-temp_employment'!FD16-last_qrtr_tempemp!FE16</f>
        <v>-5.1000000000000014</v>
      </c>
      <c r="FE16" s="286">
        <f>'Data-temp_employment'!FE16-last_qrtr_tempemp!FF16</f>
        <v>-6.6000000000000014</v>
      </c>
      <c r="FF16" s="286">
        <f>'Data-temp_employment'!FF16-last_qrtr_tempemp!FG16</f>
        <v>-0.10000000000000142</v>
      </c>
      <c r="FG16" s="286">
        <f>'Data-temp_employment'!FG16-last_qrtr_tempemp!FH16</f>
        <v>1</v>
      </c>
      <c r="FH16" s="286">
        <f>'Data-temp_employment'!FH16-last_qrtr_tempemp!FI16</f>
        <v>-4.1999999999999993</v>
      </c>
      <c r="FI16" s="286">
        <f>'Data-temp_employment'!FI16-last_qrtr_tempemp!FJ16</f>
        <v>-8.1999999999999957</v>
      </c>
      <c r="FJ16" s="286">
        <f>'Data-temp_employment'!FJ16</f>
        <v>24.5</v>
      </c>
      <c r="FK16" s="285" t="s">
        <v>20</v>
      </c>
      <c r="FL16" s="286">
        <f>'Data-temp_employment'!FL16-last_qrtr_tempemp!FM16</f>
        <v>7.5999999999999979</v>
      </c>
      <c r="FM16" s="286">
        <f>'Data-temp_employment'!FM16-last_qrtr_tempemp!FN16</f>
        <v>2.3000000000000007</v>
      </c>
      <c r="FN16" s="286">
        <f>'Data-temp_employment'!FN16-last_qrtr_tempemp!FO16</f>
        <v>12.5</v>
      </c>
      <c r="FO16" s="286">
        <f>'Data-temp_employment'!FO16-last_qrtr_tempemp!FP16</f>
        <v>4.1000000000000014</v>
      </c>
      <c r="FP16" s="286">
        <f>'Data-temp_employment'!FP16-last_qrtr_tempemp!FQ16</f>
        <v>-0.30000000000000071</v>
      </c>
      <c r="FQ16" s="286">
        <f>'Data-temp_employment'!FQ16-last_qrtr_tempemp!FR16</f>
        <v>-7.1999999999999993</v>
      </c>
      <c r="FR16" s="286">
        <f>'Data-temp_employment'!FR16-last_qrtr_tempemp!FS16</f>
        <v>-2.5</v>
      </c>
      <c r="FS16" s="286">
        <f>'Data-temp_employment'!FS16-last_qrtr_tempemp!FT16</f>
        <v>2.6999999999999993</v>
      </c>
      <c r="FT16" s="286">
        <f>'Data-temp_employment'!FT16-last_qrtr_tempemp!FU16</f>
        <v>-3.5</v>
      </c>
      <c r="FU16" s="286">
        <f>'Data-temp_employment'!FU16</f>
        <v>18.2</v>
      </c>
      <c r="FV16" s="285" t="s">
        <v>20</v>
      </c>
      <c r="FW16" s="286">
        <f>'Data-temp_employment'!FW16-last_qrtr_tempemp!FX16</f>
        <v>49.5</v>
      </c>
      <c r="FX16" s="286">
        <f>'Data-temp_employment'!FX16-last_qrtr_tempemp!FY16</f>
        <v>50.2</v>
      </c>
      <c r="FY16" s="286">
        <f>'Data-temp_employment'!FY16-last_qrtr_tempemp!FZ16</f>
        <v>34.700000000000003</v>
      </c>
      <c r="FZ16" s="286">
        <f>'Data-temp_employment'!FZ16-last_qrtr_tempemp!GA16</f>
        <v>-14.100000000000009</v>
      </c>
      <c r="GA16" s="286">
        <f>'Data-temp_employment'!GA16-last_qrtr_tempemp!GB16</f>
        <v>-5</v>
      </c>
      <c r="GB16" s="286">
        <f>'Data-temp_employment'!GB16-last_qrtr_tempemp!GC16</f>
        <v>8.2999999999999972</v>
      </c>
      <c r="GC16" s="286">
        <f>'Data-temp_employment'!GC16-last_qrtr_tempemp!GD16</f>
        <v>1.5</v>
      </c>
      <c r="GD16" s="286">
        <f>'Data-temp_employment'!GD16-last_qrtr_tempemp!GE16</f>
        <v>-9.7000000000000028</v>
      </c>
      <c r="GE16" s="286">
        <f>'Data-temp_employment'!GE16-last_qrtr_tempemp!GF16</f>
        <v>-7.5999999999999943</v>
      </c>
      <c r="GF16" s="286">
        <f>'Data-temp_employment'!GF16</f>
        <v>98.6</v>
      </c>
      <c r="GG16" s="285" t="s">
        <v>20</v>
      </c>
      <c r="GH16" s="286">
        <f>'Data-temp_employment'!GH16-last_qrtr_tempemp!GI16</f>
        <v>0</v>
      </c>
      <c r="GI16" s="286">
        <f>'Data-temp_employment'!GI16-last_qrtr_tempemp!GJ16</f>
        <v>-4.3</v>
      </c>
      <c r="GJ16" s="286">
        <f>'Data-temp_employment'!GJ16-last_qrtr_tempemp!GK16</f>
        <v>5.3</v>
      </c>
      <c r="GK16" s="286">
        <f>'Data-temp_employment'!GK16-last_qrtr_tempemp!GL16</f>
        <v>6.3</v>
      </c>
      <c r="GL16" s="286">
        <f>'Data-temp_employment'!GL16-last_qrtr_tempemp!GM16</f>
        <v>0</v>
      </c>
      <c r="GM16" s="286">
        <f>'Data-temp_employment'!GM16-last_qrtr_tempemp!GN16</f>
        <v>0.90000000000000036</v>
      </c>
      <c r="GN16" s="286">
        <f>'Data-temp_employment'!GN16-last_qrtr_tempemp!GO16</f>
        <v>-6.3</v>
      </c>
      <c r="GO16" s="286">
        <f>'Data-temp_employment'!GO16-last_qrtr_tempemp!GP16</f>
        <v>0</v>
      </c>
      <c r="GP16" s="286">
        <f>'Data-temp_employment'!GP16-last_qrtr_tempemp!GQ16</f>
        <v>-1.2999999999999998</v>
      </c>
      <c r="GQ16" s="286">
        <f>'Data-temp_employment'!GQ16</f>
        <v>4.8</v>
      </c>
      <c r="GR16" s="285" t="s">
        <v>20</v>
      </c>
      <c r="GS16" s="286">
        <f>'Data-temp_employment'!GS16-last_qrtr_tempemp!GT16</f>
        <v>1.2999999999999972</v>
      </c>
      <c r="GT16" s="286">
        <f>'Data-temp_employment'!GT16-last_qrtr_tempemp!GU16</f>
        <v>1.5</v>
      </c>
      <c r="GU16" s="286">
        <f>'Data-temp_employment'!GU16-last_qrtr_tempemp!GV16</f>
        <v>0.19999999999999929</v>
      </c>
      <c r="GV16" s="286">
        <f>'Data-temp_employment'!GV16-last_qrtr_tempemp!GW16</f>
        <v>-5.2999999999999972</v>
      </c>
      <c r="GW16" s="286">
        <f>'Data-temp_employment'!GW16-last_qrtr_tempemp!GX16</f>
        <v>-0.39999999999999858</v>
      </c>
      <c r="GX16" s="286">
        <f>'Data-temp_employment'!GX16-last_qrtr_tempemp!GY16</f>
        <v>6</v>
      </c>
      <c r="GY16" s="286">
        <f>'Data-temp_employment'!GY16-last_qrtr_tempemp!GZ16</f>
        <v>3.0999999999999979</v>
      </c>
      <c r="GZ16" s="286">
        <f>'Data-temp_employment'!GZ16-last_qrtr_tempemp!HA16</f>
        <v>-6.1999999999999993</v>
      </c>
      <c r="HA16" s="286">
        <f>'Data-temp_employment'!HA16-last_qrtr_tempemp!HB16</f>
        <v>-5.1999999999999993</v>
      </c>
      <c r="HB16" s="286">
        <f>'Data-temp_employment'!HB16</f>
        <v>25.6</v>
      </c>
      <c r="HC16" s="285" t="s">
        <v>20</v>
      </c>
      <c r="HD16" s="286">
        <f>'Data-temp_employment'!HD16-last_qrtr_tempemp!HE16</f>
        <v>2.3999999999999995</v>
      </c>
      <c r="HE16" s="286">
        <f>'Data-temp_employment'!HE16-last_qrtr_tempemp!HF16</f>
        <v>4.8999999999999995</v>
      </c>
      <c r="HF16" s="286">
        <f>'Data-temp_employment'!HF16-last_qrtr_tempemp!HG16</f>
        <v>8.3000000000000007</v>
      </c>
      <c r="HG16" s="286">
        <f>'Data-temp_employment'!HG16-last_qrtr_tempemp!HH16</f>
        <v>2.2999999999999998</v>
      </c>
      <c r="HH16" s="286">
        <f>'Data-temp_employment'!HH16-last_qrtr_tempemp!HI16</f>
        <v>-2.1999999999999993</v>
      </c>
      <c r="HI16" s="286">
        <f>'Data-temp_employment'!HI16-last_qrtr_tempemp!HJ16</f>
        <v>2.2999999999999989</v>
      </c>
      <c r="HJ16" s="286">
        <f>'Data-temp_employment'!HJ16-last_qrtr_tempemp!HK16</f>
        <v>-0.79999999999999893</v>
      </c>
      <c r="HK16" s="286">
        <f>'Data-temp_employment'!HK16-last_qrtr_tempemp!HL16</f>
        <v>-1.0999999999999996</v>
      </c>
      <c r="HL16" s="286">
        <f>'Data-temp_employment'!HL16-last_qrtr_tempemp!HM16</f>
        <v>-5.0999999999999996</v>
      </c>
      <c r="HM16" s="286">
        <f>'Data-temp_employment'!HM16</f>
        <v>8.5</v>
      </c>
      <c r="HN16" s="285" t="s">
        <v>20</v>
      </c>
      <c r="HO16" s="286">
        <f>'Data-temp_employment'!HO16-last_qrtr_tempemp!HP16</f>
        <v>4.2999999999999972</v>
      </c>
      <c r="HP16" s="286">
        <f>'Data-temp_employment'!HP16-last_qrtr_tempemp!HQ16</f>
        <v>23.8</v>
      </c>
      <c r="HQ16" s="286">
        <f>'Data-temp_employment'!HQ16-last_qrtr_tempemp!HR16</f>
        <v>31.099999999999998</v>
      </c>
      <c r="HR16" s="286">
        <f>'Data-temp_employment'!HR16-last_qrtr_tempemp!HS16</f>
        <v>14.300000000000004</v>
      </c>
      <c r="HS16" s="286">
        <f>'Data-temp_employment'!HS16-last_qrtr_tempemp!HT16</f>
        <v>0.60000000000000142</v>
      </c>
      <c r="HT16" s="286">
        <f>'Data-temp_employment'!HT16-last_qrtr_tempemp!HU16</f>
        <v>-4.1000000000000014</v>
      </c>
      <c r="HU16" s="286">
        <f>'Data-temp_employment'!HU16-last_qrtr_tempemp!HV16</f>
        <v>8.2999999999999972</v>
      </c>
      <c r="HV16" s="286">
        <f>'Data-temp_employment'!HV16-last_qrtr_tempemp!HW16</f>
        <v>-1.7000000000000028</v>
      </c>
      <c r="HW16" s="286">
        <f>'Data-temp_employment'!HW16-last_qrtr_tempemp!HX16</f>
        <v>-0.29999999999999716</v>
      </c>
      <c r="HX16" s="286">
        <f>'Data-temp_employment'!HX16</f>
        <v>55.2</v>
      </c>
      <c r="HY16" s="285" t="s">
        <v>20</v>
      </c>
      <c r="HZ16" s="286">
        <f>'Data-temp_employment'!HZ16-last_qrtr_tempemp!IA16</f>
        <v>0</v>
      </c>
      <c r="IA16" s="286">
        <f>'Data-temp_employment'!IA16-last_qrtr_tempemp!IB16</f>
        <v>0</v>
      </c>
      <c r="IB16" s="286">
        <f>'Data-temp_employment'!IB16-last_qrtr_tempemp!IC16</f>
        <v>0</v>
      </c>
      <c r="IC16" s="286">
        <f>'Data-temp_employment'!IC16-last_qrtr_tempemp!ID16</f>
        <v>0</v>
      </c>
      <c r="ID16" s="286">
        <f>'Data-temp_employment'!ID16-last_qrtr_tempemp!IE16</f>
        <v>0</v>
      </c>
      <c r="IE16" s="286">
        <f>'Data-temp_employment'!IE16-last_qrtr_tempemp!IF16</f>
        <v>0</v>
      </c>
      <c r="IF16" s="286">
        <f>'Data-temp_employment'!IF16-last_qrtr_tempemp!IG16</f>
        <v>0</v>
      </c>
      <c r="IG16" s="286">
        <f>'Data-temp_employment'!IG16-last_qrtr_tempemp!IH16</f>
        <v>0</v>
      </c>
      <c r="IH16" s="286">
        <f>'Data-temp_employment'!IH16-last_qrtr_tempemp!II16</f>
        <v>0</v>
      </c>
      <c r="II16" s="286">
        <f>'Data-temp_employment'!II16</f>
        <v>0</v>
      </c>
      <c r="IJ16" s="285" t="s">
        <v>20</v>
      </c>
      <c r="IK16" s="286">
        <f>'Data-temp_employment'!IK16-last_qrtr_tempemp!IL16</f>
        <v>0</v>
      </c>
      <c r="IL16" s="286">
        <f>'Data-temp_employment'!IL16-last_qrtr_tempemp!IM16</f>
        <v>0</v>
      </c>
      <c r="IM16" s="286">
        <f>'Data-temp_employment'!IM16-last_qrtr_tempemp!IN16</f>
        <v>0</v>
      </c>
      <c r="IN16" s="286">
        <f>'Data-temp_employment'!IN16-last_qrtr_tempemp!IO16</f>
        <v>0</v>
      </c>
      <c r="IO16" s="286">
        <f>'Data-temp_employment'!IO16-last_qrtr_tempemp!IP16</f>
        <v>0</v>
      </c>
      <c r="IP16" s="286">
        <f>'Data-temp_employment'!IP16-last_qrtr_tempemp!IQ16</f>
        <v>0</v>
      </c>
      <c r="IQ16" s="286">
        <f>'Data-temp_employment'!IQ16-last_qrtr_tempemp!IR16</f>
        <v>0</v>
      </c>
      <c r="IR16" s="286">
        <f>'Data-temp_employment'!IR16-last_qrtr_tempemp!IS16</f>
        <v>0</v>
      </c>
      <c r="IS16" s="286">
        <f>'Data-temp_employment'!IS16-last_qrtr_tempemp!IT16</f>
        <v>0</v>
      </c>
      <c r="IT16" s="286">
        <f>'Data-temp_employment'!IT16</f>
        <v>0</v>
      </c>
      <c r="IU16" s="285" t="s">
        <v>20</v>
      </c>
      <c r="IV16" s="286">
        <f>'Data-temp_employment'!IV16-last_qrtr_tempemp!IW16</f>
        <v>0</v>
      </c>
      <c r="IW16" s="286">
        <f>'Data-temp_employment'!IW16-last_qrtr_tempemp!IX16</f>
        <v>7.5</v>
      </c>
      <c r="IX16" s="286">
        <f>'Data-temp_employment'!IX16-last_qrtr_tempemp!IY16</f>
        <v>4.9999999999999991</v>
      </c>
      <c r="IY16" s="286">
        <f>'Data-temp_employment'!IY16-last_qrtr_tempemp!IZ16</f>
        <v>9.4</v>
      </c>
      <c r="IZ16" s="286">
        <f>'Data-temp_employment'!IZ16-last_qrtr_tempemp!JA16</f>
        <v>-2.0999999999999996</v>
      </c>
      <c r="JA16" s="286">
        <f>'Data-temp_employment'!JA16-last_qrtr_tempemp!JB16</f>
        <v>-2.7999999999999989</v>
      </c>
      <c r="JB16" s="286">
        <f>'Data-temp_employment'!JB16-last_qrtr_tempemp!JC16</f>
        <v>-3</v>
      </c>
      <c r="JC16" s="286">
        <f>'Data-temp_employment'!JC16-last_qrtr_tempemp!JD16</f>
        <v>-1</v>
      </c>
      <c r="JD16" s="286">
        <f>'Data-temp_employment'!JD16-last_qrtr_tempemp!JE16</f>
        <v>-1.1000000000000005</v>
      </c>
      <c r="JE16" s="286">
        <f>'Data-temp_employment'!JE16</f>
        <v>0</v>
      </c>
      <c r="JF16" s="285" t="s">
        <v>20</v>
      </c>
      <c r="JG16" s="286">
        <f>'Data-temp_employment'!JG16-last_qrtr_tempemp!JH16</f>
        <v>8.6999999999999993</v>
      </c>
      <c r="JH16" s="286">
        <f>'Data-temp_employment'!JH16-last_qrtr_tempemp!JI16</f>
        <v>6.5999999999999979</v>
      </c>
      <c r="JI16" s="286">
        <f>'Data-temp_employment'!JI16-last_qrtr_tempemp!JJ16</f>
        <v>7.6999999999999993</v>
      </c>
      <c r="JJ16" s="286">
        <f>'Data-temp_employment'!JJ16-last_qrtr_tempemp!JK16</f>
        <v>-3</v>
      </c>
      <c r="JK16" s="286">
        <f>'Data-temp_employment'!JK16-last_qrtr_tempemp!JL16</f>
        <v>-3.5999999999999979</v>
      </c>
      <c r="JL16" s="286">
        <f>'Data-temp_employment'!JL16-last_qrtr_tempemp!JM16</f>
        <v>0.80000000000000071</v>
      </c>
      <c r="JM16" s="286">
        <f>'Data-temp_employment'!JM16-last_qrtr_tempemp!JN16</f>
        <v>1.1999999999999993</v>
      </c>
      <c r="JN16" s="286">
        <f>'Data-temp_employment'!JN16-last_qrtr_tempemp!JO16</f>
        <v>-1</v>
      </c>
      <c r="JO16" s="286">
        <f>'Data-temp_employment'!JO16-last_qrtr_tempemp!JP16</f>
        <v>-2.5</v>
      </c>
      <c r="JP16" s="286">
        <f>'Data-temp_employment'!JP16</f>
        <v>22.6</v>
      </c>
      <c r="JQ16" s="285" t="s">
        <v>20</v>
      </c>
      <c r="JR16" s="286">
        <f>'Data-temp_employment'!JR16-last_qrtr_tempemp!JS16</f>
        <v>5.3000000000000007</v>
      </c>
      <c r="JS16" s="286">
        <f>'Data-temp_employment'!JS16-last_qrtr_tempemp!JT16</f>
        <v>4.1999999999999993</v>
      </c>
      <c r="JT16" s="286">
        <f>'Data-temp_employment'!JT16-last_qrtr_tempemp!JU16</f>
        <v>3.4000000000000004</v>
      </c>
      <c r="JU16" s="286">
        <f>'Data-temp_employment'!JU16-last_qrtr_tempemp!JV16</f>
        <v>-4.1000000000000014</v>
      </c>
      <c r="JV16" s="286">
        <f>'Data-temp_employment'!JV16-last_qrtr_tempemp!JW16</f>
        <v>1.6000000000000014</v>
      </c>
      <c r="JW16" s="286">
        <f>'Data-temp_employment'!JW16-last_qrtr_tempemp!JX16</f>
        <v>-0.30000000000000071</v>
      </c>
      <c r="JX16" s="286">
        <f>'Data-temp_employment'!JX16-last_qrtr_tempemp!JY16</f>
        <v>2.5</v>
      </c>
      <c r="JY16" s="286">
        <f>'Data-temp_employment'!JY16-last_qrtr_tempemp!JZ16</f>
        <v>-3.1999999999999993</v>
      </c>
      <c r="JZ16" s="286">
        <f>'Data-temp_employment'!JZ16-last_qrtr_tempemp!KA16</f>
        <v>-3.0999999999999996</v>
      </c>
      <c r="KA16" s="286">
        <f>'Data-temp_employment'!KA16</f>
        <v>12.5</v>
      </c>
      <c r="KB16" s="285" t="s">
        <v>20</v>
      </c>
      <c r="KC16" s="286">
        <f>'Data-temp_employment'!KC16-last_qrtr_tempemp!KD16</f>
        <v>11.099999999999994</v>
      </c>
      <c r="KD16" s="286">
        <f>'Data-temp_employment'!KD16-last_qrtr_tempemp!KE16</f>
        <v>12.100000000000001</v>
      </c>
      <c r="KE16" s="286">
        <f>'Data-temp_employment'!KE16-last_qrtr_tempemp!KF16</f>
        <v>18.900000000000002</v>
      </c>
      <c r="KF16" s="286">
        <f>'Data-temp_employment'!KF16-last_qrtr_tempemp!KG16</f>
        <v>11.700000000000003</v>
      </c>
      <c r="KG16" s="286">
        <f>'Data-temp_employment'!KG16-last_qrtr_tempemp!KH16</f>
        <v>15.600000000000001</v>
      </c>
      <c r="KH16" s="286">
        <f>'Data-temp_employment'!KH16-last_qrtr_tempemp!KI16</f>
        <v>9.1000000000000014</v>
      </c>
      <c r="KI16" s="286">
        <f>'Data-temp_employment'!KI16-last_qrtr_tempemp!KJ16</f>
        <v>4</v>
      </c>
      <c r="KJ16" s="286">
        <f>'Data-temp_employment'!KJ16-last_qrtr_tempemp!KK16</f>
        <v>-1</v>
      </c>
      <c r="KK16" s="286">
        <f>'Data-temp_employment'!KK16-last_qrtr_tempemp!KL16</f>
        <v>3.1999999999999957</v>
      </c>
      <c r="KL16" s="286">
        <f>'Data-temp_employment'!KL16</f>
        <v>61.4</v>
      </c>
      <c r="KM16" s="285" t="s">
        <v>20</v>
      </c>
      <c r="KN16" s="286">
        <f>'Data-temp_employment'!KN16-last_qrtr_tempemp!KO16</f>
        <v>-1</v>
      </c>
      <c r="KO16" s="286">
        <f>'Data-temp_employment'!KO16-last_qrtr_tempemp!KP16</f>
        <v>-0.70000000000000107</v>
      </c>
      <c r="KP16" s="286">
        <f>'Data-temp_employment'!KP16-last_qrtr_tempemp!KQ16</f>
        <v>5.1000000000000005</v>
      </c>
      <c r="KQ16" s="286">
        <f>'Data-temp_employment'!KQ16-last_qrtr_tempemp!KR16</f>
        <v>4.2000000000000011</v>
      </c>
      <c r="KR16" s="286">
        <f>'Data-temp_employment'!KR16-last_qrtr_tempemp!KS16</f>
        <v>1.7000000000000011</v>
      </c>
      <c r="KS16" s="286">
        <f>'Data-temp_employment'!KS16-last_qrtr_tempemp!KT16</f>
        <v>3.7999999999999989</v>
      </c>
      <c r="KT16" s="286">
        <f>'Data-temp_employment'!KT16-last_qrtr_tempemp!KU16</f>
        <v>0.69999999999999929</v>
      </c>
      <c r="KU16" s="286">
        <f>'Data-temp_employment'!KU16-last_qrtr_tempemp!KV16</f>
        <v>-2</v>
      </c>
      <c r="KV16" s="286">
        <f>'Data-temp_employment'!KV16-last_qrtr_tempemp!KW16</f>
        <v>-6.6</v>
      </c>
      <c r="KW16" s="286">
        <f>'Data-temp_employment'!KW16</f>
        <v>8.1999999999999993</v>
      </c>
      <c r="KX16" s="285" t="s">
        <v>20</v>
      </c>
      <c r="KY16" s="286">
        <f>'Data-temp_employment'!KY16-last_qrtr_tempemp!KZ16</f>
        <v>7.6000000000000014</v>
      </c>
      <c r="KZ16" s="286">
        <f>'Data-temp_employment'!KZ16-last_qrtr_tempemp!LA16</f>
        <v>4.9000000000000004</v>
      </c>
      <c r="LA16" s="286">
        <f>'Data-temp_employment'!LA16-last_qrtr_tempemp!LB16</f>
        <v>11.6</v>
      </c>
      <c r="LB16" s="286">
        <f>'Data-temp_employment'!LB16-last_qrtr_tempemp!LC16</f>
        <v>-3.5</v>
      </c>
      <c r="LC16" s="286">
        <f>'Data-temp_employment'!LC16-last_qrtr_tempemp!LD16</f>
        <v>-5.9</v>
      </c>
      <c r="LD16" s="286">
        <f>'Data-temp_employment'!LD16-last_qrtr_tempemp!LE16</f>
        <v>-1.8999999999999986</v>
      </c>
      <c r="LE16" s="286">
        <f>'Data-temp_employment'!LE16-last_qrtr_tempemp!LF16</f>
        <v>8.5999999999999979</v>
      </c>
      <c r="LF16" s="286">
        <f>'Data-temp_employment'!LF16-last_qrtr_tempemp!LG16</f>
        <v>2.9999999999999982</v>
      </c>
      <c r="LG16" s="286">
        <f>'Data-temp_employment'!LG16-last_qrtr_tempemp!LH16</f>
        <v>-4</v>
      </c>
      <c r="LH16" s="286">
        <f>'Data-temp_employment'!LH16</f>
        <v>19.7</v>
      </c>
      <c r="LI16" s="285" t="s">
        <v>20</v>
      </c>
      <c r="LJ16" s="286">
        <f>'Data-temp_employment'!LJ16-last_qrtr_tempemp!LK16</f>
        <v>5.6999999999999993</v>
      </c>
      <c r="LK16" s="286">
        <f>'Data-temp_employment'!LK16-last_qrtr_tempemp!LL16</f>
        <v>4.8000000000000007</v>
      </c>
      <c r="LL16" s="286">
        <f>'Data-temp_employment'!LL16-last_qrtr_tempemp!LM16</f>
        <v>3.4000000000000004</v>
      </c>
      <c r="LM16" s="286">
        <f>'Data-temp_employment'!LM16-last_qrtr_tempemp!LN16</f>
        <v>-4.3999999999999995</v>
      </c>
      <c r="LN16" s="286">
        <f>'Data-temp_employment'!LN16-last_qrtr_tempemp!LO16</f>
        <v>0.29999999999999893</v>
      </c>
      <c r="LO16" s="286">
        <f>'Data-temp_employment'!LO16-last_qrtr_tempemp!LP16</f>
        <v>-0.20000000000000107</v>
      </c>
      <c r="LP16" s="286">
        <f>'Data-temp_employment'!LP16-last_qrtr_tempemp!LQ16</f>
        <v>0.20000000000000018</v>
      </c>
      <c r="LQ16" s="286">
        <f>'Data-temp_employment'!LQ16-last_qrtr_tempemp!LR16</f>
        <v>-1.6999999999999993</v>
      </c>
      <c r="LR16" s="286">
        <f>'Data-temp_employment'!LR16-last_qrtr_tempemp!LS16</f>
        <v>-0.90000000000000036</v>
      </c>
      <c r="LS16" s="286">
        <f>'Data-temp_employment'!LS16</f>
        <v>5.6</v>
      </c>
      <c r="LT16" s="285" t="s">
        <v>20</v>
      </c>
      <c r="LU16" s="286">
        <f>'Data-temp_employment'!LU16-last_qrtr_tempemp!LV16</f>
        <v>0</v>
      </c>
      <c r="LV16" s="286">
        <f>'Data-temp_employment'!LV16-last_qrtr_tempemp!LW16</f>
        <v>4.0999999999999996</v>
      </c>
      <c r="LW16" s="286">
        <f>'Data-temp_employment'!LW16-last_qrtr_tempemp!LX16</f>
        <v>0</v>
      </c>
      <c r="LX16" s="286">
        <f>'Data-temp_employment'!LX16-last_qrtr_tempemp!LY16</f>
        <v>0</v>
      </c>
      <c r="LY16" s="286">
        <f>'Data-temp_employment'!LY16-last_qrtr_tempemp!LZ16</f>
        <v>0</v>
      </c>
      <c r="LZ16" s="286">
        <f>'Data-temp_employment'!LZ16-last_qrtr_tempemp!MA16</f>
        <v>0</v>
      </c>
      <c r="MA16" s="286">
        <f>'Data-temp_employment'!MA16-last_qrtr_tempemp!MB16</f>
        <v>0</v>
      </c>
      <c r="MB16" s="286">
        <f>'Data-temp_employment'!MB16-last_qrtr_tempemp!MC16</f>
        <v>0</v>
      </c>
      <c r="MC16" s="286">
        <f>'Data-temp_employment'!MC16-last_qrtr_tempemp!MD16</f>
        <v>0</v>
      </c>
      <c r="MD16" s="286">
        <f>'Data-temp_employment'!MD16</f>
        <v>0</v>
      </c>
      <c r="ME16" s="285" t="s">
        <v>20</v>
      </c>
      <c r="MF16" s="286">
        <f>'Data-temp_employment'!MF16-last_qrtr_tempemp!MG16</f>
        <v>4.8999999999999995</v>
      </c>
      <c r="MG16" s="286">
        <f>'Data-temp_employment'!MG16-last_qrtr_tempemp!MH16</f>
        <v>5.9</v>
      </c>
      <c r="MH16" s="286">
        <f>'Data-temp_employment'!MH16-last_qrtr_tempemp!MI16</f>
        <v>5.9</v>
      </c>
      <c r="MI16" s="286">
        <f>'Data-temp_employment'!MI16-last_qrtr_tempemp!MJ16</f>
        <v>2.8000000000000007</v>
      </c>
      <c r="MJ16" s="286">
        <f>'Data-temp_employment'!MJ16-last_qrtr_tempemp!MK16</f>
        <v>-1.3000000000000007</v>
      </c>
      <c r="MK16" s="286">
        <f>'Data-temp_employment'!MK16-last_qrtr_tempemp!ML16</f>
        <v>-7</v>
      </c>
      <c r="ML16" s="286">
        <f>'Data-temp_employment'!ML16-last_qrtr_tempemp!MM16</f>
        <v>-4.1999999999999993</v>
      </c>
      <c r="MM16" s="286">
        <f>'Data-temp_employment'!MM16-last_qrtr_tempemp!MN16</f>
        <v>0.59999999999999964</v>
      </c>
      <c r="MN16" s="286">
        <f>'Data-temp_employment'!MN16-last_qrtr_tempemp!MO16</f>
        <v>1.5</v>
      </c>
      <c r="MO16" s="286">
        <f>'Data-temp_employment'!MO16</f>
        <v>9.9</v>
      </c>
      <c r="MP16" s="285" t="s">
        <v>20</v>
      </c>
      <c r="MQ16" s="286">
        <f>'Data-temp_employment'!MQ16-last_qrtr_tempemp!MR16</f>
        <v>8</v>
      </c>
      <c r="MR16" s="286">
        <f>'Data-temp_employment'!MR16-last_qrtr_tempemp!MS16</f>
        <v>4.1000000000000005</v>
      </c>
      <c r="MS16" s="286">
        <f>'Data-temp_employment'!MS16-last_qrtr_tempemp!MT16</f>
        <v>5.9999999999999991</v>
      </c>
      <c r="MT16" s="286">
        <f>'Data-temp_employment'!MT16-last_qrtr_tempemp!MU16</f>
        <v>-4.2000000000000011</v>
      </c>
      <c r="MU16" s="286">
        <f>'Data-temp_employment'!MU16-last_qrtr_tempemp!MV16</f>
        <v>-1.8000000000000007</v>
      </c>
      <c r="MV16" s="286">
        <f>'Data-temp_employment'!MV16-last_qrtr_tempemp!MW16</f>
        <v>-3.3999999999999986</v>
      </c>
      <c r="MW16" s="286">
        <f>'Data-temp_employment'!MW16-last_qrtr_tempemp!MX16</f>
        <v>4.9000000000000004</v>
      </c>
      <c r="MX16" s="286">
        <f>'Data-temp_employment'!MX16-last_qrtr_tempemp!MY16</f>
        <v>3</v>
      </c>
      <c r="MY16" s="286">
        <f>'Data-temp_employment'!MY16-last_qrtr_tempemp!MZ16</f>
        <v>-0.80000000000000071</v>
      </c>
      <c r="MZ16" s="286">
        <f>'Data-temp_employment'!MZ16</f>
        <v>10.1</v>
      </c>
      <c r="NA16" s="285" t="s">
        <v>20</v>
      </c>
      <c r="NB16" s="286">
        <f>'Data-temp_employment'!NB16-last_qrtr_tempemp!NC16</f>
        <v>2.9000000000000004</v>
      </c>
      <c r="NC16" s="286">
        <f>'Data-temp_employment'!NC16-last_qrtr_tempemp!ND16</f>
        <v>5.4</v>
      </c>
      <c r="ND16" s="286">
        <f>'Data-temp_employment'!ND16-last_qrtr_tempemp!NE16</f>
        <v>8.8000000000000007</v>
      </c>
      <c r="NE16" s="286">
        <f>'Data-temp_employment'!NE16-last_qrtr_tempemp!NF16</f>
        <v>2</v>
      </c>
      <c r="NF16" s="286">
        <f>'Data-temp_employment'!NF16-last_qrtr_tempemp!NG16</f>
        <v>-2.5999999999999996</v>
      </c>
      <c r="NG16" s="286">
        <f>'Data-temp_employment'!NG16-last_qrtr_tempemp!NH16</f>
        <v>1.5999999999999996</v>
      </c>
      <c r="NH16" s="286">
        <f>'Data-temp_employment'!NH16-last_qrtr_tempemp!NI16</f>
        <v>-1.8000000000000007</v>
      </c>
      <c r="NI16" s="286">
        <f>'Data-temp_employment'!NI16-last_qrtr_tempemp!NJ16</f>
        <v>3.7999999999999989</v>
      </c>
      <c r="NJ16" s="286">
        <f>'Data-temp_employment'!NJ16-last_qrtr_tempemp!NK16</f>
        <v>-7.7999999999999989</v>
      </c>
      <c r="NK16" s="286">
        <f>'Data-temp_employment'!NK16</f>
        <v>10.5</v>
      </c>
      <c r="NL16" s="285" t="s">
        <v>20</v>
      </c>
      <c r="NM16" s="286">
        <f>'Data-temp_employment'!NM16-last_qrtr_tempemp!NN16</f>
        <v>13.5</v>
      </c>
      <c r="NN16" s="286">
        <f>'Data-temp_employment'!NN16-last_qrtr_tempemp!NO16</f>
        <v>22</v>
      </c>
      <c r="NO16" s="286">
        <f>'Data-temp_employment'!NO16-last_qrtr_tempemp!NP16</f>
        <v>10</v>
      </c>
      <c r="NP16" s="286">
        <f>'Data-temp_employment'!NP16-last_qrtr_tempemp!NQ16</f>
        <v>-6.1000000000000014</v>
      </c>
      <c r="NQ16" s="286">
        <f>'Data-temp_employment'!NQ16-last_qrtr_tempemp!NR16</f>
        <v>-9.5</v>
      </c>
      <c r="NR16" s="286">
        <f>'Data-temp_employment'!NR16-last_qrtr_tempemp!NS16</f>
        <v>2.8999999999999986</v>
      </c>
      <c r="NS16" s="286">
        <f>'Data-temp_employment'!NS16-last_qrtr_tempemp!NT16</f>
        <v>-7.1000000000000014</v>
      </c>
      <c r="NT16" s="286">
        <f>'Data-temp_employment'!NT16-last_qrtr_tempemp!NU16</f>
        <v>-4.8000000000000043</v>
      </c>
      <c r="NU16" s="286">
        <f>'Data-temp_employment'!NU16-last_qrtr_tempemp!NV16</f>
        <v>-7.7999999999999972</v>
      </c>
      <c r="NV16" s="286">
        <f>'Data-temp_employment'!NV16</f>
        <v>40.9</v>
      </c>
      <c r="NW16" s="285" t="s">
        <v>20</v>
      </c>
      <c r="NX16" s="286">
        <f>'Data-temp_employment'!NX16-last_qrtr_tempemp!NY16</f>
        <v>34.099999999999994</v>
      </c>
      <c r="NY16" s="286">
        <f>'Data-temp_employment'!NY16-last_qrtr_tempemp!NZ16</f>
        <v>37.600000000000009</v>
      </c>
      <c r="NZ16" s="286">
        <f>'Data-temp_employment'!NZ16-last_qrtr_tempemp!OA16</f>
        <v>27.499999999999993</v>
      </c>
      <c r="OA16" s="286">
        <f>'Data-temp_employment'!OA16-last_qrtr_tempemp!OB16</f>
        <v>-4.7000000000000028</v>
      </c>
      <c r="OB16" s="286">
        <f>'Data-temp_employment'!OB16-last_qrtr_tempemp!OC16</f>
        <v>-12.600000000000009</v>
      </c>
      <c r="OC16" s="286">
        <f>'Data-temp_employment'!OC16-last_qrtr_tempemp!OD16</f>
        <v>-1.3999999999999915</v>
      </c>
      <c r="OD16" s="286">
        <f>'Data-temp_employment'!OD16-last_qrtr_tempemp!OE16</f>
        <v>-9.0999999999999943</v>
      </c>
      <c r="OE16" s="286">
        <f>'Data-temp_employment'!OE16-last_qrtr_tempemp!OF16</f>
        <v>-9.3999999999999915</v>
      </c>
      <c r="OF16" s="286">
        <f>'Data-temp_employment'!OF16-last_qrtr_tempemp!OG16</f>
        <v>-6.7999999999999972</v>
      </c>
      <c r="OG16" s="286">
        <f>'Data-temp_employment'!OG16</f>
        <v>64.400000000000006</v>
      </c>
      <c r="OH16" s="287" t="s">
        <v>20</v>
      </c>
      <c r="OI16" s="286"/>
      <c r="OJ16" s="286"/>
      <c r="OK16" s="286"/>
      <c r="OL16" s="286"/>
      <c r="OM16" s="286"/>
      <c r="ON16" s="286"/>
      <c r="OO16" s="286"/>
      <c r="OP16" s="286"/>
      <c r="OQ16" s="286"/>
      <c r="OR16" s="286"/>
      <c r="OS16" s="285" t="s">
        <v>20</v>
      </c>
      <c r="OT16" s="286" t="e">
        <f>'Data-temp_employment'!#REF!-last_qrtr_tempemp!OU16</f>
        <v>#REF!</v>
      </c>
      <c r="OU16" s="286">
        <f>'Data-temp_employment'!OT16-last_qrtr_tempemp!OV16</f>
        <v>0.89999999999999991</v>
      </c>
      <c r="OV16" s="286">
        <f>'Data-temp_employment'!OU16-last_qrtr_tempemp!OW16</f>
        <v>0.7</v>
      </c>
      <c r="OW16" s="286">
        <f>'Data-temp_employment'!OV16-last_qrtr_tempemp!OX16</f>
        <v>0</v>
      </c>
      <c r="OX16" s="286">
        <f>'Data-temp_employment'!OW16-last_qrtr_tempemp!OY16</f>
        <v>0.4</v>
      </c>
      <c r="OY16" s="286">
        <f>'Data-temp_employment'!OX16-last_qrtr_tempemp!OZ16</f>
        <v>1.4</v>
      </c>
      <c r="OZ16" s="286">
        <f>'Data-temp_employment'!OY16-last_qrtr_tempemp!PA16</f>
        <v>-2.7</v>
      </c>
      <c r="PA16" s="286">
        <f>'Data-temp_employment'!OZ16-last_qrtr_tempemp!PB16</f>
        <v>-2.1</v>
      </c>
      <c r="PB16" s="286">
        <f>'Data-temp_employment'!PA16-last_qrtr_tempemp!PC16</f>
        <v>-0.5</v>
      </c>
      <c r="PC16" s="286">
        <f>'Data-temp_employment'!PB16</f>
        <v>0.4</v>
      </c>
      <c r="PE16" s="319"/>
      <c r="PF16" s="319"/>
      <c r="PG16" s="319"/>
      <c r="PH16" s="319"/>
      <c r="PI16" s="319"/>
      <c r="PJ16" s="319"/>
      <c r="PK16" s="319"/>
      <c r="PL16" s="319"/>
      <c r="PM16" s="319"/>
      <c r="PN16" s="319"/>
      <c r="PO16" s="319"/>
      <c r="PP16" s="319"/>
      <c r="PQ16" s="319"/>
      <c r="PR16" s="319"/>
      <c r="PS16" s="319"/>
      <c r="PT16" s="319"/>
      <c r="PU16" s="319"/>
      <c r="PV16" s="319"/>
      <c r="PW16" s="319"/>
      <c r="PX16" s="319"/>
      <c r="PY16" s="319"/>
      <c r="PZ16" s="319"/>
      <c r="QA16" s="319"/>
      <c r="QB16" s="319"/>
      <c r="QC16" s="319"/>
      <c r="QD16" s="319"/>
      <c r="QE16" s="319"/>
      <c r="QF16" s="319"/>
      <c r="QG16" s="319"/>
      <c r="QH16" s="319"/>
      <c r="QI16" s="319"/>
      <c r="QJ16" s="319"/>
      <c r="QK16" s="319"/>
      <c r="QL16" s="319"/>
      <c r="QM16" s="319"/>
      <c r="QN16" s="319"/>
      <c r="QO16" s="319"/>
      <c r="QP16" s="319"/>
      <c r="QQ16" s="319"/>
      <c r="QR16" s="319"/>
      <c r="QS16" s="319"/>
      <c r="QT16" s="319"/>
      <c r="QU16" s="319"/>
      <c r="QV16" s="319"/>
      <c r="QW16" s="319"/>
      <c r="QX16" s="319"/>
      <c r="QY16" s="319"/>
      <c r="QZ16" s="319"/>
      <c r="RA16" s="319"/>
      <c r="RB16" s="319"/>
      <c r="RC16" s="319"/>
      <c r="RD16" s="319"/>
      <c r="RE16" s="319"/>
      <c r="RF16" s="319"/>
      <c r="RG16" s="319"/>
      <c r="RH16" s="319"/>
      <c r="RI16" s="319"/>
      <c r="RJ16" s="319"/>
      <c r="RK16" s="319"/>
      <c r="RL16" s="319"/>
      <c r="RM16" s="319"/>
      <c r="RN16" s="319"/>
      <c r="RO16" s="319"/>
      <c r="RP16" s="319"/>
    </row>
    <row r="17" spans="1:485" s="272" customFormat="1">
      <c r="A17" s="269">
        <v>14</v>
      </c>
      <c r="B17" s="303" t="s">
        <v>21</v>
      </c>
      <c r="C17" s="286">
        <f>'Data-temp_employment'!C17-last_qrtr_tempemp!D17</f>
        <v>-0.89999999999999991</v>
      </c>
      <c r="D17" s="286">
        <f>'Data-temp_employment'!D17-last_qrtr_tempemp!E17</f>
        <v>9.9999999999999645E-2</v>
      </c>
      <c r="E17" s="286">
        <f>'Data-temp_employment'!E17-last_qrtr_tempemp!F17</f>
        <v>1.5000000000000004</v>
      </c>
      <c r="F17" s="286">
        <f>'Data-temp_employment'!F17-last_qrtr_tempemp!G17</f>
        <v>-0.20000000000000018</v>
      </c>
      <c r="G17" s="286">
        <f>'Data-temp_employment'!G17-last_qrtr_tempemp!H17</f>
        <v>-1.4999999999999996</v>
      </c>
      <c r="H17" s="286">
        <f>'Data-temp_employment'!H17-last_qrtr_tempemp!I17</f>
        <v>-1.6000000000000005</v>
      </c>
      <c r="I17" s="286">
        <f>'Data-temp_employment'!I17-last_qrtr_tempemp!J17</f>
        <v>0.5</v>
      </c>
      <c r="J17" s="286">
        <f>'Data-temp_employment'!J17-last_qrtr_tempemp!K17</f>
        <v>0.60000000000000009</v>
      </c>
      <c r="K17" s="286">
        <f>'Data-temp_employment'!K17-last_qrtr_tempemp!L17</f>
        <v>-1.0999999999999996</v>
      </c>
      <c r="L17" s="286">
        <f>'Data-temp_employment'!L17</f>
        <v>3.7</v>
      </c>
      <c r="M17" s="303" t="s">
        <v>21</v>
      </c>
      <c r="N17" s="286">
        <f>'Data-temp_employment'!N17-last_qrtr_tempemp!O17</f>
        <v>-5.6000000000000014</v>
      </c>
      <c r="O17" s="286">
        <f>'Data-temp_employment'!O17-last_qrtr_tempemp!P17</f>
        <v>0.39999999999999858</v>
      </c>
      <c r="P17" s="286">
        <f>'Data-temp_employment'!P17-last_qrtr_tempemp!Q17</f>
        <v>8.1999999999999993</v>
      </c>
      <c r="Q17" s="286">
        <f>'Data-temp_employment'!Q17-last_qrtr_tempemp!R17</f>
        <v>-0.59999999999999964</v>
      </c>
      <c r="R17" s="286">
        <f>'Data-temp_employment'!R17-last_qrtr_tempemp!S17</f>
        <v>-8.6999999999999993</v>
      </c>
      <c r="S17" s="286">
        <f>'Data-temp_employment'!S17-last_qrtr_tempemp!T17</f>
        <v>-8.8000000000000007</v>
      </c>
      <c r="T17" s="286">
        <f>'Data-temp_employment'!T17-last_qrtr_tempemp!U17</f>
        <v>2.9000000000000004</v>
      </c>
      <c r="U17" s="286">
        <f>'Data-temp_employment'!U17-last_qrtr_tempemp!V17</f>
        <v>3.6999999999999993</v>
      </c>
      <c r="V17" s="286">
        <f>'Data-temp_employment'!V17-last_qrtr_tempemp!W17</f>
        <v>-6.3000000000000007</v>
      </c>
      <c r="W17" s="286">
        <f>'Data-temp_employment'!W17</f>
        <v>20.5</v>
      </c>
      <c r="X17" s="303" t="s">
        <v>21</v>
      </c>
      <c r="Y17" s="286">
        <f>'Data-temp_employment'!Y17-last_qrtr_tempemp!Z17</f>
        <v>0</v>
      </c>
      <c r="Z17" s="286">
        <f>'Data-temp_employment'!Z17-last_qrtr_tempemp!AA17</f>
        <v>0</v>
      </c>
      <c r="AA17" s="286">
        <f>'Data-temp_employment'!AA17-last_qrtr_tempemp!AB17</f>
        <v>0</v>
      </c>
      <c r="AB17" s="286">
        <f>'Data-temp_employment'!AB17-last_qrtr_tempemp!AC17</f>
        <v>0</v>
      </c>
      <c r="AC17" s="286">
        <f>'Data-temp_employment'!AC17-last_qrtr_tempemp!AD17</f>
        <v>0</v>
      </c>
      <c r="AD17" s="286">
        <f>'Data-temp_employment'!AD17-last_qrtr_tempemp!AE17</f>
        <v>0</v>
      </c>
      <c r="AE17" s="286">
        <f>'Data-temp_employment'!AE17-last_qrtr_tempemp!AF17</f>
        <v>0</v>
      </c>
      <c r="AF17" s="286">
        <f>'Data-temp_employment'!AF17-last_qrtr_tempemp!AG17</f>
        <v>0</v>
      </c>
      <c r="AG17" s="286">
        <f>'Data-temp_employment'!AG17-last_qrtr_tempemp!AH17</f>
        <v>0</v>
      </c>
      <c r="AH17" s="286">
        <f>'Data-temp_employment'!AH17</f>
        <v>0</v>
      </c>
      <c r="AI17" s="303" t="s">
        <v>21</v>
      </c>
      <c r="AJ17" s="286">
        <f>'Data-temp_employment'!AJ17-last_qrtr_tempemp!AK17</f>
        <v>0</v>
      </c>
      <c r="AK17" s="286">
        <f>'Data-temp_employment'!AK17-last_qrtr_tempemp!AL17</f>
        <v>7</v>
      </c>
      <c r="AL17" s="286">
        <f>'Data-temp_employment'!AL17-last_qrtr_tempemp!AM17</f>
        <v>7.7</v>
      </c>
      <c r="AM17" s="286">
        <f>'Data-temp_employment'!AM17-last_qrtr_tempemp!AN17</f>
        <v>0</v>
      </c>
      <c r="AN17" s="286">
        <f>'Data-temp_employment'!AN17-last_qrtr_tempemp!AO17</f>
        <v>6.9</v>
      </c>
      <c r="AO17" s="286">
        <f>'Data-temp_employment'!AO17-last_qrtr_tempemp!AP17</f>
        <v>4.5</v>
      </c>
      <c r="AP17" s="286">
        <f>'Data-temp_employment'!AP17-last_qrtr_tempemp!AQ17</f>
        <v>6.9</v>
      </c>
      <c r="AQ17" s="286">
        <f>'Data-temp_employment'!AQ17-last_qrtr_tempemp!AR17</f>
        <v>5.6</v>
      </c>
      <c r="AR17" s="286">
        <f>'Data-temp_employment'!AR17-last_qrtr_tempemp!AS17</f>
        <v>0</v>
      </c>
      <c r="AS17" s="286">
        <f>'Data-temp_employment'!AS17</f>
        <v>7.6</v>
      </c>
      <c r="AT17" s="303" t="s">
        <v>21</v>
      </c>
      <c r="AU17" s="286">
        <f>'Data-temp_employment'!AU17-last_qrtr_tempemp!AV17</f>
        <v>-0.89999999999999947</v>
      </c>
      <c r="AV17" s="286">
        <f>'Data-temp_employment'!AV17-last_qrtr_tempemp!AW17</f>
        <v>-0.70000000000000018</v>
      </c>
      <c r="AW17" s="286">
        <f>'Data-temp_employment'!AW17-last_qrtr_tempemp!AX17</f>
        <v>2.8999999999999995</v>
      </c>
      <c r="AX17" s="286">
        <f>'Data-temp_employment'!AX17-last_qrtr_tempemp!AY17</f>
        <v>-0.10000000000000053</v>
      </c>
      <c r="AY17" s="286">
        <f>'Data-temp_employment'!AY17-last_qrtr_tempemp!AZ17</f>
        <v>-6.2</v>
      </c>
      <c r="AZ17" s="286">
        <f>'Data-temp_employment'!AZ17-last_qrtr_tempemp!BA17</f>
        <v>-2.5999999999999996</v>
      </c>
      <c r="BA17" s="286">
        <f>'Data-temp_employment'!BA17-last_qrtr_tempemp!BB17</f>
        <v>1.1000000000000005</v>
      </c>
      <c r="BB17" s="286">
        <f>'Data-temp_employment'!BB17-last_qrtr_tempemp!BC17</f>
        <v>4.9000000000000004</v>
      </c>
      <c r="BC17" s="286">
        <f>'Data-temp_employment'!BC17-last_qrtr_tempemp!BD17</f>
        <v>-1.8999999999999995</v>
      </c>
      <c r="BD17" s="286">
        <f>'Data-temp_employment'!BD17</f>
        <v>5.3</v>
      </c>
      <c r="BE17" s="303" t="s">
        <v>21</v>
      </c>
      <c r="BF17" s="286">
        <f>'Data-temp_employment'!BF17-last_qrtr_tempemp!BG17</f>
        <v>0</v>
      </c>
      <c r="BG17" s="286">
        <f>'Data-temp_employment'!BG17-last_qrtr_tempemp!BH17</f>
        <v>0</v>
      </c>
      <c r="BH17" s="286">
        <f>'Data-temp_employment'!BH17-last_qrtr_tempemp!BI17</f>
        <v>0</v>
      </c>
      <c r="BI17" s="286">
        <f>'Data-temp_employment'!BI17-last_qrtr_tempemp!BJ17</f>
        <v>0</v>
      </c>
      <c r="BJ17" s="286">
        <f>'Data-temp_employment'!BJ17-last_qrtr_tempemp!BK17</f>
        <v>0</v>
      </c>
      <c r="BK17" s="286">
        <f>'Data-temp_employment'!BK17-last_qrtr_tempemp!BL17</f>
        <v>0</v>
      </c>
      <c r="BL17" s="286">
        <f>'Data-temp_employment'!BL17-last_qrtr_tempemp!BM17</f>
        <v>0</v>
      </c>
      <c r="BM17" s="286">
        <f>'Data-temp_employment'!BM17-last_qrtr_tempemp!BN17</f>
        <v>0</v>
      </c>
      <c r="BN17" s="286">
        <f>'Data-temp_employment'!BN17-last_qrtr_tempemp!BO17</f>
        <v>0</v>
      </c>
      <c r="BO17" s="286">
        <f>'Data-temp_employment'!BO17</f>
        <v>0</v>
      </c>
      <c r="BP17" s="303" t="s">
        <v>21</v>
      </c>
      <c r="BQ17" s="286">
        <f>'Data-temp_employment'!BQ17-last_qrtr_tempemp!BR17</f>
        <v>0</v>
      </c>
      <c r="BR17" s="286">
        <f>'Data-temp_employment'!BR17-last_qrtr_tempemp!BS17</f>
        <v>0</v>
      </c>
      <c r="BS17" s="286">
        <f>'Data-temp_employment'!BS17-last_qrtr_tempemp!BT17</f>
        <v>0</v>
      </c>
      <c r="BT17" s="286">
        <f>'Data-temp_employment'!BT17-last_qrtr_tempemp!BU17</f>
        <v>0</v>
      </c>
      <c r="BU17" s="286">
        <f>'Data-temp_employment'!BU17-last_qrtr_tempemp!BV17</f>
        <v>0</v>
      </c>
      <c r="BV17" s="286">
        <f>'Data-temp_employment'!BV17-last_qrtr_tempemp!BW17</f>
        <v>0</v>
      </c>
      <c r="BW17" s="286">
        <f>'Data-temp_employment'!BW17-last_qrtr_tempemp!BX17</f>
        <v>0</v>
      </c>
      <c r="BX17" s="286">
        <f>'Data-temp_employment'!BX17-last_qrtr_tempemp!BY17</f>
        <v>0</v>
      </c>
      <c r="BY17" s="286">
        <f>'Data-temp_employment'!BY17-last_qrtr_tempemp!BZ17</f>
        <v>0</v>
      </c>
      <c r="BZ17" s="286">
        <f>'Data-temp_employment'!BZ17</f>
        <v>0</v>
      </c>
      <c r="CA17" s="303" t="s">
        <v>21</v>
      </c>
      <c r="CB17" s="286">
        <f>'Data-temp_employment'!CB17-last_qrtr_tempemp!CC17</f>
        <v>0</v>
      </c>
      <c r="CC17" s="286">
        <f>'Data-temp_employment'!CC17-last_qrtr_tempemp!CD17</f>
        <v>0</v>
      </c>
      <c r="CD17" s="286">
        <f>'Data-temp_employment'!CD17-last_qrtr_tempemp!CE17</f>
        <v>0</v>
      </c>
      <c r="CE17" s="286">
        <f>'Data-temp_employment'!CE17-last_qrtr_tempemp!CF17</f>
        <v>0</v>
      </c>
      <c r="CF17" s="286">
        <f>'Data-temp_employment'!CF17-last_qrtr_tempemp!CG17</f>
        <v>0</v>
      </c>
      <c r="CG17" s="286">
        <f>'Data-temp_employment'!CG17-last_qrtr_tempemp!CH17</f>
        <v>0</v>
      </c>
      <c r="CH17" s="286">
        <f>'Data-temp_employment'!CH17-last_qrtr_tempemp!CI17</f>
        <v>0</v>
      </c>
      <c r="CI17" s="286">
        <f>'Data-temp_employment'!CI17-last_qrtr_tempemp!CJ17</f>
        <v>0</v>
      </c>
      <c r="CJ17" s="286">
        <f>'Data-temp_employment'!CJ17-last_qrtr_tempemp!CK17</f>
        <v>0</v>
      </c>
      <c r="CK17" s="286">
        <f>'Data-temp_employment'!CK17</f>
        <v>0</v>
      </c>
      <c r="CL17" s="303" t="s">
        <v>21</v>
      </c>
      <c r="CM17" s="286">
        <f>'Data-temp_employment'!CM17-last_qrtr_tempemp!CN17</f>
        <v>-5.2</v>
      </c>
      <c r="CN17" s="286">
        <f>'Data-temp_employment'!CN17-last_qrtr_tempemp!CO17</f>
        <v>1.3999999999999995</v>
      </c>
      <c r="CO17" s="286">
        <f>'Data-temp_employment'!CO17-last_qrtr_tempemp!CP17</f>
        <v>9.4</v>
      </c>
      <c r="CP17" s="286">
        <f>'Data-temp_employment'!CP17-last_qrtr_tempemp!CQ17</f>
        <v>0</v>
      </c>
      <c r="CQ17" s="286">
        <f>'Data-temp_employment'!CQ17-last_qrtr_tempemp!CR17</f>
        <v>-7.1</v>
      </c>
      <c r="CR17" s="286">
        <f>'Data-temp_employment'!CR17-last_qrtr_tempemp!CS17</f>
        <v>-4.8000000000000007</v>
      </c>
      <c r="CS17" s="286">
        <f>'Data-temp_employment'!CS17-last_qrtr_tempemp!CT17</f>
        <v>5.9</v>
      </c>
      <c r="CT17" s="286">
        <f>'Data-temp_employment'!CT17-last_qrtr_tempemp!CU17</f>
        <v>4.5999999999999996</v>
      </c>
      <c r="CU17" s="286">
        <f>'Data-temp_employment'!CU17-last_qrtr_tempemp!CV17</f>
        <v>-4.5999999999999996</v>
      </c>
      <c r="CV17" s="286">
        <f>'Data-temp_employment'!CV17</f>
        <v>7.5</v>
      </c>
      <c r="CW17" s="303" t="s">
        <v>21</v>
      </c>
      <c r="CX17" s="286">
        <f>'Data-temp_employment'!CX17-last_qrtr_tempemp!CY17</f>
        <v>-3.0999999999999996</v>
      </c>
      <c r="CY17" s="286">
        <f>'Data-temp_employment'!CY17-last_qrtr_tempemp!CZ17</f>
        <v>1.7000000000000011</v>
      </c>
      <c r="CZ17" s="286">
        <f>'Data-temp_employment'!CZ17-last_qrtr_tempemp!DA17</f>
        <v>3</v>
      </c>
      <c r="DA17" s="286">
        <f>'Data-temp_employment'!DA17-last_qrtr_tempemp!DB17</f>
        <v>-0.40000000000000036</v>
      </c>
      <c r="DB17" s="286">
        <f>'Data-temp_employment'!DB17-last_qrtr_tempemp!DC17</f>
        <v>-4.2000000000000011</v>
      </c>
      <c r="DC17" s="286">
        <f>'Data-temp_employment'!DC17-last_qrtr_tempemp!DD17</f>
        <v>-2.9000000000000004</v>
      </c>
      <c r="DD17" s="286">
        <f>'Data-temp_employment'!DD17-last_qrtr_tempemp!DE17</f>
        <v>9.9999999999999645E-2</v>
      </c>
      <c r="DE17" s="286">
        <f>'Data-temp_employment'!DE17-last_qrtr_tempemp!DF17</f>
        <v>0.5</v>
      </c>
      <c r="DF17" s="286">
        <f>'Data-temp_employment'!DF17-last_qrtr_tempemp!DG17</f>
        <v>-5</v>
      </c>
      <c r="DG17" s="286">
        <f>'Data-temp_employment'!DG17</f>
        <v>9.3000000000000007</v>
      </c>
      <c r="DH17" s="303" t="s">
        <v>21</v>
      </c>
      <c r="DI17" s="286">
        <f>'Data-temp_employment'!DI17-last_qrtr_tempemp!DJ17</f>
        <v>0</v>
      </c>
      <c r="DJ17" s="286">
        <f>'Data-temp_employment'!DJ17-last_qrtr_tempemp!DK17</f>
        <v>-6.4</v>
      </c>
      <c r="DK17" s="286">
        <f>'Data-temp_employment'!DK17-last_qrtr_tempemp!DL17</f>
        <v>-5.4</v>
      </c>
      <c r="DL17" s="286">
        <f>'Data-temp_employment'!DL17-last_qrtr_tempemp!DM17</f>
        <v>-4.5999999999999996</v>
      </c>
      <c r="DM17" s="286">
        <f>'Data-temp_employment'!DM17-last_qrtr_tempemp!DN17</f>
        <v>0</v>
      </c>
      <c r="DN17" s="286">
        <f>'Data-temp_employment'!DN17-last_qrtr_tempemp!DO17</f>
        <v>0</v>
      </c>
      <c r="DO17" s="286">
        <f>'Data-temp_employment'!DO17-last_qrtr_tempemp!DP17</f>
        <v>-4.5</v>
      </c>
      <c r="DP17" s="286">
        <f>'Data-temp_employment'!DP17-last_qrtr_tempemp!DQ17</f>
        <v>0</v>
      </c>
      <c r="DQ17" s="286">
        <f>'Data-temp_employment'!DQ17-last_qrtr_tempemp!DR17</f>
        <v>0</v>
      </c>
      <c r="DR17" s="286">
        <f>'Data-temp_employment'!DR17</f>
        <v>0</v>
      </c>
      <c r="DS17" s="303" t="s">
        <v>21</v>
      </c>
      <c r="DT17" s="286">
        <f>'Data-temp_employment'!DT17-last_qrtr_tempemp!DU17</f>
        <v>0</v>
      </c>
      <c r="DU17" s="286">
        <f>'Data-temp_employment'!DU17-last_qrtr_tempemp!DV17</f>
        <v>0</v>
      </c>
      <c r="DV17" s="286">
        <f>'Data-temp_employment'!DV17-last_qrtr_tempemp!DW17</f>
        <v>0</v>
      </c>
      <c r="DW17" s="286">
        <f>'Data-temp_employment'!DW17-last_qrtr_tempemp!DX17</f>
        <v>0</v>
      </c>
      <c r="DX17" s="286">
        <f>'Data-temp_employment'!DX17-last_qrtr_tempemp!DY17</f>
        <v>0</v>
      </c>
      <c r="DY17" s="286">
        <f>'Data-temp_employment'!DY17-last_qrtr_tempemp!DZ17</f>
        <v>0</v>
      </c>
      <c r="DZ17" s="286">
        <f>'Data-temp_employment'!DZ17-last_qrtr_tempemp!EA17</f>
        <v>0</v>
      </c>
      <c r="EA17" s="286">
        <f>'Data-temp_employment'!EA17-last_qrtr_tempemp!EB17</f>
        <v>0</v>
      </c>
      <c r="EB17" s="286">
        <f>'Data-temp_employment'!EB17-last_qrtr_tempemp!EC17</f>
        <v>0</v>
      </c>
      <c r="EC17" s="286">
        <f>'Data-temp_employment'!EC17</f>
        <v>0</v>
      </c>
      <c r="ED17" s="303" t="s">
        <v>21</v>
      </c>
      <c r="EE17" s="286">
        <f>'Data-temp_employment'!EE17-last_qrtr_tempemp!EF17</f>
        <v>0</v>
      </c>
      <c r="EF17" s="286">
        <f>'Data-temp_employment'!EF17-last_qrtr_tempemp!EG17</f>
        <v>0</v>
      </c>
      <c r="EG17" s="286">
        <f>'Data-temp_employment'!EG17-last_qrtr_tempemp!EH17</f>
        <v>0</v>
      </c>
      <c r="EH17" s="286">
        <f>'Data-temp_employment'!EH17-last_qrtr_tempemp!EI17</f>
        <v>0</v>
      </c>
      <c r="EI17" s="286">
        <f>'Data-temp_employment'!EI17-last_qrtr_tempemp!EJ17</f>
        <v>0</v>
      </c>
      <c r="EJ17" s="286">
        <f>'Data-temp_employment'!EJ17-last_qrtr_tempemp!EK17</f>
        <v>0</v>
      </c>
      <c r="EK17" s="286">
        <f>'Data-temp_employment'!EK17-last_qrtr_tempemp!EL17</f>
        <v>0</v>
      </c>
      <c r="EL17" s="286">
        <f>'Data-temp_employment'!EL17-last_qrtr_tempemp!EM17</f>
        <v>0</v>
      </c>
      <c r="EM17" s="286">
        <f>'Data-temp_employment'!EM17-last_qrtr_tempemp!EN17</f>
        <v>0</v>
      </c>
      <c r="EN17" s="286">
        <f>'Data-temp_employment'!EN17</f>
        <v>0</v>
      </c>
      <c r="EO17" s="303" t="s">
        <v>21</v>
      </c>
      <c r="EP17" s="286">
        <f>'Data-temp_employment'!EP17-last_qrtr_tempemp!EQ17</f>
        <v>0</v>
      </c>
      <c r="EQ17" s="286">
        <f>'Data-temp_employment'!EQ17-last_qrtr_tempemp!ER17</f>
        <v>0</v>
      </c>
      <c r="ER17" s="286">
        <f>'Data-temp_employment'!ER17-last_qrtr_tempemp!ES17</f>
        <v>0</v>
      </c>
      <c r="ES17" s="286">
        <f>'Data-temp_employment'!ES17-last_qrtr_tempemp!ET17</f>
        <v>0</v>
      </c>
      <c r="ET17" s="286">
        <f>'Data-temp_employment'!ET17-last_qrtr_tempemp!EU17</f>
        <v>0</v>
      </c>
      <c r="EU17" s="286">
        <f>'Data-temp_employment'!EU17-last_qrtr_tempemp!EV17</f>
        <v>0</v>
      </c>
      <c r="EV17" s="286">
        <f>'Data-temp_employment'!EV17-last_qrtr_tempemp!EW17</f>
        <v>0</v>
      </c>
      <c r="EW17" s="286">
        <f>'Data-temp_employment'!EW17-last_qrtr_tempemp!EX17</f>
        <v>0</v>
      </c>
      <c r="EX17" s="286">
        <f>'Data-temp_employment'!EX17-last_qrtr_tempemp!EY17</f>
        <v>0</v>
      </c>
      <c r="EY17" s="286">
        <f>'Data-temp_employment'!EY17</f>
        <v>0</v>
      </c>
      <c r="EZ17" s="303" t="s">
        <v>21</v>
      </c>
      <c r="FA17" s="286">
        <f>'Data-temp_employment'!FA17-last_qrtr_tempemp!FB17</f>
        <v>0</v>
      </c>
      <c r="FB17" s="286">
        <f>'Data-temp_employment'!FB17-last_qrtr_tempemp!FC17</f>
        <v>0</v>
      </c>
      <c r="FC17" s="286">
        <f>'Data-temp_employment'!FC17-last_qrtr_tempemp!FD17</f>
        <v>0</v>
      </c>
      <c r="FD17" s="286">
        <f>'Data-temp_employment'!FD17-last_qrtr_tempemp!FE17</f>
        <v>0</v>
      </c>
      <c r="FE17" s="286">
        <f>'Data-temp_employment'!FE17-last_qrtr_tempemp!FF17</f>
        <v>0</v>
      </c>
      <c r="FF17" s="286">
        <f>'Data-temp_employment'!FF17-last_qrtr_tempemp!FG17</f>
        <v>0</v>
      </c>
      <c r="FG17" s="286">
        <f>'Data-temp_employment'!FG17-last_qrtr_tempemp!FH17</f>
        <v>0</v>
      </c>
      <c r="FH17" s="286">
        <f>'Data-temp_employment'!FH17-last_qrtr_tempemp!FI17</f>
        <v>0</v>
      </c>
      <c r="FI17" s="286">
        <f>'Data-temp_employment'!FI17-last_qrtr_tempemp!FJ17</f>
        <v>0</v>
      </c>
      <c r="FJ17" s="286">
        <f>'Data-temp_employment'!FJ17</f>
        <v>0</v>
      </c>
      <c r="FK17" s="303" t="s">
        <v>21</v>
      </c>
      <c r="FL17" s="286">
        <f>'Data-temp_employment'!FL17-last_qrtr_tempemp!FM17</f>
        <v>0</v>
      </c>
      <c r="FM17" s="286">
        <f>'Data-temp_employment'!FM17-last_qrtr_tempemp!FN17</f>
        <v>0</v>
      </c>
      <c r="FN17" s="286">
        <f>'Data-temp_employment'!FN17-last_qrtr_tempemp!FO17</f>
        <v>0</v>
      </c>
      <c r="FO17" s="286">
        <f>'Data-temp_employment'!FO17-last_qrtr_tempemp!FP17</f>
        <v>0</v>
      </c>
      <c r="FP17" s="286">
        <f>'Data-temp_employment'!FP17-last_qrtr_tempemp!FQ17</f>
        <v>0</v>
      </c>
      <c r="FQ17" s="286">
        <f>'Data-temp_employment'!FQ17-last_qrtr_tempemp!FR17</f>
        <v>0</v>
      </c>
      <c r="FR17" s="286">
        <f>'Data-temp_employment'!FR17-last_qrtr_tempemp!FS17</f>
        <v>0</v>
      </c>
      <c r="FS17" s="286">
        <f>'Data-temp_employment'!FS17-last_qrtr_tempemp!FT17</f>
        <v>0</v>
      </c>
      <c r="FT17" s="286">
        <f>'Data-temp_employment'!FT17-last_qrtr_tempemp!FU17</f>
        <v>0</v>
      </c>
      <c r="FU17" s="286">
        <f>'Data-temp_employment'!FU17</f>
        <v>0</v>
      </c>
      <c r="FV17" s="303" t="s">
        <v>21</v>
      </c>
      <c r="FW17" s="286">
        <f>'Data-temp_employment'!FW17-last_qrtr_tempemp!FX17</f>
        <v>0</v>
      </c>
      <c r="FX17" s="286">
        <f>'Data-temp_employment'!FX17-last_qrtr_tempemp!FY17</f>
        <v>0</v>
      </c>
      <c r="FY17" s="286">
        <f>'Data-temp_employment'!FY17-last_qrtr_tempemp!FZ17</f>
        <v>0</v>
      </c>
      <c r="FZ17" s="286">
        <f>'Data-temp_employment'!FZ17-last_qrtr_tempemp!GA17</f>
        <v>0</v>
      </c>
      <c r="GA17" s="286">
        <f>'Data-temp_employment'!GA17-last_qrtr_tempemp!GB17</f>
        <v>0</v>
      </c>
      <c r="GB17" s="286">
        <f>'Data-temp_employment'!GB17-last_qrtr_tempemp!GC17</f>
        <v>0</v>
      </c>
      <c r="GC17" s="286">
        <f>'Data-temp_employment'!GC17-last_qrtr_tempemp!GD17</f>
        <v>0</v>
      </c>
      <c r="GD17" s="286">
        <f>'Data-temp_employment'!GD17-last_qrtr_tempemp!GE17</f>
        <v>0</v>
      </c>
      <c r="GE17" s="286">
        <f>'Data-temp_employment'!GE17-last_qrtr_tempemp!GF17</f>
        <v>0</v>
      </c>
      <c r="GF17" s="286">
        <f>'Data-temp_employment'!GF17</f>
        <v>0</v>
      </c>
      <c r="GG17" s="303" t="s">
        <v>21</v>
      </c>
      <c r="GH17" s="286">
        <f>'Data-temp_employment'!GH17-last_qrtr_tempemp!GI17</f>
        <v>0</v>
      </c>
      <c r="GI17" s="286">
        <f>'Data-temp_employment'!GI17-last_qrtr_tempemp!GJ17</f>
        <v>0</v>
      </c>
      <c r="GJ17" s="286">
        <f>'Data-temp_employment'!GJ17-last_qrtr_tempemp!GK17</f>
        <v>0</v>
      </c>
      <c r="GK17" s="286">
        <f>'Data-temp_employment'!GK17-last_qrtr_tempemp!GL17</f>
        <v>0</v>
      </c>
      <c r="GL17" s="286">
        <f>'Data-temp_employment'!GL17-last_qrtr_tempemp!GM17</f>
        <v>0</v>
      </c>
      <c r="GM17" s="286">
        <f>'Data-temp_employment'!GM17-last_qrtr_tempemp!GN17</f>
        <v>0</v>
      </c>
      <c r="GN17" s="286">
        <f>'Data-temp_employment'!GN17-last_qrtr_tempemp!GO17</f>
        <v>0</v>
      </c>
      <c r="GO17" s="286">
        <f>'Data-temp_employment'!GO17-last_qrtr_tempemp!GP17</f>
        <v>0</v>
      </c>
      <c r="GP17" s="286">
        <f>'Data-temp_employment'!GP17-last_qrtr_tempemp!GQ17</f>
        <v>0</v>
      </c>
      <c r="GQ17" s="286">
        <f>'Data-temp_employment'!GQ17</f>
        <v>0</v>
      </c>
      <c r="GR17" s="303" t="s">
        <v>21</v>
      </c>
      <c r="GS17" s="286">
        <f>'Data-temp_employment'!GS17-last_qrtr_tempemp!GT17</f>
        <v>0</v>
      </c>
      <c r="GT17" s="286">
        <f>'Data-temp_employment'!GT17-last_qrtr_tempemp!GU17</f>
        <v>0</v>
      </c>
      <c r="GU17" s="286">
        <f>'Data-temp_employment'!GU17-last_qrtr_tempemp!GV17</f>
        <v>0</v>
      </c>
      <c r="GV17" s="286">
        <f>'Data-temp_employment'!GV17-last_qrtr_tempemp!GW17</f>
        <v>0</v>
      </c>
      <c r="GW17" s="286">
        <f>'Data-temp_employment'!GW17-last_qrtr_tempemp!GX17</f>
        <v>0</v>
      </c>
      <c r="GX17" s="286">
        <f>'Data-temp_employment'!GX17-last_qrtr_tempemp!GY17</f>
        <v>0</v>
      </c>
      <c r="GY17" s="286">
        <f>'Data-temp_employment'!GY17-last_qrtr_tempemp!GZ17</f>
        <v>0</v>
      </c>
      <c r="GZ17" s="286">
        <f>'Data-temp_employment'!GZ17-last_qrtr_tempemp!HA17</f>
        <v>0</v>
      </c>
      <c r="HA17" s="286">
        <f>'Data-temp_employment'!HA17-last_qrtr_tempemp!HB17</f>
        <v>0</v>
      </c>
      <c r="HB17" s="286">
        <f>'Data-temp_employment'!HB17</f>
        <v>0</v>
      </c>
      <c r="HC17" s="303" t="s">
        <v>21</v>
      </c>
      <c r="HD17" s="286">
        <f>'Data-temp_employment'!HD17-last_qrtr_tempemp!HE17</f>
        <v>0</v>
      </c>
      <c r="HE17" s="286">
        <f>'Data-temp_employment'!HE17-last_qrtr_tempemp!HF17</f>
        <v>0</v>
      </c>
      <c r="HF17" s="286">
        <f>'Data-temp_employment'!HF17-last_qrtr_tempemp!HG17</f>
        <v>0</v>
      </c>
      <c r="HG17" s="286">
        <f>'Data-temp_employment'!HG17-last_qrtr_tempemp!HH17</f>
        <v>0</v>
      </c>
      <c r="HH17" s="286">
        <f>'Data-temp_employment'!HH17-last_qrtr_tempemp!HI17</f>
        <v>0</v>
      </c>
      <c r="HI17" s="286">
        <f>'Data-temp_employment'!HI17-last_qrtr_tempemp!HJ17</f>
        <v>0</v>
      </c>
      <c r="HJ17" s="286">
        <f>'Data-temp_employment'!HJ17-last_qrtr_tempemp!HK17</f>
        <v>0</v>
      </c>
      <c r="HK17" s="286">
        <f>'Data-temp_employment'!HK17-last_qrtr_tempemp!HL17</f>
        <v>0</v>
      </c>
      <c r="HL17" s="286">
        <f>'Data-temp_employment'!HL17-last_qrtr_tempemp!HM17</f>
        <v>0</v>
      </c>
      <c r="HM17" s="286">
        <f>'Data-temp_employment'!HM17</f>
        <v>0</v>
      </c>
      <c r="HN17" s="303" t="s">
        <v>21</v>
      </c>
      <c r="HO17" s="286">
        <f>'Data-temp_employment'!HO17-last_qrtr_tempemp!HP17</f>
        <v>0</v>
      </c>
      <c r="HP17" s="286">
        <f>'Data-temp_employment'!HP17-last_qrtr_tempemp!HQ17</f>
        <v>5</v>
      </c>
      <c r="HQ17" s="286">
        <f>'Data-temp_employment'!HQ17-last_qrtr_tempemp!HR17</f>
        <v>4.4000000000000004</v>
      </c>
      <c r="HR17" s="286">
        <f>'Data-temp_employment'!HR17-last_qrtr_tempemp!HS17</f>
        <v>0</v>
      </c>
      <c r="HS17" s="286">
        <f>'Data-temp_employment'!HS17-last_qrtr_tempemp!HT17</f>
        <v>0</v>
      </c>
      <c r="HT17" s="286">
        <f>'Data-temp_employment'!HT17-last_qrtr_tempemp!HU17</f>
        <v>5.4</v>
      </c>
      <c r="HU17" s="286">
        <f>'Data-temp_employment'!HU17-last_qrtr_tempemp!HV17</f>
        <v>6</v>
      </c>
      <c r="HV17" s="286">
        <f>'Data-temp_employment'!HV17-last_qrtr_tempemp!HW17</f>
        <v>4.4000000000000004</v>
      </c>
      <c r="HW17" s="286">
        <f>'Data-temp_employment'!HW17-last_qrtr_tempemp!HX17</f>
        <v>0</v>
      </c>
      <c r="HX17" s="286">
        <f>'Data-temp_employment'!HX17</f>
        <v>4.8</v>
      </c>
      <c r="HY17" s="303" t="s">
        <v>21</v>
      </c>
      <c r="HZ17" s="286">
        <f>'Data-temp_employment'!HZ17-last_qrtr_tempemp!IA17</f>
        <v>0</v>
      </c>
      <c r="IA17" s="286">
        <f>'Data-temp_employment'!IA17-last_qrtr_tempemp!IB17</f>
        <v>0</v>
      </c>
      <c r="IB17" s="286">
        <f>'Data-temp_employment'!IB17-last_qrtr_tempemp!IC17</f>
        <v>0</v>
      </c>
      <c r="IC17" s="286">
        <f>'Data-temp_employment'!IC17-last_qrtr_tempemp!ID17</f>
        <v>0</v>
      </c>
      <c r="ID17" s="286">
        <f>'Data-temp_employment'!ID17-last_qrtr_tempemp!IE17</f>
        <v>0</v>
      </c>
      <c r="IE17" s="286">
        <f>'Data-temp_employment'!IE17-last_qrtr_tempemp!IF17</f>
        <v>0</v>
      </c>
      <c r="IF17" s="286">
        <f>'Data-temp_employment'!IF17-last_qrtr_tempemp!IG17</f>
        <v>0</v>
      </c>
      <c r="IG17" s="286">
        <f>'Data-temp_employment'!IG17-last_qrtr_tempemp!IH17</f>
        <v>0</v>
      </c>
      <c r="IH17" s="286">
        <f>'Data-temp_employment'!IH17-last_qrtr_tempemp!II17</f>
        <v>0</v>
      </c>
      <c r="II17" s="286">
        <f>'Data-temp_employment'!II17</f>
        <v>0</v>
      </c>
      <c r="IJ17" s="303" t="s">
        <v>21</v>
      </c>
      <c r="IK17" s="286">
        <f>'Data-temp_employment'!IK17-last_qrtr_tempemp!IL17</f>
        <v>0</v>
      </c>
      <c r="IL17" s="286">
        <f>'Data-temp_employment'!IL17-last_qrtr_tempemp!IM17</f>
        <v>0</v>
      </c>
      <c r="IM17" s="286">
        <f>'Data-temp_employment'!IM17-last_qrtr_tempemp!IN17</f>
        <v>0</v>
      </c>
      <c r="IN17" s="286">
        <f>'Data-temp_employment'!IN17-last_qrtr_tempemp!IO17</f>
        <v>0</v>
      </c>
      <c r="IO17" s="286">
        <f>'Data-temp_employment'!IO17-last_qrtr_tempemp!IP17</f>
        <v>0</v>
      </c>
      <c r="IP17" s="286">
        <f>'Data-temp_employment'!IP17-last_qrtr_tempemp!IQ17</f>
        <v>0</v>
      </c>
      <c r="IQ17" s="286">
        <f>'Data-temp_employment'!IQ17-last_qrtr_tempemp!IR17</f>
        <v>0</v>
      </c>
      <c r="IR17" s="286">
        <f>'Data-temp_employment'!IR17-last_qrtr_tempemp!IS17</f>
        <v>0</v>
      </c>
      <c r="IS17" s="286">
        <f>'Data-temp_employment'!IS17-last_qrtr_tempemp!IT17</f>
        <v>0</v>
      </c>
      <c r="IT17" s="286">
        <f>'Data-temp_employment'!IT17</f>
        <v>0</v>
      </c>
      <c r="IU17" s="303" t="s">
        <v>21</v>
      </c>
      <c r="IV17" s="286">
        <f>'Data-temp_employment'!IV17-last_qrtr_tempemp!IW17</f>
        <v>0</v>
      </c>
      <c r="IW17" s="286">
        <f>'Data-temp_employment'!IW17-last_qrtr_tempemp!IX17</f>
        <v>0</v>
      </c>
      <c r="IX17" s="286">
        <f>'Data-temp_employment'!IX17-last_qrtr_tempemp!IY17</f>
        <v>0</v>
      </c>
      <c r="IY17" s="286">
        <f>'Data-temp_employment'!IY17-last_qrtr_tempemp!IZ17</f>
        <v>0</v>
      </c>
      <c r="IZ17" s="286">
        <f>'Data-temp_employment'!IZ17-last_qrtr_tempemp!JA17</f>
        <v>0</v>
      </c>
      <c r="JA17" s="286">
        <f>'Data-temp_employment'!JA17-last_qrtr_tempemp!JB17</f>
        <v>0</v>
      </c>
      <c r="JB17" s="286">
        <f>'Data-temp_employment'!JB17-last_qrtr_tempemp!JC17</f>
        <v>0</v>
      </c>
      <c r="JC17" s="286">
        <f>'Data-temp_employment'!JC17-last_qrtr_tempemp!JD17</f>
        <v>0</v>
      </c>
      <c r="JD17" s="286">
        <f>'Data-temp_employment'!JD17-last_qrtr_tempemp!JE17</f>
        <v>0</v>
      </c>
      <c r="JE17" s="286">
        <f>'Data-temp_employment'!JE17</f>
        <v>0</v>
      </c>
      <c r="JF17" s="303" t="s">
        <v>21</v>
      </c>
      <c r="JG17" s="286">
        <f>'Data-temp_employment'!JG17-last_qrtr_tempemp!JH17</f>
        <v>0</v>
      </c>
      <c r="JH17" s="286">
        <f>'Data-temp_employment'!JH17-last_qrtr_tempemp!JI17</f>
        <v>0</v>
      </c>
      <c r="JI17" s="286">
        <f>'Data-temp_employment'!JI17-last_qrtr_tempemp!JJ17</f>
        <v>0</v>
      </c>
      <c r="JJ17" s="286">
        <f>'Data-temp_employment'!JJ17-last_qrtr_tempemp!JK17</f>
        <v>0</v>
      </c>
      <c r="JK17" s="286">
        <f>'Data-temp_employment'!JK17-last_qrtr_tempemp!JL17</f>
        <v>0</v>
      </c>
      <c r="JL17" s="286">
        <f>'Data-temp_employment'!JL17-last_qrtr_tempemp!JM17</f>
        <v>0</v>
      </c>
      <c r="JM17" s="286">
        <f>'Data-temp_employment'!JM17-last_qrtr_tempemp!JN17</f>
        <v>0</v>
      </c>
      <c r="JN17" s="286">
        <f>'Data-temp_employment'!JN17-last_qrtr_tempemp!JO17</f>
        <v>0</v>
      </c>
      <c r="JO17" s="286">
        <f>'Data-temp_employment'!JO17-last_qrtr_tempemp!JP17</f>
        <v>0</v>
      </c>
      <c r="JP17" s="286">
        <f>'Data-temp_employment'!JP17</f>
        <v>0</v>
      </c>
      <c r="JQ17" s="303" t="s">
        <v>21</v>
      </c>
      <c r="JR17" s="286">
        <f>'Data-temp_employment'!JR17-last_qrtr_tempemp!JS17</f>
        <v>0</v>
      </c>
      <c r="JS17" s="286">
        <f>'Data-temp_employment'!JS17-last_qrtr_tempemp!JT17</f>
        <v>0</v>
      </c>
      <c r="JT17" s="286">
        <f>'Data-temp_employment'!JT17-last_qrtr_tempemp!JU17</f>
        <v>0</v>
      </c>
      <c r="JU17" s="286">
        <f>'Data-temp_employment'!JU17-last_qrtr_tempemp!JV17</f>
        <v>0</v>
      </c>
      <c r="JV17" s="286">
        <f>'Data-temp_employment'!JV17-last_qrtr_tempemp!JW17</f>
        <v>0</v>
      </c>
      <c r="JW17" s="286">
        <f>'Data-temp_employment'!JW17-last_qrtr_tempemp!JX17</f>
        <v>0</v>
      </c>
      <c r="JX17" s="286">
        <f>'Data-temp_employment'!JX17-last_qrtr_tempemp!JY17</f>
        <v>0</v>
      </c>
      <c r="JY17" s="286">
        <f>'Data-temp_employment'!JY17-last_qrtr_tempemp!JZ17</f>
        <v>0</v>
      </c>
      <c r="JZ17" s="286">
        <f>'Data-temp_employment'!JZ17-last_qrtr_tempemp!KA17</f>
        <v>0</v>
      </c>
      <c r="KA17" s="286">
        <f>'Data-temp_employment'!KA17</f>
        <v>0</v>
      </c>
      <c r="KB17" s="303" t="s">
        <v>21</v>
      </c>
      <c r="KC17" s="286">
        <f>'Data-temp_employment'!KC17-last_qrtr_tempemp!KD17</f>
        <v>0</v>
      </c>
      <c r="KD17" s="286">
        <f>'Data-temp_employment'!KD17-last_qrtr_tempemp!KE17</f>
        <v>0</v>
      </c>
      <c r="KE17" s="286">
        <f>'Data-temp_employment'!KE17-last_qrtr_tempemp!KF17</f>
        <v>0</v>
      </c>
      <c r="KF17" s="286">
        <f>'Data-temp_employment'!KF17-last_qrtr_tempemp!KG17</f>
        <v>0</v>
      </c>
      <c r="KG17" s="286">
        <f>'Data-temp_employment'!KG17-last_qrtr_tempemp!KH17</f>
        <v>0</v>
      </c>
      <c r="KH17" s="286">
        <f>'Data-temp_employment'!KH17-last_qrtr_tempemp!KI17</f>
        <v>0</v>
      </c>
      <c r="KI17" s="286">
        <f>'Data-temp_employment'!KI17-last_qrtr_tempemp!KJ17</f>
        <v>0</v>
      </c>
      <c r="KJ17" s="286">
        <f>'Data-temp_employment'!KJ17-last_qrtr_tempemp!KK17</f>
        <v>0</v>
      </c>
      <c r="KK17" s="286">
        <f>'Data-temp_employment'!KK17-last_qrtr_tempemp!KL17</f>
        <v>0</v>
      </c>
      <c r="KL17" s="286">
        <f>'Data-temp_employment'!KL17</f>
        <v>0</v>
      </c>
      <c r="KM17" s="303" t="s">
        <v>21</v>
      </c>
      <c r="KN17" s="286">
        <f>'Data-temp_employment'!KN17-last_qrtr_tempemp!KO17</f>
        <v>0</v>
      </c>
      <c r="KO17" s="286">
        <f>'Data-temp_employment'!KO17-last_qrtr_tempemp!KP17</f>
        <v>0</v>
      </c>
      <c r="KP17" s="286">
        <f>'Data-temp_employment'!KP17-last_qrtr_tempemp!KQ17</f>
        <v>0</v>
      </c>
      <c r="KQ17" s="286">
        <f>'Data-temp_employment'!KQ17-last_qrtr_tempemp!KR17</f>
        <v>0</v>
      </c>
      <c r="KR17" s="286">
        <f>'Data-temp_employment'!KR17-last_qrtr_tempemp!KS17</f>
        <v>0</v>
      </c>
      <c r="KS17" s="286">
        <f>'Data-temp_employment'!KS17-last_qrtr_tempemp!KT17</f>
        <v>0</v>
      </c>
      <c r="KT17" s="286">
        <f>'Data-temp_employment'!KT17-last_qrtr_tempemp!KU17</f>
        <v>0</v>
      </c>
      <c r="KU17" s="286">
        <f>'Data-temp_employment'!KU17-last_qrtr_tempemp!KV17</f>
        <v>0</v>
      </c>
      <c r="KV17" s="286">
        <f>'Data-temp_employment'!KV17-last_qrtr_tempemp!KW17</f>
        <v>0</v>
      </c>
      <c r="KW17" s="286">
        <f>'Data-temp_employment'!KW17</f>
        <v>0</v>
      </c>
      <c r="KX17" s="303" t="s">
        <v>21</v>
      </c>
      <c r="KY17" s="286">
        <f>'Data-temp_employment'!KY17-last_qrtr_tempemp!KZ17</f>
        <v>0</v>
      </c>
      <c r="KZ17" s="286">
        <f>'Data-temp_employment'!KZ17-last_qrtr_tempemp!LA17</f>
        <v>0</v>
      </c>
      <c r="LA17" s="286">
        <f>'Data-temp_employment'!LA17-last_qrtr_tempemp!LB17</f>
        <v>0</v>
      </c>
      <c r="LB17" s="286">
        <f>'Data-temp_employment'!LB17-last_qrtr_tempemp!LC17</f>
        <v>0</v>
      </c>
      <c r="LC17" s="286">
        <f>'Data-temp_employment'!LC17-last_qrtr_tempemp!LD17</f>
        <v>0</v>
      </c>
      <c r="LD17" s="286">
        <f>'Data-temp_employment'!LD17-last_qrtr_tempemp!LE17</f>
        <v>0</v>
      </c>
      <c r="LE17" s="286">
        <f>'Data-temp_employment'!LE17-last_qrtr_tempemp!LF17</f>
        <v>0</v>
      </c>
      <c r="LF17" s="286">
        <f>'Data-temp_employment'!LF17-last_qrtr_tempemp!LG17</f>
        <v>0</v>
      </c>
      <c r="LG17" s="286">
        <f>'Data-temp_employment'!LG17-last_qrtr_tempemp!LH17</f>
        <v>0</v>
      </c>
      <c r="LH17" s="286">
        <f>'Data-temp_employment'!LH17</f>
        <v>0</v>
      </c>
      <c r="LI17" s="303" t="s">
        <v>21</v>
      </c>
      <c r="LJ17" s="286">
        <f>'Data-temp_employment'!LJ17-last_qrtr_tempemp!LK17</f>
        <v>0</v>
      </c>
      <c r="LK17" s="286">
        <f>'Data-temp_employment'!LK17-last_qrtr_tempemp!LL17</f>
        <v>0</v>
      </c>
      <c r="LL17" s="286">
        <f>'Data-temp_employment'!LL17-last_qrtr_tempemp!LM17</f>
        <v>0</v>
      </c>
      <c r="LM17" s="286">
        <f>'Data-temp_employment'!LM17-last_qrtr_tempemp!LN17</f>
        <v>0</v>
      </c>
      <c r="LN17" s="286">
        <f>'Data-temp_employment'!LN17-last_qrtr_tempemp!LO17</f>
        <v>0</v>
      </c>
      <c r="LO17" s="286">
        <f>'Data-temp_employment'!LO17-last_qrtr_tempemp!LP17</f>
        <v>0</v>
      </c>
      <c r="LP17" s="286">
        <f>'Data-temp_employment'!LP17-last_qrtr_tempemp!LQ17</f>
        <v>0</v>
      </c>
      <c r="LQ17" s="286">
        <f>'Data-temp_employment'!LQ17-last_qrtr_tempemp!LR17</f>
        <v>0</v>
      </c>
      <c r="LR17" s="286">
        <f>'Data-temp_employment'!LR17-last_qrtr_tempemp!LS17</f>
        <v>0</v>
      </c>
      <c r="LS17" s="286">
        <f>'Data-temp_employment'!LS17</f>
        <v>0</v>
      </c>
      <c r="LT17" s="303" t="s">
        <v>21</v>
      </c>
      <c r="LU17" s="286">
        <f>'Data-temp_employment'!LU17-last_qrtr_tempemp!LV17</f>
        <v>0</v>
      </c>
      <c r="LV17" s="286">
        <f>'Data-temp_employment'!LV17-last_qrtr_tempemp!LW17</f>
        <v>0</v>
      </c>
      <c r="LW17" s="286">
        <f>'Data-temp_employment'!LW17-last_qrtr_tempemp!LX17</f>
        <v>0</v>
      </c>
      <c r="LX17" s="286">
        <f>'Data-temp_employment'!LX17-last_qrtr_tempemp!LY17</f>
        <v>0</v>
      </c>
      <c r="LY17" s="286">
        <f>'Data-temp_employment'!LY17-last_qrtr_tempemp!LZ17</f>
        <v>0</v>
      </c>
      <c r="LZ17" s="286">
        <f>'Data-temp_employment'!LZ17-last_qrtr_tempemp!MA17</f>
        <v>0</v>
      </c>
      <c r="MA17" s="286">
        <f>'Data-temp_employment'!MA17-last_qrtr_tempemp!MB17</f>
        <v>0</v>
      </c>
      <c r="MB17" s="286">
        <f>'Data-temp_employment'!MB17-last_qrtr_tempemp!MC17</f>
        <v>0</v>
      </c>
      <c r="MC17" s="286">
        <f>'Data-temp_employment'!MC17-last_qrtr_tempemp!MD17</f>
        <v>0</v>
      </c>
      <c r="MD17" s="286">
        <f>'Data-temp_employment'!MD17</f>
        <v>0</v>
      </c>
      <c r="ME17" s="303" t="s">
        <v>21</v>
      </c>
      <c r="MF17" s="286">
        <f>'Data-temp_employment'!MF17-last_qrtr_tempemp!MG17</f>
        <v>0</v>
      </c>
      <c r="MG17" s="286">
        <f>'Data-temp_employment'!MG17-last_qrtr_tempemp!MH17</f>
        <v>0</v>
      </c>
      <c r="MH17" s="286">
        <f>'Data-temp_employment'!MH17-last_qrtr_tempemp!MI17</f>
        <v>0</v>
      </c>
      <c r="MI17" s="286">
        <f>'Data-temp_employment'!MI17-last_qrtr_tempemp!MJ17</f>
        <v>0</v>
      </c>
      <c r="MJ17" s="286">
        <f>'Data-temp_employment'!MJ17-last_qrtr_tempemp!MK17</f>
        <v>0</v>
      </c>
      <c r="MK17" s="286">
        <f>'Data-temp_employment'!MK17-last_qrtr_tempemp!ML17</f>
        <v>0</v>
      </c>
      <c r="ML17" s="286">
        <f>'Data-temp_employment'!ML17-last_qrtr_tempemp!MM17</f>
        <v>0</v>
      </c>
      <c r="MM17" s="286">
        <f>'Data-temp_employment'!MM17-last_qrtr_tempemp!MN17</f>
        <v>0</v>
      </c>
      <c r="MN17" s="286">
        <f>'Data-temp_employment'!MN17-last_qrtr_tempemp!MO17</f>
        <v>0</v>
      </c>
      <c r="MO17" s="286">
        <f>'Data-temp_employment'!MO17</f>
        <v>0</v>
      </c>
      <c r="MP17" s="303" t="s">
        <v>21</v>
      </c>
      <c r="MQ17" s="286">
        <f>'Data-temp_employment'!MQ17-last_qrtr_tempemp!MR17</f>
        <v>0</v>
      </c>
      <c r="MR17" s="286">
        <f>'Data-temp_employment'!MR17-last_qrtr_tempemp!MS17</f>
        <v>0</v>
      </c>
      <c r="MS17" s="286">
        <f>'Data-temp_employment'!MS17-last_qrtr_tempemp!MT17</f>
        <v>0</v>
      </c>
      <c r="MT17" s="286">
        <f>'Data-temp_employment'!MT17-last_qrtr_tempemp!MU17</f>
        <v>0</v>
      </c>
      <c r="MU17" s="286">
        <f>'Data-temp_employment'!MU17-last_qrtr_tempemp!MV17</f>
        <v>0</v>
      </c>
      <c r="MV17" s="286">
        <f>'Data-temp_employment'!MV17-last_qrtr_tempemp!MW17</f>
        <v>0</v>
      </c>
      <c r="MW17" s="286">
        <f>'Data-temp_employment'!MW17-last_qrtr_tempemp!MX17</f>
        <v>0</v>
      </c>
      <c r="MX17" s="286">
        <f>'Data-temp_employment'!MX17-last_qrtr_tempemp!MY17</f>
        <v>0</v>
      </c>
      <c r="MY17" s="286">
        <f>'Data-temp_employment'!MY17-last_qrtr_tempemp!MZ17</f>
        <v>0</v>
      </c>
      <c r="MZ17" s="286">
        <f>'Data-temp_employment'!MZ17</f>
        <v>0</v>
      </c>
      <c r="NA17" s="303" t="s">
        <v>21</v>
      </c>
      <c r="NB17" s="286">
        <f>'Data-temp_employment'!NB17-last_qrtr_tempemp!NC17</f>
        <v>0</v>
      </c>
      <c r="NC17" s="286">
        <f>'Data-temp_employment'!NC17-last_qrtr_tempemp!ND17</f>
        <v>0</v>
      </c>
      <c r="ND17" s="286">
        <f>'Data-temp_employment'!ND17-last_qrtr_tempemp!NE17</f>
        <v>0</v>
      </c>
      <c r="NE17" s="286">
        <f>'Data-temp_employment'!NE17-last_qrtr_tempemp!NF17</f>
        <v>0</v>
      </c>
      <c r="NF17" s="286">
        <f>'Data-temp_employment'!NF17-last_qrtr_tempemp!NG17</f>
        <v>0</v>
      </c>
      <c r="NG17" s="286">
        <f>'Data-temp_employment'!NG17-last_qrtr_tempemp!NH17</f>
        <v>0</v>
      </c>
      <c r="NH17" s="286">
        <f>'Data-temp_employment'!NH17-last_qrtr_tempemp!NI17</f>
        <v>0</v>
      </c>
      <c r="NI17" s="286">
        <f>'Data-temp_employment'!NI17-last_qrtr_tempemp!NJ17</f>
        <v>0</v>
      </c>
      <c r="NJ17" s="286">
        <f>'Data-temp_employment'!NJ17-last_qrtr_tempemp!NK17</f>
        <v>0</v>
      </c>
      <c r="NK17" s="286">
        <f>'Data-temp_employment'!NK17</f>
        <v>0</v>
      </c>
      <c r="NL17" s="303" t="s">
        <v>21</v>
      </c>
      <c r="NM17" s="286">
        <f>'Data-temp_employment'!NM17-last_qrtr_tempemp!NN17</f>
        <v>0</v>
      </c>
      <c r="NN17" s="286">
        <f>'Data-temp_employment'!NN17-last_qrtr_tempemp!NO17</f>
        <v>0</v>
      </c>
      <c r="NO17" s="286">
        <f>'Data-temp_employment'!NO17-last_qrtr_tempemp!NP17</f>
        <v>0</v>
      </c>
      <c r="NP17" s="286">
        <f>'Data-temp_employment'!NP17-last_qrtr_tempemp!NQ17</f>
        <v>0</v>
      </c>
      <c r="NQ17" s="286">
        <f>'Data-temp_employment'!NQ17-last_qrtr_tempemp!NR17</f>
        <v>0</v>
      </c>
      <c r="NR17" s="286">
        <f>'Data-temp_employment'!NR17-last_qrtr_tempemp!NS17</f>
        <v>0</v>
      </c>
      <c r="NS17" s="286">
        <f>'Data-temp_employment'!NS17-last_qrtr_tempemp!NT17</f>
        <v>0</v>
      </c>
      <c r="NT17" s="286">
        <f>'Data-temp_employment'!NT17-last_qrtr_tempemp!NU17</f>
        <v>0</v>
      </c>
      <c r="NU17" s="286">
        <f>'Data-temp_employment'!NU17-last_qrtr_tempemp!NV17</f>
        <v>0</v>
      </c>
      <c r="NV17" s="286">
        <f>'Data-temp_employment'!NV17</f>
        <v>0</v>
      </c>
      <c r="NW17" s="303" t="s">
        <v>21</v>
      </c>
      <c r="NX17" s="286">
        <f>'Data-temp_employment'!NX17-last_qrtr_tempemp!NY17</f>
        <v>0</v>
      </c>
      <c r="NY17" s="286">
        <f>'Data-temp_employment'!NY17-last_qrtr_tempemp!NZ17</f>
        <v>0</v>
      </c>
      <c r="NZ17" s="286">
        <f>'Data-temp_employment'!NZ17-last_qrtr_tempemp!OA17</f>
        <v>0</v>
      </c>
      <c r="OA17" s="286">
        <f>'Data-temp_employment'!OA17-last_qrtr_tempemp!OB17</f>
        <v>0</v>
      </c>
      <c r="OB17" s="286">
        <f>'Data-temp_employment'!OB17-last_qrtr_tempemp!OC17</f>
        <v>0</v>
      </c>
      <c r="OC17" s="286">
        <f>'Data-temp_employment'!OC17-last_qrtr_tempemp!OD17</f>
        <v>0</v>
      </c>
      <c r="OD17" s="286">
        <f>'Data-temp_employment'!OD17-last_qrtr_tempemp!OE17</f>
        <v>0</v>
      </c>
      <c r="OE17" s="286">
        <f>'Data-temp_employment'!OE17-last_qrtr_tempemp!OF17</f>
        <v>0</v>
      </c>
      <c r="OF17" s="286">
        <f>'Data-temp_employment'!OF17-last_qrtr_tempemp!OG17</f>
        <v>0</v>
      </c>
      <c r="OG17" s="286">
        <f>'Data-temp_employment'!OG17</f>
        <v>0</v>
      </c>
      <c r="OH17" s="287" t="s">
        <v>21</v>
      </c>
      <c r="OI17" s="286"/>
      <c r="OJ17" s="286"/>
      <c r="OK17" s="286"/>
      <c r="OL17" s="286"/>
      <c r="OM17" s="286"/>
      <c r="ON17" s="286"/>
      <c r="OO17" s="286"/>
      <c r="OP17" s="286"/>
      <c r="OQ17" s="286"/>
      <c r="OR17" s="286"/>
      <c r="OS17" s="303" t="s">
        <v>21</v>
      </c>
      <c r="OT17" s="286" t="e">
        <f>'Data-temp_employment'!#REF!-last_qrtr_tempemp!OU17</f>
        <v>#REF!</v>
      </c>
      <c r="OU17" s="286">
        <f>'Data-temp_employment'!OT17-last_qrtr_tempemp!OV17</f>
        <v>1.5</v>
      </c>
      <c r="OV17" s="286">
        <f>'Data-temp_employment'!OU17-last_qrtr_tempemp!OW17</f>
        <v>-0.3</v>
      </c>
      <c r="OW17" s="286">
        <f>'Data-temp_employment'!OV17-last_qrtr_tempemp!OX17</f>
        <v>1</v>
      </c>
      <c r="OX17" s="286">
        <f>'Data-temp_employment'!OW17-last_qrtr_tempemp!OY17</f>
        <v>1</v>
      </c>
      <c r="OY17" s="286">
        <f>'Data-temp_employment'!OX17-last_qrtr_tempemp!OZ17</f>
        <v>0.49999999999999989</v>
      </c>
      <c r="OZ17" s="286">
        <f>'Data-temp_employment'!OY17-last_qrtr_tempemp!PA17</f>
        <v>0.6</v>
      </c>
      <c r="PA17" s="286">
        <f>'Data-temp_employment'!OZ17-last_qrtr_tempemp!PB17</f>
        <v>-0.89999999999999991</v>
      </c>
      <c r="PB17" s="286">
        <f>'Data-temp_employment'!PA17-last_qrtr_tempemp!PC17</f>
        <v>1.0999999999999999</v>
      </c>
      <c r="PC17" s="286">
        <f>'Data-temp_employment'!PB17</f>
        <v>0.1</v>
      </c>
      <c r="PE17" s="319"/>
      <c r="PF17" s="319"/>
      <c r="PG17" s="319"/>
      <c r="PH17" s="319"/>
      <c r="PI17" s="319"/>
      <c r="PJ17" s="319"/>
      <c r="PK17" s="319"/>
      <c r="PL17" s="319"/>
      <c r="PM17" s="319"/>
      <c r="PN17" s="319"/>
      <c r="PO17" s="319"/>
      <c r="PP17" s="319"/>
      <c r="PQ17" s="319"/>
      <c r="PR17" s="319"/>
      <c r="PS17" s="319"/>
      <c r="PT17" s="319"/>
      <c r="PU17" s="319"/>
      <c r="PV17" s="319"/>
      <c r="PW17" s="319"/>
      <c r="PX17" s="319"/>
      <c r="PY17" s="319"/>
      <c r="PZ17" s="319"/>
      <c r="QA17" s="319"/>
      <c r="QB17" s="319"/>
      <c r="QC17" s="319"/>
      <c r="QD17" s="319"/>
      <c r="QE17" s="319"/>
      <c r="QF17" s="319"/>
      <c r="QG17" s="319"/>
      <c r="QH17" s="319"/>
      <c r="QI17" s="319"/>
      <c r="QJ17" s="319"/>
      <c r="QK17" s="319"/>
      <c r="QL17" s="319"/>
      <c r="QM17" s="319"/>
      <c r="QN17" s="319"/>
      <c r="QO17" s="319"/>
      <c r="QP17" s="319"/>
      <c r="QQ17" s="319"/>
      <c r="QR17" s="319"/>
      <c r="QS17" s="319"/>
      <c r="QT17" s="319"/>
      <c r="QU17" s="319"/>
      <c r="QV17" s="319"/>
      <c r="QW17" s="319"/>
      <c r="QX17" s="319"/>
      <c r="QY17" s="319"/>
      <c r="QZ17" s="319"/>
      <c r="RA17" s="319"/>
      <c r="RB17" s="319"/>
      <c r="RC17" s="319"/>
      <c r="RD17" s="319"/>
      <c r="RE17" s="319"/>
      <c r="RF17" s="319"/>
      <c r="RG17" s="319"/>
      <c r="RH17" s="319"/>
      <c r="RI17" s="319"/>
      <c r="RJ17" s="319"/>
      <c r="RK17" s="319"/>
      <c r="RL17" s="319"/>
      <c r="RM17" s="319"/>
      <c r="RN17" s="319"/>
      <c r="RO17" s="319"/>
      <c r="RP17" s="319"/>
      <c r="RQ17" s="318"/>
    </row>
    <row r="18" spans="1:485">
      <c r="A18" s="269">
        <v>15</v>
      </c>
      <c r="B18" s="285" t="s">
        <v>41</v>
      </c>
      <c r="C18" s="286">
        <f>'Data-temp_employment'!C18-last_qrtr_tempemp!D18</f>
        <v>-3.3000000000000007</v>
      </c>
      <c r="D18" s="286">
        <f>'Data-temp_employment'!D18-last_qrtr_tempemp!E18</f>
        <v>0.10000000000000142</v>
      </c>
      <c r="E18" s="286">
        <f>'Data-temp_employment'!E18-last_qrtr_tempemp!F18</f>
        <v>4.0999999999999996</v>
      </c>
      <c r="F18" s="286">
        <f>'Data-temp_employment'!F18-last_qrtr_tempemp!G18</f>
        <v>1.0999999999999996</v>
      </c>
      <c r="G18" s="286">
        <f>'Data-temp_employment'!G18-last_qrtr_tempemp!H18</f>
        <v>-3.1000000000000014</v>
      </c>
      <c r="H18" s="286">
        <f>'Data-temp_employment'!H18-last_qrtr_tempemp!I18</f>
        <v>-0.19999999999999929</v>
      </c>
      <c r="I18" s="286">
        <f>'Data-temp_employment'!I18-last_qrtr_tempemp!J18</f>
        <v>2.7999999999999989</v>
      </c>
      <c r="J18" s="286">
        <f>'Data-temp_employment'!J18-last_qrtr_tempemp!K18</f>
        <v>0.90000000000000036</v>
      </c>
      <c r="K18" s="286">
        <f>'Data-temp_employment'!K18-last_qrtr_tempemp!L18</f>
        <v>-3.4000000000000004</v>
      </c>
      <c r="L18" s="286">
        <f>'Data-temp_employment'!L18</f>
        <v>18</v>
      </c>
      <c r="M18" s="285" t="s">
        <v>41</v>
      </c>
      <c r="N18" s="286">
        <f>'Data-temp_employment'!N18-last_qrtr_tempemp!O18</f>
        <v>-78.399999999999977</v>
      </c>
      <c r="O18" s="286">
        <f>'Data-temp_employment'!O18-last_qrtr_tempemp!P18</f>
        <v>2.8000000000000114</v>
      </c>
      <c r="P18" s="286">
        <f>'Data-temp_employment'!P18-last_qrtr_tempemp!Q18</f>
        <v>98.100000000000023</v>
      </c>
      <c r="Q18" s="286">
        <f>'Data-temp_employment'!Q18-last_qrtr_tempemp!R18</f>
        <v>28.300000000000011</v>
      </c>
      <c r="R18" s="286">
        <f>'Data-temp_employment'!R18-last_qrtr_tempemp!S18</f>
        <v>-71.899999999999977</v>
      </c>
      <c r="S18" s="286">
        <f>'Data-temp_employment'!S18-last_qrtr_tempemp!T18</f>
        <v>-1.2000000000000455</v>
      </c>
      <c r="T18" s="286">
        <f>'Data-temp_employment'!T18-last_qrtr_tempemp!U18</f>
        <v>73</v>
      </c>
      <c r="U18" s="286">
        <f>'Data-temp_employment'!U18-last_qrtr_tempemp!V18</f>
        <v>31.399999999999977</v>
      </c>
      <c r="V18" s="286">
        <f>'Data-temp_employment'!V18-last_qrtr_tempemp!W18</f>
        <v>-75.299999999999955</v>
      </c>
      <c r="W18" s="286">
        <f>'Data-temp_employment'!W18</f>
        <v>396.7</v>
      </c>
      <c r="X18" s="285" t="s">
        <v>41</v>
      </c>
      <c r="Y18" s="286">
        <f>'Data-temp_employment'!Y18-last_qrtr_tempemp!Z18</f>
        <v>-4.0999999999999979</v>
      </c>
      <c r="Z18" s="286">
        <f>'Data-temp_employment'!Z18-last_qrtr_tempemp!AA18</f>
        <v>-2.6999999999999993</v>
      </c>
      <c r="AA18" s="286">
        <f>'Data-temp_employment'!AA18-last_qrtr_tempemp!AB18</f>
        <v>-2.5</v>
      </c>
      <c r="AB18" s="286">
        <f>'Data-temp_employment'!AB18-last_qrtr_tempemp!AC18</f>
        <v>-0.19999999999999929</v>
      </c>
      <c r="AC18" s="286">
        <f>'Data-temp_employment'!AC18-last_qrtr_tempemp!AD18</f>
        <v>-5.4000000000000021</v>
      </c>
      <c r="AD18" s="286">
        <f>'Data-temp_employment'!AD18-last_qrtr_tempemp!AE18</f>
        <v>1.1999999999999993</v>
      </c>
      <c r="AE18" s="286">
        <f>'Data-temp_employment'!AE18-last_qrtr_tempemp!AF18</f>
        <v>-1.4000000000000021</v>
      </c>
      <c r="AF18" s="286">
        <f>'Data-temp_employment'!AF18-last_qrtr_tempemp!AG18</f>
        <v>2.1000000000000014</v>
      </c>
      <c r="AG18" s="286">
        <f>'Data-temp_employment'!AG18-last_qrtr_tempemp!AH18</f>
        <v>-2.6999999999999993</v>
      </c>
      <c r="AH18" s="286">
        <f>'Data-temp_employment'!AH18</f>
        <v>28.8</v>
      </c>
      <c r="AI18" s="285" t="s">
        <v>41</v>
      </c>
      <c r="AJ18" s="286">
        <f>'Data-temp_employment'!AJ18-last_qrtr_tempemp!AK18</f>
        <v>-56.5</v>
      </c>
      <c r="AK18" s="286">
        <f>'Data-temp_employment'!AK18-last_qrtr_tempemp!AL18</f>
        <v>-9.4000000000000057</v>
      </c>
      <c r="AL18" s="286">
        <f>'Data-temp_employment'!AL18-last_qrtr_tempemp!AM18</f>
        <v>72.900000000000006</v>
      </c>
      <c r="AM18" s="286">
        <f>'Data-temp_employment'!AM18-last_qrtr_tempemp!AN18</f>
        <v>17.7</v>
      </c>
      <c r="AN18" s="286">
        <f>'Data-temp_employment'!AN18-last_qrtr_tempemp!AO18</f>
        <v>-49.9</v>
      </c>
      <c r="AO18" s="286">
        <f>'Data-temp_employment'!AO18-last_qrtr_tempemp!AP18</f>
        <v>-20.599999999999994</v>
      </c>
      <c r="AP18" s="286">
        <f>'Data-temp_employment'!AP18-last_qrtr_tempemp!AQ18</f>
        <v>55.400000000000006</v>
      </c>
      <c r="AQ18" s="286">
        <f>'Data-temp_employment'!AQ18-last_qrtr_tempemp!AR18</f>
        <v>11.199999999999996</v>
      </c>
      <c r="AR18" s="286">
        <f>'Data-temp_employment'!AR18-last_qrtr_tempemp!AS18</f>
        <v>-56.6</v>
      </c>
      <c r="AS18" s="286">
        <f>'Data-temp_employment'!AS18</f>
        <v>96.8</v>
      </c>
      <c r="AT18" s="285" t="s">
        <v>41</v>
      </c>
      <c r="AU18" s="286">
        <f>'Data-temp_employment'!AU18-last_qrtr_tempemp!AV18</f>
        <v>-12.699999999999996</v>
      </c>
      <c r="AV18" s="286">
        <f>'Data-temp_employment'!AV18-last_qrtr_tempemp!AW18</f>
        <v>-0.60000000000000853</v>
      </c>
      <c r="AW18" s="286">
        <f>'Data-temp_employment'!AW18-last_qrtr_tempemp!AX18</f>
        <v>33.9</v>
      </c>
      <c r="AX18" s="286">
        <f>'Data-temp_employment'!AX18-last_qrtr_tempemp!AY18</f>
        <v>7.8000000000000043</v>
      </c>
      <c r="AY18" s="286">
        <f>'Data-temp_employment'!AY18-last_qrtr_tempemp!AZ18</f>
        <v>-16.899999999999999</v>
      </c>
      <c r="AZ18" s="286">
        <f>'Data-temp_employment'!AZ18-last_qrtr_tempemp!BA18</f>
        <v>8.2000000000000028</v>
      </c>
      <c r="BA18" s="286">
        <f>'Data-temp_employment'!BA18-last_qrtr_tempemp!BB18</f>
        <v>18.5</v>
      </c>
      <c r="BB18" s="286">
        <f>'Data-temp_employment'!BB18-last_qrtr_tempemp!BC18</f>
        <v>9.5000000000000071</v>
      </c>
      <c r="BC18" s="286">
        <f>'Data-temp_employment'!BC18-last_qrtr_tempemp!BD18</f>
        <v>-24.099999999999994</v>
      </c>
      <c r="BD18" s="286">
        <f>'Data-temp_employment'!BD18</f>
        <v>94.3</v>
      </c>
      <c r="BE18" s="285" t="s">
        <v>41</v>
      </c>
      <c r="BF18" s="286">
        <f>'Data-temp_employment'!BF18-last_qrtr_tempemp!BG18</f>
        <v>-5.4000000000000057</v>
      </c>
      <c r="BG18" s="286">
        <f>'Data-temp_employment'!BG18-last_qrtr_tempemp!BH18</f>
        <v>12.700000000000003</v>
      </c>
      <c r="BH18" s="286">
        <f>'Data-temp_employment'!BH18-last_qrtr_tempemp!BI18</f>
        <v>-1.2999999999999972</v>
      </c>
      <c r="BI18" s="286">
        <f>'Data-temp_employment'!BI18-last_qrtr_tempemp!BJ18</f>
        <v>4.7000000000000028</v>
      </c>
      <c r="BJ18" s="286">
        <f>'Data-temp_employment'!BJ18-last_qrtr_tempemp!BK18</f>
        <v>7.2999999999999972</v>
      </c>
      <c r="BK18" s="286">
        <f>'Data-temp_employment'!BK18-last_qrtr_tempemp!BL18</f>
        <v>7.7000000000000028</v>
      </c>
      <c r="BL18" s="286">
        <f>'Data-temp_employment'!BL18-last_qrtr_tempemp!BM18</f>
        <v>-0.90000000000000568</v>
      </c>
      <c r="BM18" s="286">
        <f>'Data-temp_employment'!BM18-last_qrtr_tempemp!BN18</f>
        <v>3.5</v>
      </c>
      <c r="BN18" s="286">
        <f>'Data-temp_employment'!BN18-last_qrtr_tempemp!BO18</f>
        <v>3.3999999999999915</v>
      </c>
      <c r="BO18" s="286">
        <f>'Data-temp_employment'!BO18</f>
        <v>99.2</v>
      </c>
      <c r="BP18" s="285" t="s">
        <v>41</v>
      </c>
      <c r="BQ18" s="286">
        <f>'Data-temp_employment'!BQ18-last_qrtr_tempemp!BR18</f>
        <v>3.5</v>
      </c>
      <c r="BR18" s="286">
        <f>'Data-temp_employment'!BR18-last_qrtr_tempemp!BS18</f>
        <v>3</v>
      </c>
      <c r="BS18" s="286">
        <f>'Data-temp_employment'!BS18-last_qrtr_tempemp!BT18</f>
        <v>-9.9999999999994316E-2</v>
      </c>
      <c r="BT18" s="286">
        <f>'Data-temp_employment'!BT18-last_qrtr_tempemp!BU18</f>
        <v>0.39999999999999858</v>
      </c>
      <c r="BU18" s="286">
        <f>'Data-temp_employment'!BU18-last_qrtr_tempemp!BV18</f>
        <v>-8.3999999999999986</v>
      </c>
      <c r="BV18" s="286">
        <f>'Data-temp_employment'!BV18-last_qrtr_tempemp!BW18</f>
        <v>2.5999999999999943</v>
      </c>
      <c r="BW18" s="286">
        <f>'Data-temp_employment'!BW18-last_qrtr_tempemp!BX18</f>
        <v>-0.89999999999999858</v>
      </c>
      <c r="BX18" s="286">
        <f>'Data-temp_employment'!BX18-last_qrtr_tempemp!BY18</f>
        <v>4.2000000000000028</v>
      </c>
      <c r="BY18" s="286">
        <f>'Data-temp_employment'!BY18-last_qrtr_tempemp!BZ18</f>
        <v>1.8000000000000043</v>
      </c>
      <c r="BZ18" s="286">
        <f>'Data-temp_employment'!BZ18</f>
        <v>43.3</v>
      </c>
      <c r="CA18" s="285" t="s">
        <v>41</v>
      </c>
      <c r="CB18" s="286">
        <f>'Data-temp_employment'!CB18-last_qrtr_tempemp!CC18</f>
        <v>-3.1999999999999993</v>
      </c>
      <c r="CC18" s="286">
        <f>'Data-temp_employment'!CC18-last_qrtr_tempemp!CD18</f>
        <v>-0.89999999999999858</v>
      </c>
      <c r="CD18" s="286">
        <f>'Data-temp_employment'!CD18-last_qrtr_tempemp!CE18</f>
        <v>-3.3999999999999986</v>
      </c>
      <c r="CE18" s="286">
        <f>'Data-temp_employment'!CE18-last_qrtr_tempemp!CF18</f>
        <v>-3.6999999999999957</v>
      </c>
      <c r="CF18" s="286">
        <f>'Data-temp_employment'!CF18-last_qrtr_tempemp!CG18</f>
        <v>0.69999999999999929</v>
      </c>
      <c r="CG18" s="286">
        <f>'Data-temp_employment'!CG18-last_qrtr_tempemp!CH18</f>
        <v>-0.30000000000000071</v>
      </c>
      <c r="CH18" s="286">
        <f>'Data-temp_employment'!CH18-last_qrtr_tempemp!CI18</f>
        <v>0.89999999999999858</v>
      </c>
      <c r="CI18" s="286">
        <f>'Data-temp_employment'!CI18-last_qrtr_tempemp!CJ18</f>
        <v>0.89999999999999858</v>
      </c>
      <c r="CJ18" s="286">
        <f>'Data-temp_employment'!CJ18-last_qrtr_tempemp!CK18</f>
        <v>1.5999999999999979</v>
      </c>
      <c r="CK18" s="286">
        <f>'Data-temp_employment'!CK18</f>
        <v>29.1</v>
      </c>
      <c r="CL18" s="285" t="s">
        <v>41</v>
      </c>
      <c r="CM18" s="286">
        <f>'Data-temp_employment'!CM18-last_qrtr_tempemp!CN18</f>
        <v>-27.6</v>
      </c>
      <c r="CN18" s="286">
        <f>'Data-temp_employment'!CN18-last_qrtr_tempemp!CO18</f>
        <v>-3.5999999999999943</v>
      </c>
      <c r="CO18" s="286">
        <f>'Data-temp_employment'!CO18-last_qrtr_tempemp!CP18</f>
        <v>23.800000000000004</v>
      </c>
      <c r="CP18" s="286">
        <f>'Data-temp_employment'!CP18-last_qrtr_tempemp!CQ18</f>
        <v>9.1999999999999957</v>
      </c>
      <c r="CQ18" s="286">
        <f>'Data-temp_employment'!CQ18-last_qrtr_tempemp!CR18</f>
        <v>-22.300000000000004</v>
      </c>
      <c r="CR18" s="286">
        <f>'Data-temp_employment'!CR18-last_qrtr_tempemp!CS18</f>
        <v>1.8999999999999986</v>
      </c>
      <c r="CS18" s="286">
        <f>'Data-temp_employment'!CS18-last_qrtr_tempemp!CT18</f>
        <v>25.200000000000003</v>
      </c>
      <c r="CT18" s="286">
        <f>'Data-temp_employment'!CT18-last_qrtr_tempemp!CU18</f>
        <v>2.5</v>
      </c>
      <c r="CU18" s="286">
        <f>'Data-temp_employment'!CU18-last_qrtr_tempemp!CV18</f>
        <v>-26</v>
      </c>
      <c r="CV18" s="286">
        <f>'Data-temp_employment'!CV18</f>
        <v>79.099999999999994</v>
      </c>
      <c r="CW18" s="285" t="s">
        <v>41</v>
      </c>
      <c r="CX18" s="286">
        <f>'Data-temp_employment'!CX18-last_qrtr_tempemp!CY18</f>
        <v>-52.999999999999986</v>
      </c>
      <c r="CY18" s="286">
        <f>'Data-temp_employment'!CY18-last_qrtr_tempemp!CZ18</f>
        <v>-6</v>
      </c>
      <c r="CZ18" s="286">
        <f>'Data-temp_employment'!CZ18-last_qrtr_tempemp!DA18</f>
        <v>59.400000000000006</v>
      </c>
      <c r="DA18" s="286">
        <f>'Data-temp_employment'!DA18-last_qrtr_tempemp!DB18</f>
        <v>23.700000000000003</v>
      </c>
      <c r="DB18" s="286">
        <f>'Data-temp_employment'!DB18-last_qrtr_tempemp!DC18</f>
        <v>-51.100000000000009</v>
      </c>
      <c r="DC18" s="286">
        <f>'Data-temp_employment'!DC18-last_qrtr_tempemp!DD18</f>
        <v>-9.0999999999999943</v>
      </c>
      <c r="DD18" s="286">
        <f>'Data-temp_employment'!DD18-last_qrtr_tempemp!DE18</f>
        <v>45.5</v>
      </c>
      <c r="DE18" s="286">
        <f>'Data-temp_employment'!DE18-last_qrtr_tempemp!DF18</f>
        <v>19.599999999999994</v>
      </c>
      <c r="DF18" s="286">
        <f>'Data-temp_employment'!DF18-last_qrtr_tempemp!DG18</f>
        <v>-47.599999999999994</v>
      </c>
      <c r="DG18" s="286">
        <f>'Data-temp_employment'!DG18</f>
        <v>196.7</v>
      </c>
      <c r="DH18" s="285" t="s">
        <v>41</v>
      </c>
      <c r="DI18" s="286">
        <f>'Data-temp_employment'!DI18-last_qrtr_tempemp!DJ18</f>
        <v>2.0999999999999943</v>
      </c>
      <c r="DJ18" s="286">
        <f>'Data-temp_employment'!DJ18-last_qrtr_tempemp!DK18</f>
        <v>12.399999999999991</v>
      </c>
      <c r="DK18" s="286">
        <f>'Data-temp_employment'!DK18-last_qrtr_tempemp!DL18</f>
        <v>15</v>
      </c>
      <c r="DL18" s="286">
        <f>'Data-temp_employment'!DL18-last_qrtr_tempemp!DM18</f>
        <v>-4.6999999999999886</v>
      </c>
      <c r="DM18" s="286">
        <f>'Data-temp_employment'!DM18-last_qrtr_tempemp!DN18</f>
        <v>1.4000000000000057</v>
      </c>
      <c r="DN18" s="286">
        <f>'Data-temp_employment'!DN18-last_qrtr_tempemp!DO18</f>
        <v>5.9000000000000057</v>
      </c>
      <c r="DO18" s="286">
        <f>'Data-temp_employment'!DO18-last_qrtr_tempemp!DP18</f>
        <v>2.5</v>
      </c>
      <c r="DP18" s="286">
        <f>'Data-temp_employment'!DP18-last_qrtr_tempemp!DQ18</f>
        <v>9.3000000000000114</v>
      </c>
      <c r="DQ18" s="286">
        <f>'Data-temp_employment'!DQ18-last_qrtr_tempemp!DR18</f>
        <v>-1.7000000000000028</v>
      </c>
      <c r="DR18" s="286">
        <f>'Data-temp_employment'!DR18</f>
        <v>121</v>
      </c>
      <c r="DS18" s="285" t="s">
        <v>41</v>
      </c>
      <c r="DT18" s="286">
        <f>'Data-temp_employment'!DT18-last_qrtr_tempemp!DU18</f>
        <v>0</v>
      </c>
      <c r="DU18" s="286">
        <f>'Data-temp_employment'!DU18-last_qrtr_tempemp!DV18</f>
        <v>0</v>
      </c>
      <c r="DV18" s="286">
        <f>'Data-temp_employment'!DV18-last_qrtr_tempemp!DW18</f>
        <v>0</v>
      </c>
      <c r="DW18" s="286">
        <f>'Data-temp_employment'!DW18-last_qrtr_tempemp!DX18</f>
        <v>0</v>
      </c>
      <c r="DX18" s="286">
        <f>'Data-temp_employment'!DX18-last_qrtr_tempemp!DY18</f>
        <v>0</v>
      </c>
      <c r="DY18" s="286">
        <f>'Data-temp_employment'!DY18-last_qrtr_tempemp!DZ18</f>
        <v>0</v>
      </c>
      <c r="DZ18" s="286">
        <f>'Data-temp_employment'!DZ18-last_qrtr_tempemp!EA18</f>
        <v>0</v>
      </c>
      <c r="EA18" s="286">
        <f>'Data-temp_employment'!EA18-last_qrtr_tempemp!EB18</f>
        <v>0</v>
      </c>
      <c r="EB18" s="286">
        <f>'Data-temp_employment'!EB18-last_qrtr_tempemp!EC18</f>
        <v>0</v>
      </c>
      <c r="EC18" s="286">
        <f>'Data-temp_employment'!EC18</f>
        <v>0</v>
      </c>
      <c r="ED18" s="285" t="s">
        <v>41</v>
      </c>
      <c r="EE18" s="286">
        <f>'Data-temp_employment'!EE18-last_qrtr_tempemp!EF18</f>
        <v>0.69999999999999973</v>
      </c>
      <c r="EF18" s="286">
        <f>'Data-temp_employment'!EF18-last_qrtr_tempemp!EG18</f>
        <v>-0.20000000000000018</v>
      </c>
      <c r="EG18" s="286">
        <f>'Data-temp_employment'!EG18-last_qrtr_tempemp!EH18</f>
        <v>0.69999999999999973</v>
      </c>
      <c r="EH18" s="286">
        <f>'Data-temp_employment'!EH18-last_qrtr_tempemp!EI18</f>
        <v>-0.89999999999999991</v>
      </c>
      <c r="EI18" s="286">
        <f>'Data-temp_employment'!EI18-last_qrtr_tempemp!EJ18</f>
        <v>-0.5</v>
      </c>
      <c r="EJ18" s="286">
        <f>'Data-temp_employment'!EJ18-last_qrtr_tempemp!EK18</f>
        <v>-2.8</v>
      </c>
      <c r="EK18" s="286">
        <f>'Data-temp_employment'!EK18-last_qrtr_tempemp!EL18</f>
        <v>-2.4</v>
      </c>
      <c r="EL18" s="286">
        <f>'Data-temp_employment'!EL18-last_qrtr_tempemp!EM18</f>
        <v>0.89999999999999991</v>
      </c>
      <c r="EM18" s="286">
        <f>'Data-temp_employment'!EM18-last_qrtr_tempemp!EN18</f>
        <v>3.9</v>
      </c>
      <c r="EN18" s="286">
        <f>'Data-temp_employment'!EN18</f>
        <v>3.4</v>
      </c>
      <c r="EO18" s="285" t="s">
        <v>41</v>
      </c>
      <c r="EP18" s="286">
        <f>'Data-temp_employment'!EP18-last_qrtr_tempemp!EQ18</f>
        <v>-0.79999999999999716</v>
      </c>
      <c r="EQ18" s="286">
        <f>'Data-temp_employment'!EQ18-last_qrtr_tempemp!ER18</f>
        <v>1.5</v>
      </c>
      <c r="ER18" s="286">
        <f>'Data-temp_employment'!ER18-last_qrtr_tempemp!ES18</f>
        <v>0.29999999999999716</v>
      </c>
      <c r="ES18" s="286">
        <f>'Data-temp_employment'!ES18-last_qrtr_tempemp!ET18</f>
        <v>2.6000000000000085</v>
      </c>
      <c r="ET18" s="286">
        <f>'Data-temp_employment'!ET18-last_qrtr_tempemp!EU18</f>
        <v>1.3000000000000114</v>
      </c>
      <c r="EU18" s="286">
        <f>'Data-temp_employment'!EU18-last_qrtr_tempemp!EV18</f>
        <v>6.2000000000000028</v>
      </c>
      <c r="EV18" s="286">
        <f>'Data-temp_employment'!EV18-last_qrtr_tempemp!EW18</f>
        <v>-2.3000000000000114</v>
      </c>
      <c r="EW18" s="286">
        <f>'Data-temp_employment'!EW18-last_qrtr_tempemp!EX18</f>
        <v>5.7999999999999972</v>
      </c>
      <c r="EX18" s="286">
        <f>'Data-temp_employment'!EX18-last_qrtr_tempemp!EY18</f>
        <v>-5</v>
      </c>
      <c r="EY18" s="286">
        <f>'Data-temp_employment'!EY18</f>
        <v>85.2</v>
      </c>
      <c r="EZ18" s="285" t="s">
        <v>41</v>
      </c>
      <c r="FA18" s="286">
        <f>'Data-temp_employment'!FA18-last_qrtr_tempemp!FB18</f>
        <v>-7.6000000000000014</v>
      </c>
      <c r="FB18" s="286">
        <f>'Data-temp_employment'!FB18-last_qrtr_tempemp!FC18</f>
        <v>8.3999999999999986</v>
      </c>
      <c r="FC18" s="286">
        <f>'Data-temp_employment'!FC18-last_qrtr_tempemp!FD18</f>
        <v>16</v>
      </c>
      <c r="FD18" s="286">
        <f>'Data-temp_employment'!FD18-last_qrtr_tempemp!FE18</f>
        <v>0.29999999999999716</v>
      </c>
      <c r="FE18" s="286">
        <f>'Data-temp_employment'!FE18-last_qrtr_tempemp!FF18</f>
        <v>-8.1000000000000014</v>
      </c>
      <c r="FF18" s="286">
        <f>'Data-temp_employment'!FF18-last_qrtr_tempemp!FG18</f>
        <v>4.5999999999999943</v>
      </c>
      <c r="FG18" s="286">
        <f>'Data-temp_employment'!FG18-last_qrtr_tempemp!FH18</f>
        <v>18.900000000000006</v>
      </c>
      <c r="FH18" s="286">
        <f>'Data-temp_employment'!FH18-last_qrtr_tempemp!FI18</f>
        <v>5.6000000000000014</v>
      </c>
      <c r="FI18" s="286">
        <f>'Data-temp_employment'!FI18-last_qrtr_tempemp!FJ18</f>
        <v>-16.799999999999997</v>
      </c>
      <c r="FJ18" s="286">
        <f>'Data-temp_employment'!FJ18</f>
        <v>65.5</v>
      </c>
      <c r="FK18" s="285" t="s">
        <v>41</v>
      </c>
      <c r="FL18" s="286">
        <f>'Data-temp_employment'!FL18-last_qrtr_tempemp!FM18</f>
        <v>-5.3000000000000007</v>
      </c>
      <c r="FM18" s="286">
        <f>'Data-temp_employment'!FM18-last_qrtr_tempemp!FN18</f>
        <v>-1.5999999999999979</v>
      </c>
      <c r="FN18" s="286">
        <f>'Data-temp_employment'!FN18-last_qrtr_tempemp!FO18</f>
        <v>2.5999999999999979</v>
      </c>
      <c r="FO18" s="286">
        <f>'Data-temp_employment'!FO18-last_qrtr_tempemp!FP18</f>
        <v>-0.19999999999999929</v>
      </c>
      <c r="FP18" s="286">
        <f>'Data-temp_employment'!FP18-last_qrtr_tempemp!FQ18</f>
        <v>-2.6000000000000014</v>
      </c>
      <c r="FQ18" s="286">
        <f>'Data-temp_employment'!FQ18-last_qrtr_tempemp!FR18</f>
        <v>2.9000000000000021</v>
      </c>
      <c r="FR18" s="286">
        <f>'Data-temp_employment'!FR18-last_qrtr_tempemp!FS18</f>
        <v>9</v>
      </c>
      <c r="FS18" s="286">
        <f>'Data-temp_employment'!FS18-last_qrtr_tempemp!FT18</f>
        <v>4.1999999999999993</v>
      </c>
      <c r="FT18" s="286">
        <f>'Data-temp_employment'!FT18-last_qrtr_tempemp!FU18</f>
        <v>-5.7000000000000028</v>
      </c>
      <c r="FU18" s="286">
        <f>'Data-temp_employment'!FU18</f>
        <v>26.2</v>
      </c>
      <c r="FV18" s="285" t="s">
        <v>41</v>
      </c>
      <c r="FW18" s="286">
        <f>'Data-temp_employment'!FW18-last_qrtr_tempemp!FX18</f>
        <v>-15.599999999999994</v>
      </c>
      <c r="FX18" s="286">
        <f>'Data-temp_employment'!FX18-last_qrtr_tempemp!FY18</f>
        <v>4.7000000000000028</v>
      </c>
      <c r="FY18" s="286">
        <f>'Data-temp_employment'!FY18-last_qrtr_tempemp!FZ18</f>
        <v>33.700000000000003</v>
      </c>
      <c r="FZ18" s="286">
        <f>'Data-temp_employment'!FZ18-last_qrtr_tempemp!GA18</f>
        <v>7.2000000000000028</v>
      </c>
      <c r="GA18" s="286">
        <f>'Data-temp_employment'!GA18-last_qrtr_tempemp!GB18</f>
        <v>-22.200000000000003</v>
      </c>
      <c r="GB18" s="286">
        <f>'Data-temp_employment'!GB18-last_qrtr_tempemp!GC18</f>
        <v>-7.2000000000000028</v>
      </c>
      <c r="GC18" s="286">
        <f>'Data-temp_employment'!GC18-last_qrtr_tempemp!GD18</f>
        <v>10.199999999999989</v>
      </c>
      <c r="GD18" s="286">
        <f>'Data-temp_employment'!GD18-last_qrtr_tempemp!GE18</f>
        <v>0.70000000000000284</v>
      </c>
      <c r="GE18" s="286">
        <f>'Data-temp_employment'!GE18-last_qrtr_tempemp!GF18</f>
        <v>-18.399999999999991</v>
      </c>
      <c r="GF18" s="286">
        <f>'Data-temp_employment'!GF18</f>
        <v>101.3</v>
      </c>
      <c r="GG18" s="285" t="s">
        <v>41</v>
      </c>
      <c r="GH18" s="286">
        <f>'Data-temp_employment'!GH18-last_qrtr_tempemp!GI18</f>
        <v>-11.1</v>
      </c>
      <c r="GI18" s="286">
        <f>'Data-temp_employment'!GI18-last_qrtr_tempemp!GJ18</f>
        <v>-2</v>
      </c>
      <c r="GJ18" s="286">
        <f>'Data-temp_employment'!GJ18-last_qrtr_tempemp!GK18</f>
        <v>5.6000000000000005</v>
      </c>
      <c r="GK18" s="286">
        <f>'Data-temp_employment'!GK18-last_qrtr_tempemp!GL18</f>
        <v>4.5</v>
      </c>
      <c r="GL18" s="286">
        <f>'Data-temp_employment'!GL18-last_qrtr_tempemp!GM18</f>
        <v>-5.8</v>
      </c>
      <c r="GM18" s="286">
        <f>'Data-temp_employment'!GM18-last_qrtr_tempemp!GN18</f>
        <v>0.29999999999999893</v>
      </c>
      <c r="GN18" s="286">
        <f>'Data-temp_employment'!GN18-last_qrtr_tempemp!GO18</f>
        <v>5.6</v>
      </c>
      <c r="GO18" s="286">
        <f>'Data-temp_employment'!GO18-last_qrtr_tempemp!GP18</f>
        <v>1.8999999999999995</v>
      </c>
      <c r="GP18" s="286">
        <f>'Data-temp_employment'!GP18-last_qrtr_tempemp!GQ18</f>
        <v>-6.6</v>
      </c>
      <c r="GQ18" s="286">
        <f>'Data-temp_employment'!GQ18</f>
        <v>10</v>
      </c>
      <c r="GR18" s="285" t="s">
        <v>41</v>
      </c>
      <c r="GS18" s="286">
        <f>'Data-temp_employment'!GS18-last_qrtr_tempemp!GT18</f>
        <v>-6.5</v>
      </c>
      <c r="GT18" s="286">
        <f>'Data-temp_employment'!GT18-last_qrtr_tempemp!GU18</f>
        <v>-2.0999999999999979</v>
      </c>
      <c r="GU18" s="286">
        <f>'Data-temp_employment'!GU18-last_qrtr_tempemp!GV18</f>
        <v>8.1999999999999993</v>
      </c>
      <c r="GV18" s="286">
        <f>'Data-temp_employment'!GV18-last_qrtr_tempemp!GW18</f>
        <v>6.8000000000000007</v>
      </c>
      <c r="GW18" s="286">
        <f>'Data-temp_employment'!GW18-last_qrtr_tempemp!GX18</f>
        <v>-11.100000000000001</v>
      </c>
      <c r="GX18" s="286">
        <f>'Data-temp_employment'!GX18-last_qrtr_tempemp!GY18</f>
        <v>2.6000000000000014</v>
      </c>
      <c r="GY18" s="286">
        <f>'Data-temp_employment'!GY18-last_qrtr_tempemp!GZ18</f>
        <v>8.3000000000000007</v>
      </c>
      <c r="GZ18" s="286">
        <f>'Data-temp_employment'!GZ18-last_qrtr_tempemp!HA18</f>
        <v>4.9000000000000021</v>
      </c>
      <c r="HA18" s="286">
        <f>'Data-temp_employment'!HA18-last_qrtr_tempemp!HB18</f>
        <v>-9.5</v>
      </c>
      <c r="HB18" s="286">
        <f>'Data-temp_employment'!HB18</f>
        <v>27</v>
      </c>
      <c r="HC18" s="285" t="s">
        <v>41</v>
      </c>
      <c r="HD18" s="286">
        <f>'Data-temp_employment'!HD18-last_qrtr_tempemp!HE18</f>
        <v>-8</v>
      </c>
      <c r="HE18" s="286">
        <f>'Data-temp_employment'!HE18-last_qrtr_tempemp!HF18</f>
        <v>-3.6000000000000014</v>
      </c>
      <c r="HF18" s="286">
        <f>'Data-temp_employment'!HF18-last_qrtr_tempemp!HG18</f>
        <v>7.2000000000000011</v>
      </c>
      <c r="HG18" s="286">
        <f>'Data-temp_employment'!HG18-last_qrtr_tempemp!HH18</f>
        <v>1.9000000000000004</v>
      </c>
      <c r="HH18" s="286">
        <f>'Data-temp_employment'!HH18-last_qrtr_tempemp!HI18</f>
        <v>-6.2999999999999989</v>
      </c>
      <c r="HI18" s="286">
        <f>'Data-temp_employment'!HI18-last_qrtr_tempemp!HJ18</f>
        <v>-1.8000000000000007</v>
      </c>
      <c r="HJ18" s="286">
        <f>'Data-temp_employment'!HJ18-last_qrtr_tempemp!HK18</f>
        <v>8.5000000000000018</v>
      </c>
      <c r="HK18" s="286">
        <f>'Data-temp_employment'!HK18-last_qrtr_tempemp!HL18</f>
        <v>3.7000000000000011</v>
      </c>
      <c r="HL18" s="286">
        <f>'Data-temp_employment'!HL18-last_qrtr_tempemp!HM18</f>
        <v>-3.6000000000000014</v>
      </c>
      <c r="HM18" s="286">
        <f>'Data-temp_employment'!HM18</f>
        <v>25.6</v>
      </c>
      <c r="HN18" s="285" t="s">
        <v>41</v>
      </c>
      <c r="HO18" s="286">
        <f>'Data-temp_employment'!HO18-last_qrtr_tempemp!HP18</f>
        <v>-23.6</v>
      </c>
      <c r="HP18" s="286">
        <f>'Data-temp_employment'!HP18-last_qrtr_tempemp!HQ18</f>
        <v>-2.8000000000000043</v>
      </c>
      <c r="HQ18" s="286">
        <f>'Data-temp_employment'!HQ18-last_qrtr_tempemp!HR18</f>
        <v>21.5</v>
      </c>
      <c r="HR18" s="286">
        <f>'Data-temp_employment'!HR18-last_qrtr_tempemp!HS18</f>
        <v>6.3000000000000007</v>
      </c>
      <c r="HS18" s="286">
        <f>'Data-temp_employment'!HS18-last_qrtr_tempemp!HT18</f>
        <v>-16.299999999999997</v>
      </c>
      <c r="HT18" s="286">
        <f>'Data-temp_employment'!HT18-last_qrtr_tempemp!HU18</f>
        <v>-5.1000000000000014</v>
      </c>
      <c r="HU18" s="286">
        <f>'Data-temp_employment'!HU18-last_qrtr_tempemp!HV18</f>
        <v>15.900000000000002</v>
      </c>
      <c r="HV18" s="286">
        <f>'Data-temp_employment'!HV18-last_qrtr_tempemp!HW18</f>
        <v>3.5</v>
      </c>
      <c r="HW18" s="286">
        <f>'Data-temp_employment'!HW18-last_qrtr_tempemp!HX18</f>
        <v>-12.499999999999996</v>
      </c>
      <c r="HX18" s="286">
        <f>'Data-temp_employment'!HX18</f>
        <v>50.8</v>
      </c>
      <c r="HY18" s="285" t="s">
        <v>41</v>
      </c>
      <c r="HZ18" s="286">
        <f>'Data-temp_employment'!HZ18-last_qrtr_tempemp!IA18</f>
        <v>0</v>
      </c>
      <c r="IA18" s="286">
        <f>'Data-temp_employment'!IA18-last_qrtr_tempemp!IB18</f>
        <v>0</v>
      </c>
      <c r="IB18" s="286">
        <f>'Data-temp_employment'!IB18-last_qrtr_tempemp!IC18</f>
        <v>0</v>
      </c>
      <c r="IC18" s="286">
        <f>'Data-temp_employment'!IC18-last_qrtr_tempemp!ID18</f>
        <v>0</v>
      </c>
      <c r="ID18" s="286">
        <f>'Data-temp_employment'!ID18-last_qrtr_tempemp!IE18</f>
        <v>0</v>
      </c>
      <c r="IE18" s="286">
        <f>'Data-temp_employment'!IE18-last_qrtr_tempemp!IF18</f>
        <v>0</v>
      </c>
      <c r="IF18" s="286">
        <f>'Data-temp_employment'!IF18-last_qrtr_tempemp!IG18</f>
        <v>0</v>
      </c>
      <c r="IG18" s="286">
        <f>'Data-temp_employment'!IG18-last_qrtr_tempemp!IH18</f>
        <v>0</v>
      </c>
      <c r="IH18" s="286">
        <f>'Data-temp_employment'!IH18-last_qrtr_tempemp!II18</f>
        <v>0</v>
      </c>
      <c r="II18" s="286">
        <f>'Data-temp_employment'!II18</f>
        <v>0</v>
      </c>
      <c r="IJ18" s="285" t="s">
        <v>41</v>
      </c>
      <c r="IK18" s="286">
        <f>'Data-temp_employment'!IK18-last_qrtr_tempemp!IL18</f>
        <v>0</v>
      </c>
      <c r="IL18" s="286">
        <f>'Data-temp_employment'!IL18-last_qrtr_tempemp!IM18</f>
        <v>0</v>
      </c>
      <c r="IM18" s="286">
        <f>'Data-temp_employment'!IM18-last_qrtr_tempemp!IN18</f>
        <v>0</v>
      </c>
      <c r="IN18" s="286">
        <f>'Data-temp_employment'!IN18-last_qrtr_tempemp!IO18</f>
        <v>0</v>
      </c>
      <c r="IO18" s="286">
        <f>'Data-temp_employment'!IO18-last_qrtr_tempemp!IP18</f>
        <v>0</v>
      </c>
      <c r="IP18" s="286">
        <f>'Data-temp_employment'!IP18-last_qrtr_tempemp!IQ18</f>
        <v>0</v>
      </c>
      <c r="IQ18" s="286">
        <f>'Data-temp_employment'!IQ18-last_qrtr_tempemp!IR18</f>
        <v>0</v>
      </c>
      <c r="IR18" s="286">
        <f>'Data-temp_employment'!IR18-last_qrtr_tempemp!IS18</f>
        <v>0</v>
      </c>
      <c r="IS18" s="286">
        <f>'Data-temp_employment'!IS18-last_qrtr_tempemp!IT18</f>
        <v>0</v>
      </c>
      <c r="IT18" s="286">
        <f>'Data-temp_employment'!IT18</f>
        <v>0</v>
      </c>
      <c r="IU18" s="285" t="s">
        <v>41</v>
      </c>
      <c r="IV18" s="286">
        <f>'Data-temp_employment'!IV18-last_qrtr_tempemp!IW18</f>
        <v>-6.8</v>
      </c>
      <c r="IW18" s="286">
        <f>'Data-temp_employment'!IW18-last_qrtr_tempemp!IX18</f>
        <v>-1.5999999999999996</v>
      </c>
      <c r="IX18" s="286">
        <f>'Data-temp_employment'!IX18-last_qrtr_tempemp!IY18</f>
        <v>5</v>
      </c>
      <c r="IY18" s="286">
        <f>'Data-temp_employment'!IY18-last_qrtr_tempemp!IZ18</f>
        <v>3</v>
      </c>
      <c r="IZ18" s="286">
        <f>'Data-temp_employment'!IZ18-last_qrtr_tempemp!JA18</f>
        <v>-2.8000000000000003</v>
      </c>
      <c r="JA18" s="286">
        <f>'Data-temp_employment'!JA18-last_qrtr_tempemp!JB18</f>
        <v>-1.9000000000000004</v>
      </c>
      <c r="JB18" s="286">
        <f>'Data-temp_employment'!JB18-last_qrtr_tempemp!JC18</f>
        <v>4.5999999999999996</v>
      </c>
      <c r="JC18" s="286">
        <f>'Data-temp_employment'!JC18-last_qrtr_tempemp!JD18</f>
        <v>1.9999999999999996</v>
      </c>
      <c r="JD18" s="286">
        <f>'Data-temp_employment'!JD18-last_qrtr_tempemp!JE18</f>
        <v>-2.8999999999999995</v>
      </c>
      <c r="JE18" s="286">
        <f>'Data-temp_employment'!JE18</f>
        <v>6.9</v>
      </c>
      <c r="JF18" s="285" t="s">
        <v>41</v>
      </c>
      <c r="JG18" s="286">
        <f>'Data-temp_employment'!JG18-last_qrtr_tempemp!JH18</f>
        <v>-10.3</v>
      </c>
      <c r="JH18" s="286">
        <f>'Data-temp_employment'!JH18-last_qrtr_tempemp!JI18</f>
        <v>0.19999999999999929</v>
      </c>
      <c r="JI18" s="286">
        <f>'Data-temp_employment'!JI18-last_qrtr_tempemp!JJ18</f>
        <v>13.8</v>
      </c>
      <c r="JJ18" s="286">
        <f>'Data-temp_employment'!JJ18-last_qrtr_tempemp!JK18</f>
        <v>6.3000000000000007</v>
      </c>
      <c r="JK18" s="286">
        <f>'Data-temp_employment'!JK18-last_qrtr_tempemp!JL18</f>
        <v>-9.1000000000000014</v>
      </c>
      <c r="JL18" s="286">
        <f>'Data-temp_employment'!JL18-last_qrtr_tempemp!JM18</f>
        <v>3.2000000000000028</v>
      </c>
      <c r="JM18" s="286">
        <f>'Data-temp_employment'!JM18-last_qrtr_tempemp!JN18</f>
        <v>13.3</v>
      </c>
      <c r="JN18" s="286">
        <f>'Data-temp_employment'!JN18-last_qrtr_tempemp!JO18</f>
        <v>1.1000000000000014</v>
      </c>
      <c r="JO18" s="286">
        <f>'Data-temp_employment'!JO18-last_qrtr_tempemp!JP18</f>
        <v>-11.000000000000004</v>
      </c>
      <c r="JP18" s="286">
        <f>'Data-temp_employment'!JP18</f>
        <v>38.9</v>
      </c>
      <c r="JQ18" s="285" t="s">
        <v>41</v>
      </c>
      <c r="JR18" s="286">
        <f>'Data-temp_employment'!JR18-last_qrtr_tempemp!JS18</f>
        <v>-8.8000000000000007</v>
      </c>
      <c r="JS18" s="286">
        <f>'Data-temp_employment'!JS18-last_qrtr_tempemp!JT18</f>
        <v>-5.7000000000000011</v>
      </c>
      <c r="JT18" s="286">
        <f>'Data-temp_employment'!JT18-last_qrtr_tempemp!JU18</f>
        <v>6.1999999999999993</v>
      </c>
      <c r="JU18" s="286">
        <f>'Data-temp_employment'!JU18-last_qrtr_tempemp!JV18</f>
        <v>6.2</v>
      </c>
      <c r="JV18" s="286">
        <f>'Data-temp_employment'!JV18-last_qrtr_tempemp!JW18</f>
        <v>-6.4</v>
      </c>
      <c r="JW18" s="286">
        <f>'Data-temp_employment'!JW18-last_qrtr_tempemp!JX18</f>
        <v>-0.10000000000000142</v>
      </c>
      <c r="JX18" s="286">
        <f>'Data-temp_employment'!JX18-last_qrtr_tempemp!JY18</f>
        <v>8.1</v>
      </c>
      <c r="JY18" s="286">
        <f>'Data-temp_employment'!JY18-last_qrtr_tempemp!JZ18</f>
        <v>5</v>
      </c>
      <c r="JZ18" s="286">
        <f>'Data-temp_employment'!JZ18-last_qrtr_tempemp!KA18</f>
        <v>-5.9999999999999982</v>
      </c>
      <c r="KA18" s="286">
        <f>'Data-temp_employment'!KA18</f>
        <v>18.8</v>
      </c>
      <c r="KB18" s="285" t="s">
        <v>41</v>
      </c>
      <c r="KC18" s="286">
        <f>'Data-temp_employment'!KC18-last_qrtr_tempemp!KD18</f>
        <v>-11.799999999999997</v>
      </c>
      <c r="KD18" s="286">
        <f>'Data-temp_employment'!KD18-last_qrtr_tempemp!KE18</f>
        <v>2.5</v>
      </c>
      <c r="KE18" s="286">
        <f>'Data-temp_employment'!KE18-last_qrtr_tempemp!KF18</f>
        <v>19.599999999999998</v>
      </c>
      <c r="KF18" s="286">
        <f>'Data-temp_employment'!KF18-last_qrtr_tempemp!KG18</f>
        <v>8.1999999999999993</v>
      </c>
      <c r="KG18" s="286">
        <f>'Data-temp_employment'!KG18-last_qrtr_tempemp!KH18</f>
        <v>-17.900000000000002</v>
      </c>
      <c r="KH18" s="286">
        <f>'Data-temp_employment'!KH18-last_qrtr_tempemp!KI18</f>
        <v>-4</v>
      </c>
      <c r="KI18" s="286">
        <f>'Data-temp_employment'!KI18-last_qrtr_tempemp!KJ18</f>
        <v>7.9000000000000021</v>
      </c>
      <c r="KJ18" s="286">
        <f>'Data-temp_employment'!KJ18-last_qrtr_tempemp!KK18</f>
        <v>8.3000000000000007</v>
      </c>
      <c r="KK18" s="286">
        <f>'Data-temp_employment'!KK18-last_qrtr_tempemp!KL18</f>
        <v>-14.299999999999997</v>
      </c>
      <c r="KL18" s="286">
        <f>'Data-temp_employment'!KL18</f>
        <v>46.3</v>
      </c>
      <c r="KM18" s="285" t="s">
        <v>41</v>
      </c>
      <c r="KN18" s="286">
        <f>'Data-temp_employment'!KN18-last_qrtr_tempemp!KO18</f>
        <v>-4.8000000000000007</v>
      </c>
      <c r="KO18" s="286">
        <f>'Data-temp_employment'!KO18-last_qrtr_tempemp!KP18</f>
        <v>-1.2999999999999989</v>
      </c>
      <c r="KP18" s="286">
        <f>'Data-temp_employment'!KP18-last_qrtr_tempemp!KQ18</f>
        <v>2.5</v>
      </c>
      <c r="KQ18" s="286">
        <f>'Data-temp_employment'!KQ18-last_qrtr_tempemp!KR18</f>
        <v>-0.39999999999999858</v>
      </c>
      <c r="KR18" s="286">
        <f>'Data-temp_employment'!KR18-last_qrtr_tempemp!KS18</f>
        <v>-2.2000000000000011</v>
      </c>
      <c r="KS18" s="286">
        <f>'Data-temp_employment'!KS18-last_qrtr_tempemp!KT18</f>
        <v>-2.5</v>
      </c>
      <c r="KT18" s="286">
        <f>'Data-temp_employment'!KT18-last_qrtr_tempemp!KU18</f>
        <v>4.0999999999999996</v>
      </c>
      <c r="KU18" s="286">
        <f>'Data-temp_employment'!KU18-last_qrtr_tempemp!KV18</f>
        <v>2.5</v>
      </c>
      <c r="KV18" s="286">
        <f>'Data-temp_employment'!KV18-last_qrtr_tempemp!KW18</f>
        <v>-3.0999999999999996</v>
      </c>
      <c r="KW18" s="286">
        <f>'Data-temp_employment'!KW18</f>
        <v>13.6</v>
      </c>
      <c r="KX18" s="285" t="s">
        <v>41</v>
      </c>
      <c r="KY18" s="286">
        <f>'Data-temp_employment'!KY18-last_qrtr_tempemp!KZ18</f>
        <v>-4.0999999999999996</v>
      </c>
      <c r="KZ18" s="286">
        <f>'Data-temp_employment'!KZ18-last_qrtr_tempemp!LA18</f>
        <v>-1</v>
      </c>
      <c r="LA18" s="286">
        <f>'Data-temp_employment'!LA18-last_qrtr_tempemp!LB18</f>
        <v>11.200000000000001</v>
      </c>
      <c r="LB18" s="286">
        <f>'Data-temp_employment'!LB18-last_qrtr_tempemp!LC18</f>
        <v>0.19999999999999929</v>
      </c>
      <c r="LC18" s="286">
        <f>'Data-temp_employment'!LC18-last_qrtr_tempemp!LD18</f>
        <v>-1.7000000000000011</v>
      </c>
      <c r="LD18" s="286">
        <f>'Data-temp_employment'!LD18-last_qrtr_tempemp!LE18</f>
        <v>-7.7000000000000011</v>
      </c>
      <c r="LE18" s="286">
        <f>'Data-temp_employment'!LE18-last_qrtr_tempemp!LF18</f>
        <v>5.6000000000000014</v>
      </c>
      <c r="LF18" s="286">
        <f>'Data-temp_employment'!LF18-last_qrtr_tempemp!LG18</f>
        <v>-1.7999999999999989</v>
      </c>
      <c r="LG18" s="286">
        <f>'Data-temp_employment'!LG18-last_qrtr_tempemp!LH18</f>
        <v>-2.6999999999999993</v>
      </c>
      <c r="LH18" s="286">
        <f>'Data-temp_employment'!LH18</f>
        <v>15.7</v>
      </c>
      <c r="LI18" s="285" t="s">
        <v>41</v>
      </c>
      <c r="LJ18" s="286">
        <f>'Data-temp_employment'!LJ18-last_qrtr_tempemp!LK18</f>
        <v>0.79999999999999982</v>
      </c>
      <c r="LK18" s="286">
        <f>'Data-temp_employment'!LK18-last_qrtr_tempemp!LL18</f>
        <v>-1.1999999999999993</v>
      </c>
      <c r="LL18" s="286">
        <f>'Data-temp_employment'!LL18-last_qrtr_tempemp!LM18</f>
        <v>0.5</v>
      </c>
      <c r="LM18" s="286">
        <f>'Data-temp_employment'!LM18-last_qrtr_tempemp!LN18</f>
        <v>-1.1999999999999993</v>
      </c>
      <c r="LN18" s="286">
        <f>'Data-temp_employment'!LN18-last_qrtr_tempemp!LO18</f>
        <v>-2.7</v>
      </c>
      <c r="LO18" s="286">
        <f>'Data-temp_employment'!LO18-last_qrtr_tempemp!LP18</f>
        <v>-0.70000000000000018</v>
      </c>
      <c r="LP18" s="286">
        <f>'Data-temp_employment'!LP18-last_qrtr_tempemp!LQ18</f>
        <v>1.5</v>
      </c>
      <c r="LQ18" s="286">
        <f>'Data-temp_employment'!LQ18-last_qrtr_tempemp!LR18</f>
        <v>2.0999999999999996</v>
      </c>
      <c r="LR18" s="286">
        <f>'Data-temp_employment'!LR18-last_qrtr_tempemp!LS18</f>
        <v>-0.20000000000000018</v>
      </c>
      <c r="LS18" s="286">
        <f>'Data-temp_employment'!LS18</f>
        <v>8</v>
      </c>
      <c r="LT18" s="285" t="s">
        <v>41</v>
      </c>
      <c r="LU18" s="286">
        <f>'Data-temp_employment'!LU18-last_qrtr_tempemp!LV18</f>
        <v>0.5</v>
      </c>
      <c r="LV18" s="286">
        <f>'Data-temp_employment'!LV18-last_qrtr_tempemp!LW18</f>
        <v>1</v>
      </c>
      <c r="LW18" s="286">
        <f>'Data-temp_employment'!LW18-last_qrtr_tempemp!LX18</f>
        <v>1.7000000000000002</v>
      </c>
      <c r="LX18" s="286">
        <f>'Data-temp_employment'!LX18-last_qrtr_tempemp!LY18</f>
        <v>0.20000000000000018</v>
      </c>
      <c r="LY18" s="286">
        <f>'Data-temp_employment'!LY18-last_qrtr_tempemp!LZ18</f>
        <v>0.39999999999999947</v>
      </c>
      <c r="LZ18" s="286">
        <f>'Data-temp_employment'!LZ18-last_qrtr_tempemp!MA18</f>
        <v>1.2999999999999998</v>
      </c>
      <c r="MA18" s="286">
        <f>'Data-temp_employment'!MA18-last_qrtr_tempemp!MB18</f>
        <v>1.8999999999999995</v>
      </c>
      <c r="MB18" s="286">
        <f>'Data-temp_employment'!MB18-last_qrtr_tempemp!MC18</f>
        <v>-1.5999999999999996</v>
      </c>
      <c r="MC18" s="286">
        <f>'Data-temp_employment'!MC18-last_qrtr_tempemp!MD18</f>
        <v>-2.9</v>
      </c>
      <c r="MD18" s="286">
        <f>'Data-temp_employment'!MD18</f>
        <v>5.6</v>
      </c>
      <c r="ME18" s="285" t="s">
        <v>41</v>
      </c>
      <c r="MF18" s="286">
        <f>'Data-temp_employment'!MF18-last_qrtr_tempemp!MG18</f>
        <v>-5.5</v>
      </c>
      <c r="MG18" s="286">
        <f>'Data-temp_employment'!MG18-last_qrtr_tempemp!MH18</f>
        <v>-0.5</v>
      </c>
      <c r="MH18" s="286">
        <f>'Data-temp_employment'!MH18-last_qrtr_tempemp!MI18</f>
        <v>2.4000000000000021</v>
      </c>
      <c r="MI18" s="286">
        <f>'Data-temp_employment'!MI18-last_qrtr_tempemp!MJ18</f>
        <v>2.1999999999999993</v>
      </c>
      <c r="MJ18" s="286">
        <f>'Data-temp_employment'!MJ18-last_qrtr_tempemp!MK18</f>
        <v>-1</v>
      </c>
      <c r="MK18" s="286">
        <f>'Data-temp_employment'!MK18-last_qrtr_tempemp!ML18</f>
        <v>-2</v>
      </c>
      <c r="ML18" s="286">
        <f>'Data-temp_employment'!ML18-last_qrtr_tempemp!MM18</f>
        <v>2.5</v>
      </c>
      <c r="MM18" s="286">
        <f>'Data-temp_employment'!MM18-last_qrtr_tempemp!MN18</f>
        <v>1.3999999999999986</v>
      </c>
      <c r="MN18" s="286">
        <f>'Data-temp_employment'!MN18-last_qrtr_tempemp!MO18</f>
        <v>-0.40000000000000213</v>
      </c>
      <c r="MO18" s="286">
        <f>'Data-temp_employment'!MO18</f>
        <v>17</v>
      </c>
      <c r="MP18" s="285" t="s">
        <v>41</v>
      </c>
      <c r="MQ18" s="286">
        <f>'Data-temp_employment'!MQ18-last_qrtr_tempemp!MR18</f>
        <v>-7.4999999999999982</v>
      </c>
      <c r="MR18" s="286">
        <f>'Data-temp_employment'!MR18-last_qrtr_tempemp!MS18</f>
        <v>-2.3000000000000007</v>
      </c>
      <c r="MS18" s="286">
        <f>'Data-temp_employment'!MS18-last_qrtr_tempemp!MT18</f>
        <v>5.5</v>
      </c>
      <c r="MT18" s="286">
        <f>'Data-temp_employment'!MT18-last_qrtr_tempemp!MU18</f>
        <v>1.6999999999999993</v>
      </c>
      <c r="MU18" s="286">
        <f>'Data-temp_employment'!MU18-last_qrtr_tempemp!MV18</f>
        <v>-5.9999999999999982</v>
      </c>
      <c r="MV18" s="286">
        <f>'Data-temp_employment'!MV18-last_qrtr_tempemp!MW18</f>
        <v>1.6000000000000014</v>
      </c>
      <c r="MW18" s="286">
        <f>'Data-temp_employment'!MW18-last_qrtr_tempemp!MX18</f>
        <v>4.4000000000000004</v>
      </c>
      <c r="MX18" s="286">
        <f>'Data-temp_employment'!MX18-last_qrtr_tempemp!MY18</f>
        <v>0.59999999999999964</v>
      </c>
      <c r="MY18" s="286">
        <f>'Data-temp_employment'!MY18-last_qrtr_tempemp!MZ18</f>
        <v>-5.5000000000000018</v>
      </c>
      <c r="MZ18" s="286">
        <f>'Data-temp_employment'!MZ18</f>
        <v>20.100000000000001</v>
      </c>
      <c r="NA18" s="285" t="s">
        <v>41</v>
      </c>
      <c r="NB18" s="286">
        <f>'Data-temp_employment'!NB18-last_qrtr_tempemp!NC18</f>
        <v>1.4000000000000004</v>
      </c>
      <c r="NC18" s="286">
        <f>'Data-temp_employment'!NC18-last_qrtr_tempemp!ND18</f>
        <v>4.7999999999999989</v>
      </c>
      <c r="ND18" s="286">
        <f>'Data-temp_employment'!ND18-last_qrtr_tempemp!NE18</f>
        <v>8.0999999999999979</v>
      </c>
      <c r="NE18" s="286">
        <f>'Data-temp_employment'!NE18-last_qrtr_tempemp!NF18</f>
        <v>1.9000000000000004</v>
      </c>
      <c r="NF18" s="286">
        <f>'Data-temp_employment'!NF18-last_qrtr_tempemp!NG18</f>
        <v>-3.1999999999999993</v>
      </c>
      <c r="NG18" s="286">
        <f>'Data-temp_employment'!NG18-last_qrtr_tempemp!NH18</f>
        <v>-0.29999999999999716</v>
      </c>
      <c r="NH18" s="286">
        <f>'Data-temp_employment'!NH18-last_qrtr_tempemp!NI18</f>
        <v>5.8000000000000007</v>
      </c>
      <c r="NI18" s="286">
        <f>'Data-temp_employment'!NI18-last_qrtr_tempemp!NJ18</f>
        <v>6.6000000000000014</v>
      </c>
      <c r="NJ18" s="286">
        <f>'Data-temp_employment'!NJ18-last_qrtr_tempemp!NK18</f>
        <v>-2.9000000000000021</v>
      </c>
      <c r="NK18" s="286">
        <f>'Data-temp_employment'!NK18</f>
        <v>18.600000000000001</v>
      </c>
      <c r="NL18" s="285" t="s">
        <v>41</v>
      </c>
      <c r="NM18" s="286">
        <f>'Data-temp_employment'!NM18-last_qrtr_tempemp!NN18</f>
        <v>3.2000000000000028</v>
      </c>
      <c r="NN18" s="286">
        <f>'Data-temp_employment'!NN18-last_qrtr_tempemp!NO18</f>
        <v>5.1000000000000014</v>
      </c>
      <c r="NO18" s="286">
        <f>'Data-temp_employment'!NO18-last_qrtr_tempemp!NP18</f>
        <v>-7.8999999999999986</v>
      </c>
      <c r="NP18" s="286">
        <f>'Data-temp_employment'!NP18-last_qrtr_tempemp!NQ18</f>
        <v>-3.2000000000000028</v>
      </c>
      <c r="NQ18" s="286">
        <f>'Data-temp_employment'!NQ18-last_qrtr_tempemp!NR18</f>
        <v>2.6999999999999957</v>
      </c>
      <c r="NR18" s="286">
        <f>'Data-temp_employment'!NR18-last_qrtr_tempemp!NS18</f>
        <v>6.1000000000000014</v>
      </c>
      <c r="NS18" s="286">
        <f>'Data-temp_employment'!NS18-last_qrtr_tempemp!NT18</f>
        <v>-11</v>
      </c>
      <c r="NT18" s="286">
        <f>'Data-temp_employment'!NT18-last_qrtr_tempemp!NU18</f>
        <v>-1.8999999999999986</v>
      </c>
      <c r="NU18" s="286">
        <f>'Data-temp_employment'!NU18-last_qrtr_tempemp!NV18</f>
        <v>0.29999999999999716</v>
      </c>
      <c r="NV18" s="286">
        <f>'Data-temp_employment'!NV18</f>
        <v>45.5</v>
      </c>
      <c r="NW18" s="285" t="s">
        <v>41</v>
      </c>
      <c r="NX18" s="286">
        <f>'Data-temp_employment'!NX18-last_qrtr_tempemp!NY18</f>
        <v>-12.799999999999997</v>
      </c>
      <c r="NY18" s="286">
        <f>'Data-temp_employment'!NY18-last_qrtr_tempemp!NZ18</f>
        <v>-3.2000000000000028</v>
      </c>
      <c r="NZ18" s="286">
        <f>'Data-temp_employment'!NZ18-last_qrtr_tempemp!OA18</f>
        <v>11</v>
      </c>
      <c r="OA18" s="286">
        <f>'Data-temp_employment'!OA18-last_qrtr_tempemp!OB18</f>
        <v>1.7000000000000028</v>
      </c>
      <c r="OB18" s="286">
        <f>'Data-temp_employment'!OB18-last_qrtr_tempemp!OC18</f>
        <v>-11.299999999999997</v>
      </c>
      <c r="OC18" s="286">
        <f>'Data-temp_employment'!OC18-last_qrtr_tempemp!OD18</f>
        <v>6</v>
      </c>
      <c r="OD18" s="286">
        <f>'Data-temp_employment'!OD18-last_qrtr_tempemp!OE18</f>
        <v>11.399999999999991</v>
      </c>
      <c r="OE18" s="286">
        <f>'Data-temp_employment'!OE18-last_qrtr_tempemp!OF18</f>
        <v>6.7999999999999972</v>
      </c>
      <c r="OF18" s="286">
        <f>'Data-temp_employment'!OF18-last_qrtr_tempemp!OG18</f>
        <v>-10.699999999999989</v>
      </c>
      <c r="OG18" s="286">
        <f>'Data-temp_employment'!OG18</f>
        <v>100.6</v>
      </c>
      <c r="OH18" s="287" t="s">
        <v>41</v>
      </c>
      <c r="OI18" s="286"/>
      <c r="OJ18" s="286"/>
      <c r="OK18" s="286"/>
      <c r="OL18" s="286"/>
      <c r="OM18" s="286"/>
      <c r="ON18" s="286"/>
      <c r="OO18" s="286"/>
      <c r="OP18" s="286"/>
      <c r="OQ18" s="286"/>
      <c r="OR18" s="286"/>
      <c r="OS18" s="285" t="s">
        <v>41</v>
      </c>
      <c r="OT18" s="286" t="e">
        <f>'Data-temp_employment'!#REF!-last_qrtr_tempemp!OU18</f>
        <v>#REF!</v>
      </c>
      <c r="OU18" s="286">
        <f>'Data-temp_employment'!OT18-last_qrtr_tempemp!OV18</f>
        <v>0.5</v>
      </c>
      <c r="OV18" s="286">
        <f>'Data-temp_employment'!OU18-last_qrtr_tempemp!OW18</f>
        <v>0</v>
      </c>
      <c r="OW18" s="286">
        <f>'Data-temp_employment'!OV18-last_qrtr_tempemp!OX18</f>
        <v>0.50000000000000011</v>
      </c>
      <c r="OX18" s="286">
        <f>'Data-temp_employment'!OW18-last_qrtr_tempemp!OY18</f>
        <v>0.5</v>
      </c>
      <c r="OY18" s="286">
        <f>'Data-temp_employment'!OX18-last_qrtr_tempemp!OZ18</f>
        <v>1</v>
      </c>
      <c r="OZ18" s="286">
        <f>'Data-temp_employment'!OY18-last_qrtr_tempemp!PA18</f>
        <v>-9.9999999999999978E-2</v>
      </c>
      <c r="PA18" s="286">
        <f>'Data-temp_employment'!OZ18-last_qrtr_tempemp!PB18</f>
        <v>-0.2</v>
      </c>
      <c r="PB18" s="286">
        <f>'Data-temp_employment'!PA18-last_qrtr_tempemp!PC18</f>
        <v>9.9999999999999978E-2</v>
      </c>
      <c r="PC18" s="286">
        <f>'Data-temp_employment'!PB18</f>
        <v>0.9</v>
      </c>
      <c r="PE18" s="319"/>
      <c r="PF18" s="319"/>
      <c r="PG18" s="319"/>
      <c r="PH18" s="319"/>
      <c r="PI18" s="319"/>
      <c r="PJ18" s="319"/>
      <c r="PK18" s="319"/>
      <c r="PL18" s="319"/>
      <c r="PM18" s="319"/>
      <c r="PN18" s="319"/>
      <c r="PO18" s="319"/>
      <c r="PP18" s="319"/>
      <c r="PQ18" s="319"/>
      <c r="PR18" s="319"/>
      <c r="PS18" s="319"/>
      <c r="PT18" s="319"/>
      <c r="PU18" s="319"/>
      <c r="PV18" s="319"/>
      <c r="PW18" s="319"/>
      <c r="PX18" s="319"/>
      <c r="PY18" s="319"/>
      <c r="PZ18" s="319"/>
      <c r="QA18" s="319"/>
      <c r="QB18" s="319"/>
      <c r="QC18" s="319"/>
      <c r="QD18" s="319"/>
      <c r="QE18" s="319"/>
      <c r="QF18" s="319"/>
      <c r="QG18" s="319"/>
      <c r="QH18" s="319"/>
      <c r="QI18" s="319"/>
      <c r="QJ18" s="319"/>
      <c r="QK18" s="319"/>
      <c r="QL18" s="319"/>
      <c r="QM18" s="319"/>
      <c r="QN18" s="319"/>
      <c r="QO18" s="319"/>
      <c r="QP18" s="319"/>
      <c r="QQ18" s="319"/>
      <c r="QR18" s="319"/>
      <c r="QS18" s="319"/>
      <c r="QT18" s="319"/>
      <c r="QU18" s="319"/>
      <c r="QV18" s="319"/>
      <c r="QW18" s="319"/>
      <c r="QX18" s="319"/>
      <c r="QY18" s="319"/>
      <c r="QZ18" s="319"/>
      <c r="RA18" s="319"/>
      <c r="RB18" s="319"/>
      <c r="RC18" s="319"/>
      <c r="RD18" s="319"/>
      <c r="RE18" s="319"/>
      <c r="RF18" s="319"/>
      <c r="RG18" s="319"/>
      <c r="RH18" s="319"/>
      <c r="RI18" s="319"/>
      <c r="RJ18" s="319"/>
      <c r="RK18" s="319"/>
      <c r="RL18" s="319"/>
      <c r="RM18" s="319"/>
      <c r="RN18" s="319"/>
      <c r="RO18" s="319"/>
      <c r="RP18" s="319"/>
    </row>
    <row r="19" spans="1:485">
      <c r="A19" s="269">
        <v>16</v>
      </c>
      <c r="B19" s="285" t="s">
        <v>25</v>
      </c>
      <c r="C19" s="286">
        <f>'Data-temp_employment'!C19-last_qrtr_tempemp!D19</f>
        <v>-1.0999999999999979</v>
      </c>
      <c r="D19" s="286">
        <f>'Data-temp_employment'!D19-last_qrtr_tempemp!E19</f>
        <v>-0.30000000000000071</v>
      </c>
      <c r="E19" s="286">
        <f>'Data-temp_employment'!E19-last_qrtr_tempemp!F19</f>
        <v>0.90000000000000036</v>
      </c>
      <c r="F19" s="286">
        <f>'Data-temp_employment'!F19-last_qrtr_tempemp!G19</f>
        <v>0.69999999999999929</v>
      </c>
      <c r="G19" s="286">
        <f>'Data-temp_employment'!G19-last_qrtr_tempemp!H19</f>
        <v>-0.39999999999999858</v>
      </c>
      <c r="H19" s="286">
        <f>'Data-temp_employment'!H19-last_qrtr_tempemp!I19</f>
        <v>9.9999999999997868E-2</v>
      </c>
      <c r="I19" s="286">
        <f>'Data-temp_employment'!I19-last_qrtr_tempemp!J19</f>
        <v>1.3999999999999986</v>
      </c>
      <c r="J19" s="286">
        <f>'Data-temp_employment'!J19-last_qrtr_tempemp!K19</f>
        <v>0.80000000000000071</v>
      </c>
      <c r="K19" s="286">
        <f>'Data-temp_employment'!K19-last_qrtr_tempemp!L19</f>
        <v>-0.39999999999999858</v>
      </c>
      <c r="L19" s="286">
        <f>'Data-temp_employment'!L19</f>
        <v>16.899999999999999</v>
      </c>
      <c r="M19" s="285" t="s">
        <v>25</v>
      </c>
      <c r="N19" s="286">
        <f>'Data-temp_employment'!N19-last_qrtr_tempemp!O19</f>
        <v>-257.40000000000009</v>
      </c>
      <c r="O19" s="286">
        <f>'Data-temp_employment'!O19-last_qrtr_tempemp!P19</f>
        <v>-81.099999999999909</v>
      </c>
      <c r="P19" s="286">
        <f>'Data-temp_employment'!P19-last_qrtr_tempemp!Q19</f>
        <v>257.09999999999991</v>
      </c>
      <c r="Q19" s="286">
        <f>'Data-temp_employment'!Q19-last_qrtr_tempemp!R19</f>
        <v>157.20000000000027</v>
      </c>
      <c r="R19" s="286">
        <f>'Data-temp_employment'!R19-last_qrtr_tempemp!S19</f>
        <v>-111.30000000000018</v>
      </c>
      <c r="S19" s="286">
        <f>'Data-temp_employment'!S19-last_qrtr_tempemp!T19</f>
        <v>74</v>
      </c>
      <c r="T19" s="286">
        <f>'Data-temp_employment'!T19-last_qrtr_tempemp!U19</f>
        <v>413.49999999999955</v>
      </c>
      <c r="U19" s="286">
        <f>'Data-temp_employment'!U19-last_qrtr_tempemp!V19</f>
        <v>258.30000000000018</v>
      </c>
      <c r="V19" s="286">
        <f>'Data-temp_employment'!V19-last_qrtr_tempemp!W19</f>
        <v>-113.09999999999991</v>
      </c>
      <c r="W19" s="286">
        <f>'Data-temp_employment'!W19</f>
        <v>4025.1</v>
      </c>
      <c r="X19" s="285" t="s">
        <v>25</v>
      </c>
      <c r="Y19" s="286">
        <f>'Data-temp_employment'!Y19-last_qrtr_tempemp!Z19</f>
        <v>-58.5</v>
      </c>
      <c r="Z19" s="286">
        <f>'Data-temp_employment'!Z19-last_qrtr_tempemp!AA19</f>
        <v>-32.200000000000045</v>
      </c>
      <c r="AA19" s="286">
        <f>'Data-temp_employment'!AA19-last_qrtr_tempemp!AB19</f>
        <v>65.000000000000057</v>
      </c>
      <c r="AB19" s="286">
        <f>'Data-temp_employment'!AB19-last_qrtr_tempemp!AC19</f>
        <v>63.399999999999977</v>
      </c>
      <c r="AC19" s="286">
        <f>'Data-temp_employment'!AC19-last_qrtr_tempemp!AD19</f>
        <v>23</v>
      </c>
      <c r="AD19" s="286">
        <f>'Data-temp_employment'!AD19-last_qrtr_tempemp!AE19</f>
        <v>30.099999999999909</v>
      </c>
      <c r="AE19" s="286">
        <f>'Data-temp_employment'!AE19-last_qrtr_tempemp!AF19</f>
        <v>55.700000000000045</v>
      </c>
      <c r="AF19" s="286">
        <f>'Data-temp_employment'!AF19-last_qrtr_tempemp!AG19</f>
        <v>16.300000000000068</v>
      </c>
      <c r="AG19" s="286">
        <f>'Data-temp_employment'!AG19-last_qrtr_tempemp!AH19</f>
        <v>-43.799999999999955</v>
      </c>
      <c r="AH19" s="286">
        <f>'Data-temp_employment'!AH19</f>
        <v>556.20000000000005</v>
      </c>
      <c r="AI19" s="285" t="s">
        <v>25</v>
      </c>
      <c r="AJ19" s="286">
        <f>'Data-temp_employment'!AJ19-last_qrtr_tempemp!AK19</f>
        <v>-3.1999999999999886</v>
      </c>
      <c r="AK19" s="286">
        <f>'Data-temp_employment'!AK19-last_qrtr_tempemp!AL19</f>
        <v>-182.10000000000002</v>
      </c>
      <c r="AL19" s="286">
        <f>'Data-temp_employment'!AL19-last_qrtr_tempemp!AM19</f>
        <v>163.60000000000002</v>
      </c>
      <c r="AM19" s="286">
        <f>'Data-temp_employment'!AM19-last_qrtr_tempemp!AN19</f>
        <v>48.400000000000034</v>
      </c>
      <c r="AN19" s="286">
        <f>'Data-temp_employment'!AN19-last_qrtr_tempemp!AO19</f>
        <v>-3.5</v>
      </c>
      <c r="AO19" s="286">
        <f>'Data-temp_employment'!AO19-last_qrtr_tempemp!AP19</f>
        <v>-143.40000000000009</v>
      </c>
      <c r="AP19" s="286">
        <f>'Data-temp_employment'!AP19-last_qrtr_tempemp!AQ19</f>
        <v>198</v>
      </c>
      <c r="AQ19" s="286">
        <f>'Data-temp_employment'!AQ19-last_qrtr_tempemp!AR19</f>
        <v>88.200000000000045</v>
      </c>
      <c r="AR19" s="286">
        <f>'Data-temp_employment'!AR19-last_qrtr_tempemp!AS19</f>
        <v>9.7000000000000455</v>
      </c>
      <c r="AS19" s="286">
        <f>'Data-temp_employment'!AS19</f>
        <v>603</v>
      </c>
      <c r="AT19" s="285" t="s">
        <v>25</v>
      </c>
      <c r="AU19" s="286">
        <f>'Data-temp_employment'!AU19-last_qrtr_tempemp!AV19</f>
        <v>-45</v>
      </c>
      <c r="AV19" s="286">
        <f>'Data-temp_employment'!AV19-last_qrtr_tempemp!AW19</f>
        <v>24.800000000000068</v>
      </c>
      <c r="AW19" s="286">
        <f>'Data-temp_employment'!AW19-last_qrtr_tempemp!AX19</f>
        <v>83.900000000000034</v>
      </c>
      <c r="AX19" s="286">
        <f>'Data-temp_employment'!AX19-last_qrtr_tempemp!AY19</f>
        <v>27.199999999999989</v>
      </c>
      <c r="AY19" s="286">
        <f>'Data-temp_employment'!AY19-last_qrtr_tempemp!AZ19</f>
        <v>-59.400000000000034</v>
      </c>
      <c r="AZ19" s="286">
        <f>'Data-temp_employment'!AZ19-last_qrtr_tempemp!BA19</f>
        <v>-25.5</v>
      </c>
      <c r="BA19" s="286">
        <f>'Data-temp_employment'!BA19-last_qrtr_tempemp!BB19</f>
        <v>77.400000000000034</v>
      </c>
      <c r="BB19" s="286">
        <f>'Data-temp_employment'!BB19-last_qrtr_tempemp!BC19</f>
        <v>63.299999999999955</v>
      </c>
      <c r="BC19" s="286">
        <f>'Data-temp_employment'!BC19-last_qrtr_tempemp!BD19</f>
        <v>-39.900000000000091</v>
      </c>
      <c r="BD19" s="286">
        <f>'Data-temp_employment'!BD19</f>
        <v>656.5</v>
      </c>
      <c r="BE19" s="285" t="s">
        <v>25</v>
      </c>
      <c r="BF19" s="286">
        <f>'Data-temp_employment'!BF19-last_qrtr_tempemp!BG19</f>
        <v>-48.600000000000023</v>
      </c>
      <c r="BG19" s="286">
        <f>'Data-temp_employment'!BG19-last_qrtr_tempemp!BH19</f>
        <v>84.5</v>
      </c>
      <c r="BH19" s="286">
        <f>'Data-temp_employment'!BH19-last_qrtr_tempemp!BI19</f>
        <v>1.6000000000000227</v>
      </c>
      <c r="BI19" s="286">
        <f>'Data-temp_employment'!BI19-last_qrtr_tempemp!BJ19</f>
        <v>10.299999999999955</v>
      </c>
      <c r="BJ19" s="286">
        <f>'Data-temp_employment'!BJ19-last_qrtr_tempemp!BK19</f>
        <v>-37.399999999999977</v>
      </c>
      <c r="BK19" s="286">
        <f>'Data-temp_employment'!BK19-last_qrtr_tempemp!BL19</f>
        <v>86.699999999999932</v>
      </c>
      <c r="BL19" s="286">
        <f>'Data-temp_employment'!BL19-last_qrtr_tempemp!BM19</f>
        <v>30.5</v>
      </c>
      <c r="BM19" s="286">
        <f>'Data-temp_employment'!BM19-last_qrtr_tempemp!BN19</f>
        <v>53.399999999999977</v>
      </c>
      <c r="BN19" s="286">
        <f>'Data-temp_employment'!BN19-last_qrtr_tempemp!BO19</f>
        <v>3.6000000000000227</v>
      </c>
      <c r="BO19" s="286">
        <f>'Data-temp_employment'!BO19</f>
        <v>946.7</v>
      </c>
      <c r="BP19" s="285" t="s">
        <v>25</v>
      </c>
      <c r="BQ19" s="286">
        <f>'Data-temp_employment'!BQ19-last_qrtr_tempemp!BR19</f>
        <v>-35.800000000000068</v>
      </c>
      <c r="BR19" s="286">
        <f>'Data-temp_employment'!BR19-last_qrtr_tempemp!BS19</f>
        <v>-3.4000000000000909</v>
      </c>
      <c r="BS19" s="286">
        <f>'Data-temp_employment'!BS19-last_qrtr_tempemp!BT19</f>
        <v>-10.399999999999977</v>
      </c>
      <c r="BT19" s="286">
        <f>'Data-temp_employment'!BT19-last_qrtr_tempemp!BU19</f>
        <v>46.300000000000068</v>
      </c>
      <c r="BU19" s="286">
        <f>'Data-temp_employment'!BU19-last_qrtr_tempemp!BV19</f>
        <v>12.599999999999909</v>
      </c>
      <c r="BV19" s="286">
        <f>'Data-temp_employment'!BV19-last_qrtr_tempemp!BW19</f>
        <v>58.599999999999909</v>
      </c>
      <c r="BW19" s="286">
        <f>'Data-temp_employment'!BW19-last_qrtr_tempemp!BX19</f>
        <v>-7.2000000000000455</v>
      </c>
      <c r="BX19" s="286">
        <f>'Data-temp_employment'!BX19-last_qrtr_tempemp!BY19</f>
        <v>2.2000000000000455</v>
      </c>
      <c r="BY19" s="286">
        <f>'Data-temp_employment'!BY19-last_qrtr_tempemp!BZ19</f>
        <v>-22.799999999999955</v>
      </c>
      <c r="BZ19" s="286">
        <f>'Data-temp_employment'!BZ19</f>
        <v>579.1</v>
      </c>
      <c r="CA19" s="285" t="s">
        <v>25</v>
      </c>
      <c r="CB19" s="286">
        <f>'Data-temp_employment'!CB19-last_qrtr_tempemp!CC19</f>
        <v>-19.399999999999977</v>
      </c>
      <c r="CC19" s="286">
        <f>'Data-temp_employment'!CC19-last_qrtr_tempemp!CD19</f>
        <v>-29.399999999999977</v>
      </c>
      <c r="CD19" s="286">
        <f>'Data-temp_employment'!CD19-last_qrtr_tempemp!CE19</f>
        <v>-17.800000000000011</v>
      </c>
      <c r="CE19" s="286">
        <f>'Data-temp_employment'!CE19-last_qrtr_tempemp!CF19</f>
        <v>16.100000000000023</v>
      </c>
      <c r="CF19" s="286">
        <f>'Data-temp_employment'!CF19-last_qrtr_tempemp!CG19</f>
        <v>27.899999999999977</v>
      </c>
      <c r="CG19" s="286">
        <f>'Data-temp_employment'!CG19-last_qrtr_tempemp!CH19</f>
        <v>19.900000000000034</v>
      </c>
      <c r="CH19" s="286">
        <f>'Data-temp_employment'!CH19-last_qrtr_tempemp!CI19</f>
        <v>8.7999999999999545</v>
      </c>
      <c r="CI19" s="286">
        <f>'Data-temp_employment'!CI19-last_qrtr_tempemp!CJ19</f>
        <v>-6.4000000000000341</v>
      </c>
      <c r="CJ19" s="286">
        <f>'Data-temp_employment'!CJ19-last_qrtr_tempemp!CK19</f>
        <v>-10.400000000000034</v>
      </c>
      <c r="CK19" s="286">
        <f>'Data-temp_employment'!CK19</f>
        <v>306.7</v>
      </c>
      <c r="CL19" s="285" t="s">
        <v>25</v>
      </c>
      <c r="CM19" s="286">
        <f>'Data-temp_employment'!CM19-last_qrtr_tempemp!CN19</f>
        <v>-44.399999999999977</v>
      </c>
      <c r="CN19" s="286">
        <f>'Data-temp_employment'!CN19-last_qrtr_tempemp!CO19</f>
        <v>-24.699999999999932</v>
      </c>
      <c r="CO19" s="286">
        <f>'Data-temp_employment'!CO19-last_qrtr_tempemp!CP19</f>
        <v>-7.8000000000000682</v>
      </c>
      <c r="CP19" s="286">
        <f>'Data-temp_employment'!CP19-last_qrtr_tempemp!CQ19</f>
        <v>1.3999999999999773</v>
      </c>
      <c r="CQ19" s="286">
        <f>'Data-temp_employment'!CQ19-last_qrtr_tempemp!CR19</f>
        <v>-34.700000000000045</v>
      </c>
      <c r="CR19" s="286">
        <f>'Data-temp_employment'!CR19-last_qrtr_tempemp!CS19</f>
        <v>88.800000000000068</v>
      </c>
      <c r="CS19" s="286">
        <f>'Data-temp_employment'!CS19-last_qrtr_tempemp!CT19</f>
        <v>130.10000000000002</v>
      </c>
      <c r="CT19" s="286">
        <f>'Data-temp_employment'!CT19-last_qrtr_tempemp!CU19</f>
        <v>86</v>
      </c>
      <c r="CU19" s="286">
        <f>'Data-temp_employment'!CU19-last_qrtr_tempemp!CV19</f>
        <v>-59</v>
      </c>
      <c r="CV19" s="286">
        <f>'Data-temp_employment'!CV19</f>
        <v>823.4</v>
      </c>
      <c r="CW19" s="285" t="s">
        <v>25</v>
      </c>
      <c r="CX19" s="286">
        <f>'Data-temp_employment'!CX19-last_qrtr_tempemp!CY19</f>
        <v>-184.5</v>
      </c>
      <c r="CY19" s="286">
        <f>'Data-temp_employment'!CY19-last_qrtr_tempemp!CZ19</f>
        <v>-101.20000000000005</v>
      </c>
      <c r="CZ19" s="286">
        <f>'Data-temp_employment'!CZ19-last_qrtr_tempemp!DA19</f>
        <v>166.59999999999991</v>
      </c>
      <c r="DA19" s="286">
        <f>'Data-temp_employment'!DA19-last_qrtr_tempemp!DB19</f>
        <v>96.5</v>
      </c>
      <c r="DB19" s="286">
        <f>'Data-temp_employment'!DB19-last_qrtr_tempemp!DC19</f>
        <v>-30.5</v>
      </c>
      <c r="DC19" s="286">
        <f>'Data-temp_employment'!DC19-last_qrtr_tempemp!DD19</f>
        <v>10</v>
      </c>
      <c r="DD19" s="286">
        <f>'Data-temp_employment'!DD19-last_qrtr_tempemp!DE19</f>
        <v>239.40000000000009</v>
      </c>
      <c r="DE19" s="286">
        <f>'Data-temp_employment'!DE19-last_qrtr_tempemp!DF19</f>
        <v>109.5</v>
      </c>
      <c r="DF19" s="286">
        <f>'Data-temp_employment'!DF19-last_qrtr_tempemp!DG19</f>
        <v>-53.700000000000045</v>
      </c>
      <c r="DG19" s="286">
        <f>'Data-temp_employment'!DG19</f>
        <v>1913.1</v>
      </c>
      <c r="DH19" s="285" t="s">
        <v>25</v>
      </c>
      <c r="DI19" s="286">
        <f>'Data-temp_employment'!DI19-last_qrtr_tempemp!DJ19</f>
        <v>-36</v>
      </c>
      <c r="DJ19" s="286">
        <f>'Data-temp_employment'!DJ19-last_qrtr_tempemp!DK19</f>
        <v>36.199999999999818</v>
      </c>
      <c r="DK19" s="286">
        <f>'Data-temp_employment'!DK19-last_qrtr_tempemp!DL19</f>
        <v>88.900000000000091</v>
      </c>
      <c r="DL19" s="286">
        <f>'Data-temp_employment'!DL19-last_qrtr_tempemp!DM19</f>
        <v>64.899999999999864</v>
      </c>
      <c r="DM19" s="286">
        <f>'Data-temp_employment'!DM19-last_qrtr_tempemp!DN19</f>
        <v>-45.099999999999909</v>
      </c>
      <c r="DN19" s="286">
        <f>'Data-temp_employment'!DN19-last_qrtr_tempemp!DO19</f>
        <v>-20.100000000000136</v>
      </c>
      <c r="DO19" s="286">
        <f>'Data-temp_employment'!DO19-last_qrtr_tempemp!DP19</f>
        <v>39.900000000000091</v>
      </c>
      <c r="DP19" s="286">
        <f>'Data-temp_employment'!DP19-last_qrtr_tempemp!DQ19</f>
        <v>56</v>
      </c>
      <c r="DQ19" s="286">
        <f>'Data-temp_employment'!DQ19-last_qrtr_tempemp!DR19</f>
        <v>-9.0999999999999091</v>
      </c>
      <c r="DR19" s="286">
        <f>'Data-temp_employment'!DR19</f>
        <v>1270.0999999999999</v>
      </c>
      <c r="DS19" s="285" t="s">
        <v>25</v>
      </c>
      <c r="DT19" s="286">
        <f>'Data-temp_employment'!DT19-last_qrtr_tempemp!DU19</f>
        <v>22.8</v>
      </c>
      <c r="DU19" s="286">
        <f>'Data-temp_employment'!DU19-last_qrtr_tempemp!DV19</f>
        <v>22.1</v>
      </c>
      <c r="DV19" s="286">
        <f>'Data-temp_employment'!DV19-last_qrtr_tempemp!DW19</f>
        <v>20.2</v>
      </c>
      <c r="DW19" s="286">
        <f>'Data-temp_employment'!DW19-last_qrtr_tempemp!DX19</f>
        <v>-22.8</v>
      </c>
      <c r="DX19" s="286">
        <f>'Data-temp_employment'!DX19-last_qrtr_tempemp!DY19</f>
        <v>-1</v>
      </c>
      <c r="DY19" s="286">
        <f>'Data-temp_employment'!DY19-last_qrtr_tempemp!DZ19</f>
        <v>-20.2</v>
      </c>
      <c r="DZ19" s="286">
        <f>'Data-temp_employment'!DZ19-last_qrtr_tempemp!EA19</f>
        <v>21.3</v>
      </c>
      <c r="EA19" s="286">
        <f>'Data-temp_employment'!EA19-last_qrtr_tempemp!EB19</f>
        <v>6.8999999999999986</v>
      </c>
      <c r="EB19" s="286">
        <f>'Data-temp_employment'!EB19-last_qrtr_tempemp!EC19</f>
        <v>24.3</v>
      </c>
      <c r="EC19" s="286">
        <f>'Data-temp_employment'!EC19</f>
        <v>0</v>
      </c>
      <c r="ED19" s="285" t="s">
        <v>25</v>
      </c>
      <c r="EE19" s="286">
        <f>'Data-temp_employment'!EE19-last_qrtr_tempemp!EF19</f>
        <v>-6.8999999999999986</v>
      </c>
      <c r="EF19" s="286">
        <f>'Data-temp_employment'!EF19-last_qrtr_tempemp!EG19</f>
        <v>5.3999999999999986</v>
      </c>
      <c r="EG19" s="286">
        <f>'Data-temp_employment'!EG19-last_qrtr_tempemp!EH19</f>
        <v>5.6999999999999957</v>
      </c>
      <c r="EH19" s="286">
        <f>'Data-temp_employment'!EH19-last_qrtr_tempemp!EI19</f>
        <v>4.1000000000000014</v>
      </c>
      <c r="EI19" s="286">
        <f>'Data-temp_employment'!EI19-last_qrtr_tempemp!EJ19</f>
        <v>-4.1000000000000014</v>
      </c>
      <c r="EJ19" s="286">
        <f>'Data-temp_employment'!EJ19-last_qrtr_tempemp!EK19</f>
        <v>-3.8999999999999986</v>
      </c>
      <c r="EK19" s="286">
        <f>'Data-temp_employment'!EK19-last_qrtr_tempemp!EL19</f>
        <v>9.2000000000000028</v>
      </c>
      <c r="EL19" s="286">
        <f>'Data-temp_employment'!EL19-last_qrtr_tempemp!EM19</f>
        <v>5</v>
      </c>
      <c r="EM19" s="286">
        <f>'Data-temp_employment'!EM19-last_qrtr_tempemp!EN19</f>
        <v>-2.3999999999999986</v>
      </c>
      <c r="EN19" s="286">
        <f>'Data-temp_employment'!EN19</f>
        <v>40</v>
      </c>
      <c r="EO19" s="285" t="s">
        <v>25</v>
      </c>
      <c r="EP19" s="286">
        <f>'Data-temp_employment'!EP19-last_qrtr_tempemp!EQ19</f>
        <v>-35.100000000000023</v>
      </c>
      <c r="EQ19" s="286">
        <f>'Data-temp_employment'!EQ19-last_qrtr_tempemp!ER19</f>
        <v>20</v>
      </c>
      <c r="ER19" s="286">
        <f>'Data-temp_employment'!ER19-last_qrtr_tempemp!ES19</f>
        <v>-15.099999999999966</v>
      </c>
      <c r="ES19" s="286">
        <f>'Data-temp_employment'!ES19-last_qrtr_tempemp!ET19</f>
        <v>29</v>
      </c>
      <c r="ET19" s="286">
        <f>'Data-temp_employment'!ET19-last_qrtr_tempemp!EU19</f>
        <v>-3.5</v>
      </c>
      <c r="EU19" s="286">
        <f>'Data-temp_employment'!EU19-last_qrtr_tempemp!EV19</f>
        <v>47.799999999999955</v>
      </c>
      <c r="EV19" s="286">
        <f>'Data-temp_employment'!EV19-last_qrtr_tempemp!EW19</f>
        <v>-4.8999999999999773</v>
      </c>
      <c r="EW19" s="286">
        <f>'Data-temp_employment'!EW19-last_qrtr_tempemp!EX19</f>
        <v>-7.3999999999999773</v>
      </c>
      <c r="EX19" s="286">
        <f>'Data-temp_employment'!EX19-last_qrtr_tempemp!EY19</f>
        <v>9.3999999999999773</v>
      </c>
      <c r="EY19" s="286">
        <f>'Data-temp_employment'!EY19</f>
        <v>510.6</v>
      </c>
      <c r="EZ19" s="285" t="s">
        <v>25</v>
      </c>
      <c r="FA19" s="286">
        <f>'Data-temp_employment'!FA19-last_qrtr_tempemp!FB19</f>
        <v>-30.800000000000068</v>
      </c>
      <c r="FB19" s="286">
        <f>'Data-temp_employment'!FB19-last_qrtr_tempemp!FC19</f>
        <v>-0.5</v>
      </c>
      <c r="FC19" s="286">
        <f>'Data-temp_employment'!FC19-last_qrtr_tempemp!FD19</f>
        <v>-19.900000000000091</v>
      </c>
      <c r="FD19" s="286">
        <f>'Data-temp_employment'!FD19-last_qrtr_tempemp!FE19</f>
        <v>-41.199999999999932</v>
      </c>
      <c r="FE19" s="286">
        <f>'Data-temp_employment'!FE19-last_qrtr_tempemp!FF19</f>
        <v>-22.100000000000023</v>
      </c>
      <c r="FF19" s="286">
        <f>'Data-temp_employment'!FF19-last_qrtr_tempemp!FG19</f>
        <v>18.300000000000068</v>
      </c>
      <c r="FG19" s="286">
        <f>'Data-temp_employment'!FG19-last_qrtr_tempemp!FH19</f>
        <v>9.7999999999999545</v>
      </c>
      <c r="FH19" s="286">
        <f>'Data-temp_employment'!FH19-last_qrtr_tempemp!FI19</f>
        <v>11.799999999999955</v>
      </c>
      <c r="FI19" s="286">
        <f>'Data-temp_employment'!FI19-last_qrtr_tempemp!FJ19</f>
        <v>-10.5</v>
      </c>
      <c r="FJ19" s="286">
        <f>'Data-temp_employment'!FJ19</f>
        <v>687.8</v>
      </c>
      <c r="FK19" s="285" t="s">
        <v>25</v>
      </c>
      <c r="FL19" s="286">
        <f>'Data-temp_employment'!FL19-last_qrtr_tempemp!FM19</f>
        <v>-27.199999999999989</v>
      </c>
      <c r="FM19" s="286">
        <f>'Data-temp_employment'!FM19-last_qrtr_tempemp!FN19</f>
        <v>-16.800000000000011</v>
      </c>
      <c r="FN19" s="286">
        <f>'Data-temp_employment'!FN19-last_qrtr_tempemp!FO19</f>
        <v>21.5</v>
      </c>
      <c r="FO19" s="286">
        <f>'Data-temp_employment'!FO19-last_qrtr_tempemp!FP19</f>
        <v>50.099999999999966</v>
      </c>
      <c r="FP19" s="286">
        <f>'Data-temp_employment'!FP19-last_qrtr_tempemp!FQ19</f>
        <v>16</v>
      </c>
      <c r="FQ19" s="286">
        <f>'Data-temp_employment'!FQ19-last_qrtr_tempemp!FR19</f>
        <v>29.099999999999966</v>
      </c>
      <c r="FR19" s="286">
        <f>'Data-temp_employment'!FR19-last_qrtr_tempemp!FS19</f>
        <v>24.5</v>
      </c>
      <c r="FS19" s="286">
        <f>'Data-temp_employment'!FS19-last_qrtr_tempemp!FT19</f>
        <v>16</v>
      </c>
      <c r="FT19" s="286">
        <f>'Data-temp_employment'!FT19-last_qrtr_tempemp!FU19</f>
        <v>-40.899999999999977</v>
      </c>
      <c r="FU19" s="286">
        <f>'Data-temp_employment'!FU19</f>
        <v>348.1</v>
      </c>
      <c r="FV19" s="285" t="s">
        <v>25</v>
      </c>
      <c r="FW19" s="286">
        <f>'Data-temp_employment'!FW19-last_qrtr_tempemp!FX19</f>
        <v>-59.399999999999977</v>
      </c>
      <c r="FX19" s="286">
        <f>'Data-temp_employment'!FX19-last_qrtr_tempemp!FY19</f>
        <v>-40.599999999999909</v>
      </c>
      <c r="FY19" s="286">
        <f>'Data-temp_employment'!FY19-last_qrtr_tempemp!FZ19</f>
        <v>77.700000000000045</v>
      </c>
      <c r="FZ19" s="286">
        <f>'Data-temp_employment'!FZ19-last_qrtr_tempemp!GA19</f>
        <v>4.7999999999999545</v>
      </c>
      <c r="GA19" s="286">
        <f>'Data-temp_employment'!GA19-last_qrtr_tempemp!GB19</f>
        <v>-26.200000000000045</v>
      </c>
      <c r="GB19" s="286">
        <f>'Data-temp_employment'!GB19-last_qrtr_tempemp!GC19</f>
        <v>-3.2000000000000455</v>
      </c>
      <c r="GC19" s="286">
        <f>'Data-temp_employment'!GC19-last_qrtr_tempemp!GD19</f>
        <v>104.20000000000005</v>
      </c>
      <c r="GD19" s="286">
        <f>'Data-temp_employment'!GD19-last_qrtr_tempemp!GE19</f>
        <v>56.600000000000023</v>
      </c>
      <c r="GE19" s="286">
        <f>'Data-temp_employment'!GE19-last_qrtr_tempemp!GF19</f>
        <v>-13.399999999999977</v>
      </c>
      <c r="GF19" s="286">
        <f>'Data-temp_employment'!GF19</f>
        <v>723.9</v>
      </c>
      <c r="GG19" s="285" t="s">
        <v>25</v>
      </c>
      <c r="GH19" s="286">
        <f>'Data-temp_employment'!GH19-last_qrtr_tempemp!GI19</f>
        <v>-20.600000000000009</v>
      </c>
      <c r="GI19" s="286">
        <f>'Data-temp_employment'!GI19-last_qrtr_tempemp!GJ19</f>
        <v>-1.1000000000000227</v>
      </c>
      <c r="GJ19" s="286">
        <f>'Data-temp_employment'!GJ19-last_qrtr_tempemp!GK19</f>
        <v>44.599999999999994</v>
      </c>
      <c r="GK19" s="286">
        <f>'Data-temp_employment'!GK19-last_qrtr_tempemp!GL19</f>
        <v>-7.2999999999999972</v>
      </c>
      <c r="GL19" s="286">
        <f>'Data-temp_employment'!GL19-last_qrtr_tempemp!GM19</f>
        <v>-30.799999999999983</v>
      </c>
      <c r="GM19" s="286">
        <f>'Data-temp_employment'!GM19-last_qrtr_tempemp!GN19</f>
        <v>-25.699999999999989</v>
      </c>
      <c r="GN19" s="286">
        <f>'Data-temp_employment'!GN19-last_qrtr_tempemp!GO19</f>
        <v>53.699999999999989</v>
      </c>
      <c r="GO19" s="286">
        <f>'Data-temp_employment'!GO19-last_qrtr_tempemp!GP19</f>
        <v>9.0999999999999943</v>
      </c>
      <c r="GP19" s="286">
        <f>'Data-temp_employment'!GP19-last_qrtr_tempemp!GQ19</f>
        <v>-4.9000000000000057</v>
      </c>
      <c r="GQ19" s="286">
        <f>'Data-temp_employment'!GQ19</f>
        <v>154</v>
      </c>
      <c r="GR19" s="285" t="s">
        <v>25</v>
      </c>
      <c r="GS19" s="286">
        <f>'Data-temp_employment'!GS19-last_qrtr_tempemp!GT19</f>
        <v>-15.399999999999977</v>
      </c>
      <c r="GT19" s="286">
        <f>'Data-temp_employment'!GT19-last_qrtr_tempemp!GU19</f>
        <v>20.5</v>
      </c>
      <c r="GU19" s="286">
        <f>'Data-temp_employment'!GU19-last_qrtr_tempemp!GV19</f>
        <v>8</v>
      </c>
      <c r="GV19" s="286">
        <f>'Data-temp_employment'!GV19-last_qrtr_tempemp!GW19</f>
        <v>47.5</v>
      </c>
      <c r="GW19" s="286">
        <f>'Data-temp_employment'!GW19-last_qrtr_tempemp!GX19</f>
        <v>-22.899999999999977</v>
      </c>
      <c r="GX19" s="286">
        <f>'Data-temp_employment'!GX19-last_qrtr_tempemp!GY19</f>
        <v>13</v>
      </c>
      <c r="GY19" s="286">
        <f>'Data-temp_employment'!GY19-last_qrtr_tempemp!GZ19</f>
        <v>9.3999999999999773</v>
      </c>
      <c r="GZ19" s="286">
        <f>'Data-temp_employment'!GZ19-last_qrtr_tempemp!HA19</f>
        <v>35.900000000000034</v>
      </c>
      <c r="HA19" s="286">
        <f>'Data-temp_employment'!HA19-last_qrtr_tempemp!HB19</f>
        <v>-16.5</v>
      </c>
      <c r="HB19" s="286">
        <f>'Data-temp_employment'!HB19</f>
        <v>403.2</v>
      </c>
      <c r="HC19" s="285" t="s">
        <v>25</v>
      </c>
      <c r="HD19" s="286">
        <f>'Data-temp_employment'!HD19-last_qrtr_tempemp!HE19</f>
        <v>-32.200000000000045</v>
      </c>
      <c r="HE19" s="286">
        <f>'Data-temp_employment'!HE19-last_qrtr_tempemp!HF19</f>
        <v>-5.7999999999999545</v>
      </c>
      <c r="HF19" s="286">
        <f>'Data-temp_employment'!HF19-last_qrtr_tempemp!HG19</f>
        <v>59.600000000000023</v>
      </c>
      <c r="HG19" s="286">
        <f>'Data-temp_employment'!HG19-last_qrtr_tempemp!HH19</f>
        <v>61.900000000000034</v>
      </c>
      <c r="HH19" s="286">
        <f>'Data-temp_employment'!HH19-last_qrtr_tempemp!HI19</f>
        <v>-13.900000000000034</v>
      </c>
      <c r="HI19" s="286">
        <f>'Data-temp_employment'!HI19-last_qrtr_tempemp!HJ19</f>
        <v>-12.600000000000023</v>
      </c>
      <c r="HJ19" s="286">
        <f>'Data-temp_employment'!HJ19-last_qrtr_tempemp!HK19</f>
        <v>53.199999999999989</v>
      </c>
      <c r="HK19" s="286">
        <f>'Data-temp_employment'!HK19-last_qrtr_tempemp!HL19</f>
        <v>76.699999999999989</v>
      </c>
      <c r="HL19" s="286">
        <f>'Data-temp_employment'!HL19-last_qrtr_tempemp!HM19</f>
        <v>11.600000000000023</v>
      </c>
      <c r="HM19" s="286">
        <f>'Data-temp_employment'!HM19</f>
        <v>458.5</v>
      </c>
      <c r="HN19" s="285" t="s">
        <v>25</v>
      </c>
      <c r="HO19" s="286">
        <f>'Data-temp_employment'!HO19-last_qrtr_tempemp!HP19</f>
        <v>-44.600000000000023</v>
      </c>
      <c r="HP19" s="286">
        <f>'Data-temp_employment'!HP19-last_qrtr_tempemp!HQ19</f>
        <v>-69.199999999999932</v>
      </c>
      <c r="HQ19" s="286">
        <f>'Data-temp_employment'!HQ19-last_qrtr_tempemp!HR19</f>
        <v>73.5</v>
      </c>
      <c r="HR19" s="286">
        <f>'Data-temp_employment'!HR19-last_qrtr_tempemp!HS19</f>
        <v>14.300000000000068</v>
      </c>
      <c r="HS19" s="286">
        <f>'Data-temp_employment'!HS19-last_qrtr_tempemp!HT19</f>
        <v>-8.8000000000000682</v>
      </c>
      <c r="HT19" s="286">
        <f>'Data-temp_employment'!HT19-last_qrtr_tempemp!HU19</f>
        <v>4.3999999999999773</v>
      </c>
      <c r="HU19" s="286">
        <f>'Data-temp_employment'!HU19-last_qrtr_tempemp!HV19</f>
        <v>157.10000000000002</v>
      </c>
      <c r="HV19" s="286">
        <f>'Data-temp_employment'!HV19-last_qrtr_tempemp!HW19</f>
        <v>52.099999999999909</v>
      </c>
      <c r="HW19" s="286">
        <f>'Data-temp_employment'!HW19-last_qrtr_tempemp!HX19</f>
        <v>-49.099999999999909</v>
      </c>
      <c r="HX19" s="286">
        <f>'Data-temp_employment'!HX19</f>
        <v>660.5</v>
      </c>
      <c r="HY19" s="285" t="s">
        <v>25</v>
      </c>
      <c r="HZ19" s="286">
        <f>'Data-temp_employment'!HZ19-last_qrtr_tempemp!IA19</f>
        <v>0.10000000000000142</v>
      </c>
      <c r="IA19" s="286">
        <f>'Data-temp_employment'!IA19-last_qrtr_tempemp!IB19</f>
        <v>23.1</v>
      </c>
      <c r="IB19" s="286">
        <f>'Data-temp_employment'!IB19-last_qrtr_tempemp!IC19</f>
        <v>-5</v>
      </c>
      <c r="IC19" s="286">
        <f>'Data-temp_employment'!IC19-last_qrtr_tempemp!ID19</f>
        <v>3.6999999999999993</v>
      </c>
      <c r="ID19" s="286">
        <f>'Data-temp_employment'!ID19-last_qrtr_tempemp!IE19</f>
        <v>5.2999999999999972</v>
      </c>
      <c r="IE19" s="286">
        <f>'Data-temp_employment'!IE19-last_qrtr_tempemp!IF19</f>
        <v>8.6000000000000014</v>
      </c>
      <c r="IF19" s="286">
        <f>'Data-temp_employment'!IF19-last_qrtr_tempemp!IG19</f>
        <v>-1.3000000000000007</v>
      </c>
      <c r="IG19" s="286">
        <f>'Data-temp_employment'!IG19-last_qrtr_tempemp!IH19</f>
        <v>1.5</v>
      </c>
      <c r="IH19" s="286">
        <f>'Data-temp_employment'!IH19-last_qrtr_tempemp!II19</f>
        <v>2.2999999999999972</v>
      </c>
      <c r="II19" s="286">
        <f>'Data-temp_employment'!II19</f>
        <v>30.2</v>
      </c>
      <c r="IJ19" s="285" t="s">
        <v>25</v>
      </c>
      <c r="IK19" s="286">
        <f>'Data-temp_employment'!IK19-last_qrtr_tempemp!IL19</f>
        <v>0</v>
      </c>
      <c r="IL19" s="286">
        <f>'Data-temp_employment'!IL19-last_qrtr_tempemp!IM19</f>
        <v>0</v>
      </c>
      <c r="IM19" s="286">
        <f>'Data-temp_employment'!IM19-last_qrtr_tempemp!IN19</f>
        <v>0</v>
      </c>
      <c r="IN19" s="286">
        <f>'Data-temp_employment'!IN19-last_qrtr_tempemp!IO19</f>
        <v>0</v>
      </c>
      <c r="IO19" s="286">
        <f>'Data-temp_employment'!IO19-last_qrtr_tempemp!IP19</f>
        <v>0</v>
      </c>
      <c r="IP19" s="286">
        <f>'Data-temp_employment'!IP19-last_qrtr_tempemp!IQ19</f>
        <v>0</v>
      </c>
      <c r="IQ19" s="286">
        <f>'Data-temp_employment'!IQ19-last_qrtr_tempemp!IR19</f>
        <v>0</v>
      </c>
      <c r="IR19" s="286">
        <f>'Data-temp_employment'!IR19-last_qrtr_tempemp!IS19</f>
        <v>0</v>
      </c>
      <c r="IS19" s="286">
        <f>'Data-temp_employment'!IS19-last_qrtr_tempemp!IT19</f>
        <v>0</v>
      </c>
      <c r="IT19" s="286">
        <f>'Data-temp_employment'!IT19</f>
        <v>0</v>
      </c>
      <c r="IU19" s="285" t="s">
        <v>25</v>
      </c>
      <c r="IV19" s="286">
        <f>'Data-temp_employment'!IV19-last_qrtr_tempemp!IW19</f>
        <v>-1.2999999999999972</v>
      </c>
      <c r="IW19" s="286">
        <f>'Data-temp_employment'!IW19-last_qrtr_tempemp!IX19</f>
        <v>1.4000000000000057</v>
      </c>
      <c r="IX19" s="286">
        <f>'Data-temp_employment'!IX19-last_qrtr_tempemp!IY19</f>
        <v>45.099999999999994</v>
      </c>
      <c r="IY19" s="286">
        <f>'Data-temp_employment'!IY19-last_qrtr_tempemp!IZ19</f>
        <v>1</v>
      </c>
      <c r="IZ19" s="286">
        <f>'Data-temp_employment'!IZ19-last_qrtr_tempemp!JA19</f>
        <v>-19.400000000000006</v>
      </c>
      <c r="JA19" s="286">
        <f>'Data-temp_employment'!JA19-last_qrtr_tempemp!JB19</f>
        <v>-22.599999999999994</v>
      </c>
      <c r="JB19" s="286">
        <f>'Data-temp_employment'!JB19-last_qrtr_tempemp!JC19</f>
        <v>30.799999999999997</v>
      </c>
      <c r="JC19" s="286">
        <f>'Data-temp_employment'!JC19-last_qrtr_tempemp!JD19</f>
        <v>3.5</v>
      </c>
      <c r="JD19" s="286">
        <f>'Data-temp_employment'!JD19-last_qrtr_tempemp!JE19</f>
        <v>-7</v>
      </c>
      <c r="JE19" s="286">
        <f>'Data-temp_employment'!JE19</f>
        <v>94</v>
      </c>
      <c r="JF19" s="285" t="s">
        <v>25</v>
      </c>
      <c r="JG19" s="286">
        <f>'Data-temp_employment'!JG19-last_qrtr_tempemp!JH19</f>
        <v>-60.199999999999989</v>
      </c>
      <c r="JH19" s="286">
        <f>'Data-temp_employment'!JH19-last_qrtr_tempemp!JI19</f>
        <v>-50.899999999999977</v>
      </c>
      <c r="JI19" s="286">
        <f>'Data-temp_employment'!JI19-last_qrtr_tempemp!JJ19</f>
        <v>48.399999999999977</v>
      </c>
      <c r="JJ19" s="286">
        <f>'Data-temp_employment'!JJ19-last_qrtr_tempemp!JK19</f>
        <v>53.899999999999977</v>
      </c>
      <c r="JK19" s="286">
        <f>'Data-temp_employment'!JK19-last_qrtr_tempemp!JL19</f>
        <v>36.799999999999955</v>
      </c>
      <c r="JL19" s="286">
        <f>'Data-temp_employment'!JL19-last_qrtr_tempemp!JM19</f>
        <v>5.6000000000000227</v>
      </c>
      <c r="JM19" s="286">
        <f>'Data-temp_employment'!JM19-last_qrtr_tempemp!JN19</f>
        <v>21.199999999999989</v>
      </c>
      <c r="JN19" s="286">
        <f>'Data-temp_employment'!JN19-last_qrtr_tempemp!JO19</f>
        <v>-7.7999999999999545</v>
      </c>
      <c r="JO19" s="286">
        <f>'Data-temp_employment'!JO19-last_qrtr_tempemp!JP19</f>
        <v>-39.300000000000011</v>
      </c>
      <c r="JP19" s="286">
        <f>'Data-temp_employment'!JP19</f>
        <v>485.1</v>
      </c>
      <c r="JQ19" s="285" t="s">
        <v>25</v>
      </c>
      <c r="JR19" s="286">
        <f>'Data-temp_employment'!JR19-last_qrtr_tempemp!JS19</f>
        <v>3</v>
      </c>
      <c r="JS19" s="286">
        <f>'Data-temp_employment'!JS19-last_qrtr_tempemp!JT19</f>
        <v>14.800000000000011</v>
      </c>
      <c r="JT19" s="286">
        <f>'Data-temp_employment'!JT19-last_qrtr_tempemp!JU19</f>
        <v>-6.8999999999999773</v>
      </c>
      <c r="JU19" s="286">
        <f>'Data-temp_employment'!JU19-last_qrtr_tempemp!JV19</f>
        <v>32.799999999999983</v>
      </c>
      <c r="JV19" s="286">
        <f>'Data-temp_employment'!JV19-last_qrtr_tempemp!JW19</f>
        <v>-4.3000000000000114</v>
      </c>
      <c r="JW19" s="286">
        <f>'Data-temp_employment'!JW19-last_qrtr_tempemp!JX19</f>
        <v>39.300000000000011</v>
      </c>
      <c r="JX19" s="286">
        <f>'Data-temp_employment'!JX19-last_qrtr_tempemp!JY19</f>
        <v>26.800000000000011</v>
      </c>
      <c r="JY19" s="286">
        <f>'Data-temp_employment'!JY19-last_qrtr_tempemp!JZ19</f>
        <v>35.5</v>
      </c>
      <c r="JZ19" s="286">
        <f>'Data-temp_employment'!JZ19-last_qrtr_tempemp!KA19</f>
        <v>-4.6000000000000227</v>
      </c>
      <c r="KA19" s="286">
        <f>'Data-temp_employment'!KA19</f>
        <v>267.89999999999998</v>
      </c>
      <c r="KB19" s="285" t="s">
        <v>25</v>
      </c>
      <c r="KC19" s="286">
        <f>'Data-temp_employment'!KC19-last_qrtr_tempemp!KD19</f>
        <v>-27.399999999999977</v>
      </c>
      <c r="KD19" s="286">
        <f>'Data-temp_employment'!KD19-last_qrtr_tempemp!KE19</f>
        <v>-47.800000000000011</v>
      </c>
      <c r="KE19" s="286">
        <f>'Data-temp_employment'!KE19-last_qrtr_tempemp!KF19</f>
        <v>67.699999999999989</v>
      </c>
      <c r="KF19" s="286">
        <f>'Data-temp_employment'!KF19-last_qrtr_tempemp!KG19</f>
        <v>27.5</v>
      </c>
      <c r="KG19" s="286">
        <f>'Data-temp_employment'!KG19-last_qrtr_tempemp!KH19</f>
        <v>-40.900000000000034</v>
      </c>
      <c r="KH19" s="286">
        <f>'Data-temp_employment'!KH19-last_qrtr_tempemp!KI19</f>
        <v>-62.199999999999989</v>
      </c>
      <c r="KI19" s="286">
        <f>'Data-temp_employment'!KI19-last_qrtr_tempemp!KJ19</f>
        <v>56.300000000000011</v>
      </c>
      <c r="KJ19" s="286">
        <f>'Data-temp_employment'!KJ19-last_qrtr_tempemp!KK19</f>
        <v>82.899999999999977</v>
      </c>
      <c r="KK19" s="286">
        <f>'Data-temp_employment'!KK19-last_qrtr_tempemp!KL19</f>
        <v>30.199999999999989</v>
      </c>
      <c r="KL19" s="286">
        <f>'Data-temp_employment'!KL19</f>
        <v>426.6</v>
      </c>
      <c r="KM19" s="285" t="s">
        <v>25</v>
      </c>
      <c r="KN19" s="286">
        <f>'Data-temp_employment'!KN19-last_qrtr_tempemp!KO19</f>
        <v>29.5</v>
      </c>
      <c r="KO19" s="286">
        <f>'Data-temp_employment'!KO19-last_qrtr_tempemp!KP19</f>
        <v>6.0999999999999943</v>
      </c>
      <c r="KP19" s="286">
        <f>'Data-temp_employment'!KP19-last_qrtr_tempemp!KQ19</f>
        <v>18.599999999999994</v>
      </c>
      <c r="KQ19" s="286">
        <f>'Data-temp_employment'!KQ19-last_qrtr_tempemp!KR19</f>
        <v>-8.0999999999999943</v>
      </c>
      <c r="KR19" s="286">
        <f>'Data-temp_employment'!KR19-last_qrtr_tempemp!KS19</f>
        <v>-11.300000000000011</v>
      </c>
      <c r="KS19" s="286">
        <f>'Data-temp_employment'!KS19-last_qrtr_tempemp!KT19</f>
        <v>-9.9999999999994316E-2</v>
      </c>
      <c r="KT19" s="286">
        <f>'Data-temp_employment'!KT19-last_qrtr_tempemp!KU19</f>
        <v>31.299999999999983</v>
      </c>
      <c r="KU19" s="286">
        <f>'Data-temp_employment'!KU19-last_qrtr_tempemp!KV19</f>
        <v>37.200000000000017</v>
      </c>
      <c r="KV19" s="286">
        <f>'Data-temp_employment'!KV19-last_qrtr_tempemp!KW19</f>
        <v>-5.3000000000000114</v>
      </c>
      <c r="KW19" s="286">
        <f>'Data-temp_employment'!KW19</f>
        <v>173</v>
      </c>
      <c r="KX19" s="285" t="s">
        <v>25</v>
      </c>
      <c r="KY19" s="286">
        <f>'Data-temp_employment'!KY19-last_qrtr_tempemp!KZ19</f>
        <v>-75.299999999999983</v>
      </c>
      <c r="KZ19" s="286">
        <f>'Data-temp_employment'!KZ19-last_qrtr_tempemp!LA19</f>
        <v>-45.800000000000011</v>
      </c>
      <c r="LA19" s="286">
        <f>'Data-temp_employment'!LA19-last_qrtr_tempemp!LB19</f>
        <v>94.1</v>
      </c>
      <c r="LB19" s="286">
        <f>'Data-temp_employment'!LB19-last_qrtr_tempemp!LC19</f>
        <v>29</v>
      </c>
      <c r="LC19" s="286">
        <f>'Data-temp_employment'!LC19-last_qrtr_tempemp!LD19</f>
        <v>-29.300000000000011</v>
      </c>
      <c r="LD19" s="286">
        <f>'Data-temp_employment'!LD19-last_qrtr_tempemp!LE19</f>
        <v>-10.799999999999983</v>
      </c>
      <c r="LE19" s="286">
        <f>'Data-temp_employment'!LE19-last_qrtr_tempemp!LF19</f>
        <v>104.19999999999999</v>
      </c>
      <c r="LF19" s="286">
        <f>'Data-temp_employment'!LF19-last_qrtr_tempemp!LG19</f>
        <v>15.800000000000011</v>
      </c>
      <c r="LG19" s="286">
        <f>'Data-temp_employment'!LG19-last_qrtr_tempemp!LH19</f>
        <v>-45.600000000000023</v>
      </c>
      <c r="LH19" s="286">
        <f>'Data-temp_employment'!LH19</f>
        <v>214.9</v>
      </c>
      <c r="LI19" s="285" t="s">
        <v>25</v>
      </c>
      <c r="LJ19" s="286">
        <f>'Data-temp_employment'!LJ19-last_qrtr_tempemp!LK19</f>
        <v>5.5</v>
      </c>
      <c r="LK19" s="286">
        <f>'Data-temp_employment'!LK19-last_qrtr_tempemp!LL19</f>
        <v>0.5</v>
      </c>
      <c r="LL19" s="286">
        <f>'Data-temp_employment'!LL19-last_qrtr_tempemp!LM19</f>
        <v>-2.2000000000000028</v>
      </c>
      <c r="LM19" s="286">
        <f>'Data-temp_employment'!LM19-last_qrtr_tempemp!LN19</f>
        <v>14.900000000000006</v>
      </c>
      <c r="LN19" s="286">
        <f>'Data-temp_employment'!LN19-last_qrtr_tempemp!LO19</f>
        <v>7.7000000000000028</v>
      </c>
      <c r="LO19" s="286">
        <f>'Data-temp_employment'!LO19-last_qrtr_tempemp!LP19</f>
        <v>27.400000000000006</v>
      </c>
      <c r="LP19" s="286">
        <f>'Data-temp_employment'!LP19-last_qrtr_tempemp!LQ19</f>
        <v>16.099999999999994</v>
      </c>
      <c r="LQ19" s="286">
        <f>'Data-temp_employment'!LQ19-last_qrtr_tempemp!LR19</f>
        <v>-1.9000000000000057</v>
      </c>
      <c r="LR19" s="286">
        <f>'Data-temp_employment'!LR19-last_qrtr_tempemp!LS19</f>
        <v>-25.400000000000006</v>
      </c>
      <c r="LS19" s="286">
        <f>'Data-temp_employment'!LS19</f>
        <v>85.6</v>
      </c>
      <c r="LT19" s="285" t="s">
        <v>25</v>
      </c>
      <c r="LU19" s="286">
        <f>'Data-temp_employment'!LU19-last_qrtr_tempemp!LV19</f>
        <v>-3.4000000000000057</v>
      </c>
      <c r="LV19" s="286">
        <f>'Data-temp_employment'!LV19-last_qrtr_tempemp!LW19</f>
        <v>6.0999999999999943</v>
      </c>
      <c r="LW19" s="286">
        <f>'Data-temp_employment'!LW19-last_qrtr_tempemp!LX19</f>
        <v>7.9000000000000057</v>
      </c>
      <c r="LX19" s="286">
        <f>'Data-temp_employment'!LX19-last_qrtr_tempemp!LY19</f>
        <v>5.4000000000000057</v>
      </c>
      <c r="LY19" s="286">
        <f>'Data-temp_employment'!LY19-last_qrtr_tempemp!LZ19</f>
        <v>-6.8999999999999915</v>
      </c>
      <c r="LZ19" s="286">
        <f>'Data-temp_employment'!LZ19-last_qrtr_tempemp!MA19</f>
        <v>10.099999999999994</v>
      </c>
      <c r="MA19" s="286">
        <f>'Data-temp_employment'!MA19-last_qrtr_tempemp!MB19</f>
        <v>4.8999999999999915</v>
      </c>
      <c r="MB19" s="286">
        <f>'Data-temp_employment'!MB19-last_qrtr_tempemp!MC19</f>
        <v>-8.6000000000000085</v>
      </c>
      <c r="MC19" s="286">
        <f>'Data-temp_employment'!MC19-last_qrtr_tempemp!MD19</f>
        <v>-21.799999999999997</v>
      </c>
      <c r="MD19" s="286">
        <f>'Data-temp_employment'!MD19</f>
        <v>66.2</v>
      </c>
      <c r="ME19" s="285" t="s">
        <v>25</v>
      </c>
      <c r="MF19" s="286">
        <f>'Data-temp_employment'!MF19-last_qrtr_tempemp!MG19</f>
        <v>-28</v>
      </c>
      <c r="MG19" s="286">
        <f>'Data-temp_employment'!MG19-last_qrtr_tempemp!MH19</f>
        <v>17</v>
      </c>
      <c r="MH19" s="286">
        <f>'Data-temp_employment'!MH19-last_qrtr_tempemp!MI19</f>
        <v>-3.7999999999999829</v>
      </c>
      <c r="MI19" s="286">
        <f>'Data-temp_employment'!MI19-last_qrtr_tempemp!MJ19</f>
        <v>2.3000000000000114</v>
      </c>
      <c r="MJ19" s="286">
        <f>'Data-temp_employment'!MJ19-last_qrtr_tempemp!MK19</f>
        <v>-21.700000000000017</v>
      </c>
      <c r="MK19" s="286">
        <f>'Data-temp_employment'!MK19-last_qrtr_tempemp!ML19</f>
        <v>8.8999999999999773</v>
      </c>
      <c r="ML19" s="286">
        <f>'Data-temp_employment'!ML19-last_qrtr_tempemp!MM19</f>
        <v>23.099999999999994</v>
      </c>
      <c r="MM19" s="286">
        <f>'Data-temp_employment'!MM19-last_qrtr_tempemp!MN19</f>
        <v>9.3000000000000114</v>
      </c>
      <c r="MN19" s="286">
        <f>'Data-temp_employment'!MN19-last_qrtr_tempemp!MO19</f>
        <v>-1.5</v>
      </c>
      <c r="MO19" s="286">
        <f>'Data-temp_employment'!MO19</f>
        <v>152.30000000000001</v>
      </c>
      <c r="MP19" s="285" t="s">
        <v>25</v>
      </c>
      <c r="MQ19" s="286">
        <f>'Data-temp_employment'!MQ19-last_qrtr_tempemp!MR19</f>
        <v>-9</v>
      </c>
      <c r="MR19" s="286">
        <f>'Data-temp_employment'!MR19-last_qrtr_tempemp!MS19</f>
        <v>17.900000000000006</v>
      </c>
      <c r="MS19" s="286">
        <f>'Data-temp_employment'!MS19-last_qrtr_tempemp!MT19</f>
        <v>39.099999999999994</v>
      </c>
      <c r="MT19" s="286">
        <f>'Data-temp_employment'!MT19-last_qrtr_tempemp!MU19</f>
        <v>37.300000000000011</v>
      </c>
      <c r="MU19" s="286">
        <f>'Data-temp_employment'!MU19-last_qrtr_tempemp!MV19</f>
        <v>-14.5</v>
      </c>
      <c r="MV19" s="286">
        <f>'Data-temp_employment'!MV19-last_qrtr_tempemp!MW19</f>
        <v>-7.4000000000000057</v>
      </c>
      <c r="MW19" s="286">
        <f>'Data-temp_employment'!MW19-last_qrtr_tempemp!MX19</f>
        <v>20.5</v>
      </c>
      <c r="MX19" s="286">
        <f>'Data-temp_employment'!MX19-last_qrtr_tempemp!MY19</f>
        <v>33.800000000000011</v>
      </c>
      <c r="MY19" s="286">
        <f>'Data-temp_employment'!MY19-last_qrtr_tempemp!MZ19</f>
        <v>-6.8000000000000114</v>
      </c>
      <c r="MZ19" s="286">
        <f>'Data-temp_employment'!MZ19</f>
        <v>183.6</v>
      </c>
      <c r="NA19" s="285" t="s">
        <v>25</v>
      </c>
      <c r="NB19" s="286">
        <f>'Data-temp_employment'!NB19-last_qrtr_tempemp!NC19</f>
        <v>-2</v>
      </c>
      <c r="NC19" s="286">
        <f>'Data-temp_employment'!NC19-last_qrtr_tempemp!ND19</f>
        <v>6.5999999999999659</v>
      </c>
      <c r="ND19" s="286">
        <f>'Data-temp_employment'!ND19-last_qrtr_tempemp!NE19</f>
        <v>4.8000000000000114</v>
      </c>
      <c r="NE19" s="286">
        <f>'Data-temp_employment'!NE19-last_qrtr_tempemp!NF19</f>
        <v>-3.5</v>
      </c>
      <c r="NF19" s="286">
        <f>'Data-temp_employment'!NF19-last_qrtr_tempemp!NG19</f>
        <v>-4.0999999999999659</v>
      </c>
      <c r="NG19" s="286">
        <f>'Data-temp_employment'!NG19-last_qrtr_tempemp!NH19</f>
        <v>7.3999999999999773</v>
      </c>
      <c r="NH19" s="286">
        <f>'Data-temp_employment'!NH19-last_qrtr_tempemp!NI19</f>
        <v>16.5</v>
      </c>
      <c r="NI19" s="286">
        <f>'Data-temp_employment'!NI19-last_qrtr_tempemp!NJ19</f>
        <v>34.399999999999977</v>
      </c>
      <c r="NJ19" s="286">
        <f>'Data-temp_employment'!NJ19-last_qrtr_tempemp!NK19</f>
        <v>-15.899999999999977</v>
      </c>
      <c r="NK19" s="286">
        <f>'Data-temp_employment'!NK19</f>
        <v>354.4</v>
      </c>
      <c r="NL19" s="285" t="s">
        <v>25</v>
      </c>
      <c r="NM19" s="286">
        <f>'Data-temp_employment'!NM19-last_qrtr_tempemp!NN19</f>
        <v>-37.199999999999989</v>
      </c>
      <c r="NN19" s="286">
        <f>'Data-temp_employment'!NN19-last_qrtr_tempemp!NO19</f>
        <v>27.100000000000023</v>
      </c>
      <c r="NO19" s="286">
        <f>'Data-temp_employment'!NO19-last_qrtr_tempemp!NP19</f>
        <v>-56.300000000000011</v>
      </c>
      <c r="NP19" s="286">
        <f>'Data-temp_employment'!NP19-last_qrtr_tempemp!NQ19</f>
        <v>-36.300000000000011</v>
      </c>
      <c r="NQ19" s="286">
        <f>'Data-temp_employment'!NQ19-last_qrtr_tempemp!NR19</f>
        <v>-6.3999999999999773</v>
      </c>
      <c r="NR19" s="286">
        <f>'Data-temp_employment'!NR19-last_qrtr_tempemp!NS19</f>
        <v>73.5</v>
      </c>
      <c r="NS19" s="286">
        <f>'Data-temp_employment'!NS19-last_qrtr_tempemp!NT19</f>
        <v>-24.5</v>
      </c>
      <c r="NT19" s="286">
        <f>'Data-temp_employment'!NT19-last_qrtr_tempemp!NU19</f>
        <v>-8.3000000000000114</v>
      </c>
      <c r="NU19" s="286">
        <f>'Data-temp_employment'!NU19-last_qrtr_tempemp!NV19</f>
        <v>11.600000000000023</v>
      </c>
      <c r="NV19" s="286">
        <f>'Data-temp_employment'!NV19</f>
        <v>406.7</v>
      </c>
      <c r="NW19" s="285" t="s">
        <v>25</v>
      </c>
      <c r="NX19" s="286">
        <f>'Data-temp_employment'!NX19-last_qrtr_tempemp!NY19</f>
        <v>-10.199999999999932</v>
      </c>
      <c r="NY19" s="286">
        <f>'Data-temp_employment'!NY19-last_qrtr_tempemp!NZ19</f>
        <v>-45</v>
      </c>
      <c r="NZ19" s="286">
        <f>'Data-temp_employment'!NZ19-last_qrtr_tempemp!OA19</f>
        <v>-12.700000000000045</v>
      </c>
      <c r="OA19" s="286">
        <f>'Data-temp_employment'!OA19-last_qrtr_tempemp!OB19</f>
        <v>9.8999999999999773</v>
      </c>
      <c r="OB19" s="286">
        <f>'Data-temp_employment'!OB19-last_qrtr_tempemp!OC19</f>
        <v>18.899999999999977</v>
      </c>
      <c r="OC19" s="286">
        <f>'Data-temp_employment'!OC19-last_qrtr_tempemp!OD19</f>
        <v>-0.10000000000002274</v>
      </c>
      <c r="OD19" s="286">
        <f>'Data-temp_employment'!OD19-last_qrtr_tempemp!OE19</f>
        <v>37.200000000000045</v>
      </c>
      <c r="OE19" s="286">
        <f>'Data-temp_employment'!OE19-last_qrtr_tempemp!OF19</f>
        <v>8.8999999999999773</v>
      </c>
      <c r="OF19" s="286">
        <f>'Data-temp_employment'!OF19-last_qrtr_tempemp!OG19</f>
        <v>13.200000000000045</v>
      </c>
      <c r="OG19" s="286">
        <f>'Data-temp_employment'!OG19</f>
        <v>586.20000000000005</v>
      </c>
      <c r="OH19" s="287" t="s">
        <v>25</v>
      </c>
      <c r="OI19" s="286"/>
      <c r="OJ19" s="286"/>
      <c r="OK19" s="286"/>
      <c r="OL19" s="286"/>
      <c r="OM19" s="286"/>
      <c r="ON19" s="286"/>
      <c r="OO19" s="286"/>
      <c r="OP19" s="286"/>
      <c r="OQ19" s="286"/>
      <c r="OR19" s="286"/>
      <c r="OS19" s="285" t="s">
        <v>25</v>
      </c>
      <c r="OT19" s="286" t="e">
        <f>'Data-temp_employment'!#REF!-last_qrtr_tempemp!OU19</f>
        <v>#REF!</v>
      </c>
      <c r="OU19" s="286">
        <f>'Data-temp_employment'!OT19-last_qrtr_tempemp!OV19</f>
        <v>0.39999999999999997</v>
      </c>
      <c r="OV19" s="286">
        <f>'Data-temp_employment'!OU19-last_qrtr_tempemp!OW19</f>
        <v>-0.60000000000000009</v>
      </c>
      <c r="OW19" s="286">
        <f>'Data-temp_employment'!OV19-last_qrtr_tempemp!OX19</f>
        <v>-0.39999999999999997</v>
      </c>
      <c r="OX19" s="286">
        <f>'Data-temp_employment'!OW19-last_qrtr_tempemp!OY19</f>
        <v>9.9999999999999978E-2</v>
      </c>
      <c r="OY19" s="286">
        <f>'Data-temp_employment'!OX19-last_qrtr_tempemp!OZ19</f>
        <v>0.5</v>
      </c>
      <c r="OZ19" s="286">
        <f>'Data-temp_employment'!OY19-last_qrtr_tempemp!PA19</f>
        <v>0.29999999999999993</v>
      </c>
      <c r="PA19" s="286">
        <f>'Data-temp_employment'!OZ19-last_qrtr_tempemp!PB19</f>
        <v>-0.30000000000000004</v>
      </c>
      <c r="PB19" s="286">
        <f>'Data-temp_employment'!PA19-last_qrtr_tempemp!PC19</f>
        <v>9.9999999999999978E-2</v>
      </c>
      <c r="PC19" s="286">
        <f>'Data-temp_employment'!PB19</f>
        <v>0.2</v>
      </c>
      <c r="PE19" s="319"/>
      <c r="PF19" s="319"/>
      <c r="PG19" s="319"/>
      <c r="PH19" s="319"/>
      <c r="PI19" s="319"/>
      <c r="PJ19" s="319"/>
      <c r="PK19" s="319"/>
      <c r="PL19" s="319"/>
      <c r="PM19" s="319"/>
      <c r="PN19" s="319"/>
      <c r="PO19" s="319"/>
      <c r="PP19" s="319"/>
      <c r="PQ19" s="319"/>
      <c r="PR19" s="319"/>
      <c r="PS19" s="319"/>
      <c r="PT19" s="319"/>
      <c r="PU19" s="319"/>
      <c r="PV19" s="319"/>
      <c r="PW19" s="319"/>
      <c r="PX19" s="319"/>
      <c r="PY19" s="319"/>
      <c r="PZ19" s="319"/>
      <c r="QA19" s="319"/>
      <c r="QB19" s="319"/>
      <c r="QC19" s="319"/>
      <c r="QD19" s="319"/>
      <c r="QE19" s="319"/>
      <c r="QF19" s="319"/>
      <c r="QG19" s="319"/>
      <c r="QH19" s="319"/>
      <c r="QI19" s="319"/>
      <c r="QJ19" s="319"/>
      <c r="QK19" s="319"/>
      <c r="QL19" s="319"/>
      <c r="QM19" s="319"/>
      <c r="QN19" s="319"/>
      <c r="QO19" s="319"/>
      <c r="QP19" s="319"/>
      <c r="QQ19" s="319"/>
      <c r="QR19" s="319"/>
      <c r="QS19" s="319"/>
      <c r="QT19" s="319"/>
      <c r="QU19" s="319"/>
      <c r="QV19" s="319"/>
      <c r="QW19" s="319"/>
      <c r="QX19" s="319"/>
      <c r="QY19" s="319"/>
      <c r="QZ19" s="319"/>
      <c r="RA19" s="319"/>
      <c r="RB19" s="319"/>
      <c r="RC19" s="319"/>
      <c r="RD19" s="319"/>
      <c r="RE19" s="319"/>
      <c r="RF19" s="319"/>
      <c r="RG19" s="319"/>
      <c r="RH19" s="319"/>
      <c r="RI19" s="319"/>
      <c r="RJ19" s="319"/>
      <c r="RK19" s="319"/>
      <c r="RL19" s="319"/>
      <c r="RM19" s="319"/>
      <c r="RN19" s="319"/>
      <c r="RO19" s="319"/>
      <c r="RP19" s="319"/>
    </row>
    <row r="20" spans="1:485">
      <c r="A20" s="272">
        <v>17</v>
      </c>
      <c r="B20" s="285" t="s">
        <v>49</v>
      </c>
      <c r="C20" s="286">
        <f>'Data-temp_employment'!C20-last_qrtr_tempemp!D20</f>
        <v>9.9999999999999645E-2</v>
      </c>
      <c r="D20" s="286">
        <f>'Data-temp_employment'!D20-last_qrtr_tempemp!E20</f>
        <v>-9.9999999999999645E-2</v>
      </c>
      <c r="E20" s="286">
        <f>'Data-temp_employment'!E20-last_qrtr_tempemp!F20</f>
        <v>-0.20000000000000107</v>
      </c>
      <c r="F20" s="286">
        <f>'Data-temp_employment'!F20-last_qrtr_tempemp!G20</f>
        <v>0.69999999999999929</v>
      </c>
      <c r="G20" s="286">
        <f>'Data-temp_employment'!G20-last_qrtr_tempemp!H20</f>
        <v>-0.29999999999999893</v>
      </c>
      <c r="H20" s="286">
        <f>'Data-temp_employment'!H20-last_qrtr_tempemp!I20</f>
        <v>-0.39999999999999858</v>
      </c>
      <c r="I20" s="286">
        <f>'Data-temp_employment'!I20-last_qrtr_tempemp!J20</f>
        <v>-0.79999999999999893</v>
      </c>
      <c r="J20" s="286">
        <f>'Data-temp_employment'!J20-last_qrtr_tempemp!K20</f>
        <v>0.39999999999999858</v>
      </c>
      <c r="K20" s="286">
        <f>'Data-temp_employment'!K20-last_qrtr_tempemp!L20</f>
        <v>-0.30000000000000071</v>
      </c>
      <c r="L20" s="286">
        <f>'Data-temp_employment'!L20</f>
        <v>12.6</v>
      </c>
      <c r="M20" s="285" t="s">
        <v>49</v>
      </c>
      <c r="N20" s="286">
        <f>'Data-temp_employment'!N20-last_qrtr_tempemp!O20</f>
        <v>163</v>
      </c>
      <c r="O20" s="286">
        <f>'Data-temp_employment'!O20-last_qrtr_tempemp!P20</f>
        <v>61.5</v>
      </c>
      <c r="P20" s="286">
        <f>'Data-temp_employment'!P20-last_qrtr_tempemp!Q20</f>
        <v>22.899999999999636</v>
      </c>
      <c r="Q20" s="286">
        <f>'Data-temp_employment'!Q20-last_qrtr_tempemp!R20</f>
        <v>314.19999999999982</v>
      </c>
      <c r="R20" s="286">
        <f>'Data-temp_employment'!R20-last_qrtr_tempemp!S20</f>
        <v>-53.5</v>
      </c>
      <c r="S20" s="286">
        <f>'Data-temp_employment'!S20-last_qrtr_tempemp!T20</f>
        <v>-133.59999999999945</v>
      </c>
      <c r="T20" s="286">
        <f>'Data-temp_employment'!T20-last_qrtr_tempemp!U20</f>
        <v>-237</v>
      </c>
      <c r="U20" s="286">
        <f>'Data-temp_employment'!U20-last_qrtr_tempemp!V20</f>
        <v>224.60000000000036</v>
      </c>
      <c r="V20" s="286">
        <f>'Data-temp_employment'!V20-last_qrtr_tempemp!W20</f>
        <v>-52.900000000000546</v>
      </c>
      <c r="W20" s="286">
        <f>'Data-temp_employment'!W20</f>
        <v>4599.5</v>
      </c>
      <c r="X20" s="285" t="s">
        <v>49</v>
      </c>
      <c r="Y20" s="286">
        <f>'Data-temp_employment'!Y20-last_qrtr_tempemp!Z20</f>
        <v>0</v>
      </c>
      <c r="Z20" s="286">
        <f>'Data-temp_employment'!Z20-last_qrtr_tempemp!AA20</f>
        <v>0</v>
      </c>
      <c r="AA20" s="286">
        <f>'Data-temp_employment'!AA20-last_qrtr_tempemp!AB20</f>
        <v>0</v>
      </c>
      <c r="AB20" s="286">
        <f>'Data-temp_employment'!AB20-last_qrtr_tempemp!AC20</f>
        <v>0</v>
      </c>
      <c r="AC20" s="286">
        <f>'Data-temp_employment'!AC20-last_qrtr_tempemp!AD20</f>
        <v>0</v>
      </c>
      <c r="AD20" s="286">
        <f>'Data-temp_employment'!AD20-last_qrtr_tempemp!AE20</f>
        <v>0</v>
      </c>
      <c r="AE20" s="286">
        <f>'Data-temp_employment'!AE20-last_qrtr_tempemp!AF20</f>
        <v>0</v>
      </c>
      <c r="AF20" s="286">
        <f>'Data-temp_employment'!AF20-last_qrtr_tempemp!AG20</f>
        <v>0</v>
      </c>
      <c r="AG20" s="286">
        <f>'Data-temp_employment'!AG20-last_qrtr_tempemp!AH20</f>
        <v>0</v>
      </c>
      <c r="AH20" s="286">
        <f>'Data-temp_employment'!AH20</f>
        <v>0</v>
      </c>
      <c r="AI20" s="285" t="s">
        <v>49</v>
      </c>
      <c r="AJ20" s="286">
        <f>'Data-temp_employment'!AJ20-last_qrtr_tempemp!AK20</f>
        <v>-33.099999999999994</v>
      </c>
      <c r="AK20" s="286">
        <f>'Data-temp_employment'!AK20-last_qrtr_tempemp!AL20</f>
        <v>-17.299999999999983</v>
      </c>
      <c r="AL20" s="286">
        <f>'Data-temp_employment'!AL20-last_qrtr_tempemp!AM20</f>
        <v>27.299999999999983</v>
      </c>
      <c r="AM20" s="286">
        <f>'Data-temp_employment'!AM20-last_qrtr_tempemp!AN20</f>
        <v>14.599999999999994</v>
      </c>
      <c r="AN20" s="286">
        <f>'Data-temp_employment'!AN20-last_qrtr_tempemp!AO20</f>
        <v>-44.5</v>
      </c>
      <c r="AO20" s="286">
        <f>'Data-temp_employment'!AO20-last_qrtr_tempemp!AP20</f>
        <v>-36.899999999999977</v>
      </c>
      <c r="AP20" s="286">
        <f>'Data-temp_employment'!AP20-last_qrtr_tempemp!AQ20</f>
        <v>18.800000000000011</v>
      </c>
      <c r="AQ20" s="286">
        <f>'Data-temp_employment'!AQ20-last_qrtr_tempemp!AR20</f>
        <v>15.199999999999989</v>
      </c>
      <c r="AR20" s="286">
        <f>'Data-temp_employment'!AR20-last_qrtr_tempemp!AS20</f>
        <v>-36.700000000000017</v>
      </c>
      <c r="AS20" s="286">
        <f>'Data-temp_employment'!AS20</f>
        <v>144</v>
      </c>
      <c r="AT20" s="285" t="s">
        <v>49</v>
      </c>
      <c r="AU20" s="286">
        <f>'Data-temp_employment'!AU20-last_qrtr_tempemp!AV20</f>
        <v>-14</v>
      </c>
      <c r="AV20" s="286">
        <f>'Data-temp_employment'!AV20-last_qrtr_tempemp!AW20</f>
        <v>31.200000000000045</v>
      </c>
      <c r="AW20" s="286">
        <f>'Data-temp_employment'!AW20-last_qrtr_tempemp!AX20</f>
        <v>32.899999999999977</v>
      </c>
      <c r="AX20" s="286">
        <f>'Data-temp_employment'!AX20-last_qrtr_tempemp!AY20</f>
        <v>33.100000000000023</v>
      </c>
      <c r="AY20" s="286">
        <f>'Data-temp_employment'!AY20-last_qrtr_tempemp!AZ20</f>
        <v>-41.700000000000045</v>
      </c>
      <c r="AZ20" s="286">
        <f>'Data-temp_employment'!AZ20-last_qrtr_tempemp!BA20</f>
        <v>-31.600000000000023</v>
      </c>
      <c r="BA20" s="286">
        <f>'Data-temp_employment'!BA20-last_qrtr_tempemp!BB20</f>
        <v>-2</v>
      </c>
      <c r="BB20" s="286">
        <f>'Data-temp_employment'!BB20-last_qrtr_tempemp!BC20</f>
        <v>22.899999999999977</v>
      </c>
      <c r="BC20" s="286">
        <f>'Data-temp_employment'!BC20-last_qrtr_tempemp!BD20</f>
        <v>-11</v>
      </c>
      <c r="BD20" s="286">
        <f>'Data-temp_employment'!BD20</f>
        <v>534.79999999999995</v>
      </c>
      <c r="BE20" s="285" t="s">
        <v>49</v>
      </c>
      <c r="BF20" s="286">
        <f>'Data-temp_employment'!BF20-last_qrtr_tempemp!BG20</f>
        <v>75.400000000000091</v>
      </c>
      <c r="BG20" s="286">
        <f>'Data-temp_employment'!BG20-last_qrtr_tempemp!BH20</f>
        <v>3.9000000000000909</v>
      </c>
      <c r="BH20" s="286">
        <f>'Data-temp_employment'!BH20-last_qrtr_tempemp!BI20</f>
        <v>13.799999999999955</v>
      </c>
      <c r="BI20" s="286">
        <f>'Data-temp_employment'!BI20-last_qrtr_tempemp!BJ20</f>
        <v>50.299999999999955</v>
      </c>
      <c r="BJ20" s="286">
        <f>'Data-temp_employment'!BJ20-last_qrtr_tempemp!BK20</f>
        <v>-31.700000000000045</v>
      </c>
      <c r="BK20" s="286">
        <f>'Data-temp_employment'!BK20-last_qrtr_tempemp!BL20</f>
        <v>-16.200000000000045</v>
      </c>
      <c r="BL20" s="286">
        <f>'Data-temp_employment'!BL20-last_qrtr_tempemp!BM20</f>
        <v>-52.5</v>
      </c>
      <c r="BM20" s="286">
        <f>'Data-temp_employment'!BM20-last_qrtr_tempemp!BN20</f>
        <v>57.5</v>
      </c>
      <c r="BN20" s="286">
        <f>'Data-temp_employment'!BN20-last_qrtr_tempemp!BO20</f>
        <v>-61.599999999999909</v>
      </c>
      <c r="BO20" s="286">
        <f>'Data-temp_employment'!BO20</f>
        <v>1323</v>
      </c>
      <c r="BP20" s="285" t="s">
        <v>49</v>
      </c>
      <c r="BQ20" s="286">
        <f>'Data-temp_employment'!BQ20-last_qrtr_tempemp!BR20</f>
        <v>82.299999999999841</v>
      </c>
      <c r="BR20" s="286">
        <f>'Data-temp_employment'!BR20-last_qrtr_tempemp!BS20</f>
        <v>24.899999999999977</v>
      </c>
      <c r="BS20" s="286">
        <f>'Data-temp_employment'!BS20-last_qrtr_tempemp!BT20</f>
        <v>45.5</v>
      </c>
      <c r="BT20" s="286">
        <f>'Data-temp_employment'!BT20-last_qrtr_tempemp!BU20</f>
        <v>15.400000000000091</v>
      </c>
      <c r="BU20" s="286">
        <f>'Data-temp_employment'!BU20-last_qrtr_tempemp!BV20</f>
        <v>-2.5</v>
      </c>
      <c r="BV20" s="286">
        <f>'Data-temp_employment'!BV20-last_qrtr_tempemp!BW20</f>
        <v>-20.600000000000023</v>
      </c>
      <c r="BW20" s="286">
        <f>'Data-temp_employment'!BW20-last_qrtr_tempemp!BX20</f>
        <v>-30.899999999999977</v>
      </c>
      <c r="BX20" s="286">
        <f>'Data-temp_employment'!BX20-last_qrtr_tempemp!BY20</f>
        <v>-0.20000000000004547</v>
      </c>
      <c r="BY20" s="286">
        <f>'Data-temp_employment'!BY20-last_qrtr_tempemp!BZ20</f>
        <v>-35.199999999999932</v>
      </c>
      <c r="BZ20" s="286">
        <f>'Data-temp_employment'!BZ20</f>
        <v>708.69999999999993</v>
      </c>
      <c r="CA20" s="285" t="s">
        <v>49</v>
      </c>
      <c r="CB20" s="286">
        <f>'Data-temp_employment'!CB20-last_qrtr_tempemp!CC20</f>
        <v>39.799999999999727</v>
      </c>
      <c r="CC20" s="286">
        <f>'Data-temp_employment'!CC20-last_qrtr_tempemp!CD20</f>
        <v>-9.8999999999998636</v>
      </c>
      <c r="CD20" s="286">
        <f>'Data-temp_employment'!CD20-last_qrtr_tempemp!CE20</f>
        <v>-134.20000000000005</v>
      </c>
      <c r="CE20" s="286">
        <f>'Data-temp_employment'!CE20-last_qrtr_tempemp!CF20</f>
        <v>174.70000000000005</v>
      </c>
      <c r="CF20" s="286">
        <f>'Data-temp_employment'!CF20-last_qrtr_tempemp!CG20</f>
        <v>68.299999999999955</v>
      </c>
      <c r="CG20" s="286">
        <f>'Data-temp_employment'!CG20-last_qrtr_tempemp!CH20</f>
        <v>-15.399999999999864</v>
      </c>
      <c r="CH20" s="286">
        <f>'Data-temp_employment'!CH20-last_qrtr_tempemp!CI20</f>
        <v>-182.59999999999991</v>
      </c>
      <c r="CI20" s="286">
        <f>'Data-temp_employment'!CI20-last_qrtr_tempemp!CJ20</f>
        <v>121.90000000000009</v>
      </c>
      <c r="CJ20" s="286">
        <f>'Data-temp_employment'!CJ20-last_qrtr_tempemp!CK20</f>
        <v>120.39999999999986</v>
      </c>
      <c r="CK20" s="286">
        <f>'Data-temp_employment'!CK20</f>
        <v>1756.1</v>
      </c>
      <c r="CL20" s="285" t="s">
        <v>49</v>
      </c>
      <c r="CM20" s="286">
        <f>'Data-temp_employment'!CM20-last_qrtr_tempemp!CN20</f>
        <v>-7.7000000000000455</v>
      </c>
      <c r="CN20" s="286">
        <f>'Data-temp_employment'!CN20-last_qrtr_tempemp!CO20</f>
        <v>-28.5</v>
      </c>
      <c r="CO20" s="286">
        <f>'Data-temp_employment'!CO20-last_qrtr_tempemp!CP20</f>
        <v>-118.29999999999995</v>
      </c>
      <c r="CP20" s="286">
        <f>'Data-temp_employment'!CP20-last_qrtr_tempemp!CQ20</f>
        <v>158.79999999999995</v>
      </c>
      <c r="CQ20" s="286">
        <f>'Data-temp_employment'!CQ20-last_qrtr_tempemp!CR20</f>
        <v>31.599999999999909</v>
      </c>
      <c r="CR20" s="286">
        <f>'Data-temp_employment'!CR20-last_qrtr_tempemp!CS20</f>
        <v>-20.899999999999864</v>
      </c>
      <c r="CS20" s="286">
        <f>'Data-temp_employment'!CS20-last_qrtr_tempemp!CT20</f>
        <v>-121.20000000000005</v>
      </c>
      <c r="CT20" s="286">
        <f>'Data-temp_employment'!CT20-last_qrtr_tempemp!CU20</f>
        <v>20.400000000000091</v>
      </c>
      <c r="CU20" s="286">
        <f>'Data-temp_employment'!CU20-last_qrtr_tempemp!CV20</f>
        <v>59.699999999999818</v>
      </c>
      <c r="CV20" s="286">
        <f>'Data-temp_employment'!CV20</f>
        <v>1403.2</v>
      </c>
      <c r="CW20" s="285" t="s">
        <v>49</v>
      </c>
      <c r="CX20" s="286">
        <f>'Data-temp_employment'!CX20-last_qrtr_tempemp!CY20</f>
        <v>149.79999999999973</v>
      </c>
      <c r="CY20" s="286">
        <f>'Data-temp_employment'!CY20-last_qrtr_tempemp!CZ20</f>
        <v>75.900000000000091</v>
      </c>
      <c r="CZ20" s="286">
        <f>'Data-temp_employment'!CZ20-last_qrtr_tempemp!DA20</f>
        <v>39.699999999999818</v>
      </c>
      <c r="DA20" s="286">
        <f>'Data-temp_employment'!DA20-last_qrtr_tempemp!DB20</f>
        <v>101</v>
      </c>
      <c r="DB20" s="286">
        <f>'Data-temp_employment'!DB20-last_qrtr_tempemp!DC20</f>
        <v>-86.099999999999909</v>
      </c>
      <c r="DC20" s="286">
        <f>'Data-temp_employment'!DC20-last_qrtr_tempemp!DD20</f>
        <v>-61.199999999999818</v>
      </c>
      <c r="DD20" s="286">
        <f>'Data-temp_employment'!DD20-last_qrtr_tempemp!DE20</f>
        <v>-133</v>
      </c>
      <c r="DE20" s="286">
        <f>'Data-temp_employment'!DE20-last_qrtr_tempemp!DF20</f>
        <v>131.59999999999991</v>
      </c>
      <c r="DF20" s="286">
        <f>'Data-temp_employment'!DF20-last_qrtr_tempemp!DG20</f>
        <v>-84.900000000000091</v>
      </c>
      <c r="DG20" s="286">
        <f>'Data-temp_employment'!DG20</f>
        <v>2174.3000000000002</v>
      </c>
      <c r="DH20" s="285" t="s">
        <v>49</v>
      </c>
      <c r="DI20" s="286">
        <f>'Data-temp_employment'!DI20-last_qrtr_tempemp!DJ20</f>
        <v>18.300000000000068</v>
      </c>
      <c r="DJ20" s="286">
        <f>'Data-temp_employment'!DJ20-last_qrtr_tempemp!DK20</f>
        <v>13.899999999999977</v>
      </c>
      <c r="DK20" s="286">
        <f>'Data-temp_employment'!DK20-last_qrtr_tempemp!DL20</f>
        <v>97.800000000000068</v>
      </c>
      <c r="DL20" s="286">
        <f>'Data-temp_employment'!DL20-last_qrtr_tempemp!DM20</f>
        <v>52.300000000000068</v>
      </c>
      <c r="DM20" s="286">
        <f>'Data-temp_employment'!DM20-last_qrtr_tempemp!DN20</f>
        <v>-4.8999999999999773</v>
      </c>
      <c r="DN20" s="286">
        <f>'Data-temp_employment'!DN20-last_qrtr_tempemp!DO20</f>
        <v>-52.100000000000023</v>
      </c>
      <c r="DO20" s="286">
        <f>'Data-temp_employment'!DO20-last_qrtr_tempemp!DP20</f>
        <v>15</v>
      </c>
      <c r="DP20" s="286">
        <f>'Data-temp_employment'!DP20-last_qrtr_tempemp!DQ20</f>
        <v>75.200000000000045</v>
      </c>
      <c r="DQ20" s="286">
        <f>'Data-temp_employment'!DQ20-last_qrtr_tempemp!DR20</f>
        <v>-32.300000000000068</v>
      </c>
      <c r="DR20" s="286">
        <f>'Data-temp_employment'!DR20</f>
        <v>1007</v>
      </c>
      <c r="DS20" s="285" t="s">
        <v>49</v>
      </c>
      <c r="DT20" s="286">
        <f>'Data-temp_employment'!DT20-last_qrtr_tempemp!DU20</f>
        <v>0</v>
      </c>
      <c r="DU20" s="286">
        <f>'Data-temp_employment'!DU20-last_qrtr_tempemp!DV20</f>
        <v>0</v>
      </c>
      <c r="DV20" s="286">
        <f>'Data-temp_employment'!DV20-last_qrtr_tempemp!DW20</f>
        <v>0</v>
      </c>
      <c r="DW20" s="286">
        <f>'Data-temp_employment'!DW20-last_qrtr_tempemp!DX20</f>
        <v>0</v>
      </c>
      <c r="DX20" s="286">
        <f>'Data-temp_employment'!DX20-last_qrtr_tempemp!DY20</f>
        <v>0</v>
      </c>
      <c r="DY20" s="286">
        <f>'Data-temp_employment'!DY20-last_qrtr_tempemp!DZ20</f>
        <v>0</v>
      </c>
      <c r="DZ20" s="286">
        <f>'Data-temp_employment'!DZ20-last_qrtr_tempemp!EA20</f>
        <v>0</v>
      </c>
      <c r="EA20" s="286">
        <f>'Data-temp_employment'!EA20-last_qrtr_tempemp!EB20</f>
        <v>0</v>
      </c>
      <c r="EB20" s="286">
        <f>'Data-temp_employment'!EB20-last_qrtr_tempemp!EC20</f>
        <v>0</v>
      </c>
      <c r="EC20" s="286">
        <f>'Data-temp_employment'!EC20</f>
        <v>0</v>
      </c>
      <c r="ED20" s="285" t="s">
        <v>49</v>
      </c>
      <c r="EE20" s="286">
        <f>'Data-temp_employment'!EE20-last_qrtr_tempemp!EF20</f>
        <v>-2</v>
      </c>
      <c r="EF20" s="286">
        <f>'Data-temp_employment'!EF20-last_qrtr_tempemp!EG20</f>
        <v>3.6000000000000014</v>
      </c>
      <c r="EG20" s="286">
        <f>'Data-temp_employment'!EG20-last_qrtr_tempemp!EH20</f>
        <v>12.899999999999999</v>
      </c>
      <c r="EH20" s="286">
        <f>'Data-temp_employment'!EH20-last_qrtr_tempemp!EI20</f>
        <v>10.899999999999999</v>
      </c>
      <c r="EI20" s="286">
        <f>'Data-temp_employment'!EI20-last_qrtr_tempemp!EJ20</f>
        <v>-10.5</v>
      </c>
      <c r="EJ20" s="286">
        <f>'Data-temp_employment'!EJ20-last_qrtr_tempemp!EK20</f>
        <v>-11.399999999999999</v>
      </c>
      <c r="EK20" s="286">
        <f>'Data-temp_employment'!EK20-last_qrtr_tempemp!EL20</f>
        <v>-5.6000000000000014</v>
      </c>
      <c r="EL20" s="286">
        <f>'Data-temp_employment'!EL20-last_qrtr_tempemp!EM20</f>
        <v>6.3999999999999986</v>
      </c>
      <c r="EM20" s="286">
        <f>'Data-temp_employment'!EM20-last_qrtr_tempemp!EN20</f>
        <v>-8.1000000000000014</v>
      </c>
      <c r="EN20" s="286">
        <f>'Data-temp_employment'!EN20</f>
        <v>43.9</v>
      </c>
      <c r="EO20" s="285" t="s">
        <v>49</v>
      </c>
      <c r="EP20" s="286">
        <f>'Data-temp_employment'!EP20-last_qrtr_tempemp!EQ20</f>
        <v>39</v>
      </c>
      <c r="EQ20" s="286">
        <f>'Data-temp_employment'!EQ20-last_qrtr_tempemp!ER20</f>
        <v>28.100000000000023</v>
      </c>
      <c r="ER20" s="286">
        <f>'Data-temp_employment'!ER20-last_qrtr_tempemp!ES20</f>
        <v>81.199999999999932</v>
      </c>
      <c r="ES20" s="286">
        <f>'Data-temp_employment'!ES20-last_qrtr_tempemp!ET20</f>
        <v>27.899999999999977</v>
      </c>
      <c r="ET20" s="286">
        <f>'Data-temp_employment'!ET20-last_qrtr_tempemp!EU20</f>
        <v>-5.3999999999999773</v>
      </c>
      <c r="EU20" s="286">
        <f>'Data-temp_employment'!EU20-last_qrtr_tempemp!EV20</f>
        <v>-13.799999999999955</v>
      </c>
      <c r="EV20" s="286">
        <f>'Data-temp_employment'!EV20-last_qrtr_tempemp!EW20</f>
        <v>6.7000000000000455</v>
      </c>
      <c r="EW20" s="286">
        <f>'Data-temp_employment'!EW20-last_qrtr_tempemp!EX20</f>
        <v>49.099999999999909</v>
      </c>
      <c r="EX20" s="286">
        <f>'Data-temp_employment'!EX20-last_qrtr_tempemp!EY20</f>
        <v>-28.200000000000045</v>
      </c>
      <c r="EY20" s="286">
        <f>'Data-temp_employment'!EY20</f>
        <v>779.7</v>
      </c>
      <c r="EZ20" s="285" t="s">
        <v>49</v>
      </c>
      <c r="FA20" s="286">
        <f>'Data-temp_employment'!FA20-last_qrtr_tempemp!FB20</f>
        <v>90.800000000000068</v>
      </c>
      <c r="FB20" s="286">
        <f>'Data-temp_employment'!FB20-last_qrtr_tempemp!FC20</f>
        <v>42.899999999999977</v>
      </c>
      <c r="FC20" s="286">
        <f>'Data-temp_employment'!FC20-last_qrtr_tempemp!FD20</f>
        <v>-5.6000000000000227</v>
      </c>
      <c r="FD20" s="286">
        <f>'Data-temp_employment'!FD20-last_qrtr_tempemp!FE20</f>
        <v>19.599999999999909</v>
      </c>
      <c r="FE20" s="286">
        <f>'Data-temp_employment'!FE20-last_qrtr_tempemp!FF20</f>
        <v>3</v>
      </c>
      <c r="FF20" s="286">
        <f>'Data-temp_employment'!FF20-last_qrtr_tempemp!FG20</f>
        <v>-0.69999999999993179</v>
      </c>
      <c r="FG20" s="286">
        <f>'Data-temp_employment'!FG20-last_qrtr_tempemp!FH20</f>
        <v>-71.700000000000045</v>
      </c>
      <c r="FH20" s="286">
        <f>'Data-temp_employment'!FH20-last_qrtr_tempemp!FI20</f>
        <v>31.699999999999932</v>
      </c>
      <c r="FI20" s="286">
        <f>'Data-temp_employment'!FI20-last_qrtr_tempemp!FJ20</f>
        <v>33.699999999999932</v>
      </c>
      <c r="FJ20" s="286">
        <f>'Data-temp_employment'!FJ20</f>
        <v>991.6</v>
      </c>
      <c r="FK20" s="285" t="s">
        <v>49</v>
      </c>
      <c r="FL20" s="286">
        <f>'Data-temp_employment'!FL20-last_qrtr_tempemp!FM20</f>
        <v>-7.1999999999999318</v>
      </c>
      <c r="FM20" s="286">
        <f>'Data-temp_employment'!FM20-last_qrtr_tempemp!FN20</f>
        <v>11.400000000000091</v>
      </c>
      <c r="FN20" s="286">
        <f>'Data-temp_employment'!FN20-last_qrtr_tempemp!FO20</f>
        <v>17.799999999999955</v>
      </c>
      <c r="FO20" s="286">
        <f>'Data-temp_employment'!FO20-last_qrtr_tempemp!FP20</f>
        <v>32.600000000000023</v>
      </c>
      <c r="FP20" s="286">
        <f>'Data-temp_employment'!FP20-last_qrtr_tempemp!FQ20</f>
        <v>-20.700000000000045</v>
      </c>
      <c r="FQ20" s="286">
        <f>'Data-temp_employment'!FQ20-last_qrtr_tempemp!FR20</f>
        <v>-8.2999999999999545</v>
      </c>
      <c r="FR20" s="286">
        <f>'Data-temp_employment'!FR20-last_qrtr_tempemp!FS20</f>
        <v>-30.400000000000091</v>
      </c>
      <c r="FS20" s="286">
        <f>'Data-temp_employment'!FS20-last_qrtr_tempemp!FT20</f>
        <v>34.700000000000045</v>
      </c>
      <c r="FT20" s="286">
        <f>'Data-temp_employment'!FT20-last_qrtr_tempemp!FU20</f>
        <v>-42.300000000000068</v>
      </c>
      <c r="FU20" s="286">
        <f>'Data-temp_employment'!FU20</f>
        <v>574</v>
      </c>
      <c r="FV20" s="285" t="s">
        <v>49</v>
      </c>
      <c r="FW20" s="286">
        <f>'Data-temp_employment'!FW20-last_qrtr_tempemp!FX20</f>
        <v>3.2999999999999545</v>
      </c>
      <c r="FX20" s="286">
        <f>'Data-temp_employment'!FX20-last_qrtr_tempemp!FY20</f>
        <v>51.900000000000091</v>
      </c>
      <c r="FY20" s="286">
        <f>'Data-temp_employment'!FY20-last_qrtr_tempemp!FZ20</f>
        <v>-14.399999999999977</v>
      </c>
      <c r="FZ20" s="286">
        <f>'Data-temp_employment'!FZ20-last_qrtr_tempemp!GA20</f>
        <v>55</v>
      </c>
      <c r="GA20" s="286">
        <f>'Data-temp_employment'!GA20-last_qrtr_tempemp!GB20</f>
        <v>-37.800000000000068</v>
      </c>
      <c r="GB20" s="286">
        <f>'Data-temp_employment'!GB20-last_qrtr_tempemp!GC20</f>
        <v>-1.8000000000000682</v>
      </c>
      <c r="GC20" s="286">
        <f>'Data-temp_employment'!GC20-last_qrtr_tempemp!GD20</f>
        <v>-20.5</v>
      </c>
      <c r="GD20" s="286">
        <f>'Data-temp_employment'!GD20-last_qrtr_tempemp!GE20</f>
        <v>29.100000000000023</v>
      </c>
      <c r="GE20" s="286">
        <f>'Data-temp_employment'!GE20-last_qrtr_tempemp!GF20</f>
        <v>-26.599999999999909</v>
      </c>
      <c r="GF20" s="286">
        <f>'Data-temp_employment'!GF20</f>
        <v>746.2</v>
      </c>
      <c r="GG20" s="285" t="s">
        <v>49</v>
      </c>
      <c r="GH20" s="286">
        <f>'Data-temp_employment'!GH20-last_qrtr_tempemp!GI20</f>
        <v>6</v>
      </c>
      <c r="GI20" s="286">
        <f>'Data-temp_employment'!GI20-last_qrtr_tempemp!GJ20</f>
        <v>-7.2000000000000028</v>
      </c>
      <c r="GJ20" s="286">
        <f>'Data-temp_employment'!GJ20-last_qrtr_tempemp!GK20</f>
        <v>-12.300000000000004</v>
      </c>
      <c r="GK20" s="286">
        <f>'Data-temp_employment'!GK20-last_qrtr_tempemp!GL20</f>
        <v>0.29999999999999716</v>
      </c>
      <c r="GL20" s="286">
        <f>'Data-temp_employment'!GL20-last_qrtr_tempemp!GM20</f>
        <v>-2.5</v>
      </c>
      <c r="GM20" s="286">
        <f>'Data-temp_employment'!GM20-last_qrtr_tempemp!GN20</f>
        <v>-1.5</v>
      </c>
      <c r="GN20" s="286">
        <f>'Data-temp_employment'!GN20-last_qrtr_tempemp!GO20</f>
        <v>1</v>
      </c>
      <c r="GO20" s="286">
        <f>'Data-temp_employment'!GO20-last_qrtr_tempemp!GP20</f>
        <v>-1</v>
      </c>
      <c r="GP20" s="286">
        <f>'Data-temp_employment'!GP20-last_qrtr_tempemp!GQ20</f>
        <v>3.2000000000000028</v>
      </c>
      <c r="GQ20" s="286">
        <f>'Data-temp_employment'!GQ20</f>
        <v>42.6</v>
      </c>
      <c r="GR20" s="285" t="s">
        <v>49</v>
      </c>
      <c r="GS20" s="286">
        <f>'Data-temp_employment'!GS20-last_qrtr_tempemp!GT20</f>
        <v>55.200000000000045</v>
      </c>
      <c r="GT20" s="286">
        <f>'Data-temp_employment'!GT20-last_qrtr_tempemp!GU20</f>
        <v>-44.600000000000023</v>
      </c>
      <c r="GU20" s="286">
        <f>'Data-temp_employment'!GU20-last_qrtr_tempemp!GV20</f>
        <v>-79.100000000000023</v>
      </c>
      <c r="GV20" s="286">
        <f>'Data-temp_employment'!GV20-last_qrtr_tempemp!GW20</f>
        <v>55.699999999999932</v>
      </c>
      <c r="GW20" s="286">
        <f>'Data-temp_employment'!GW20-last_qrtr_tempemp!GX20</f>
        <v>25.5</v>
      </c>
      <c r="GX20" s="286">
        <f>'Data-temp_employment'!GX20-last_qrtr_tempemp!GY20</f>
        <v>-32.299999999999955</v>
      </c>
      <c r="GY20" s="286">
        <f>'Data-temp_employment'!GY20-last_qrtr_tempemp!GZ20</f>
        <v>-91.799999999999955</v>
      </c>
      <c r="GZ20" s="286">
        <f>'Data-temp_employment'!GZ20-last_qrtr_tempemp!HA20</f>
        <v>55.300000000000068</v>
      </c>
      <c r="HA20" s="286">
        <f>'Data-temp_employment'!HA20-last_qrtr_tempemp!HB20</f>
        <v>39.699999999999932</v>
      </c>
      <c r="HB20" s="286">
        <f>'Data-temp_employment'!HB20</f>
        <v>665.4</v>
      </c>
      <c r="HC20" s="285" t="s">
        <v>49</v>
      </c>
      <c r="HD20" s="286">
        <f>'Data-temp_employment'!HD20-last_qrtr_tempemp!HE20</f>
        <v>5.5</v>
      </c>
      <c r="HE20" s="286">
        <f>'Data-temp_employment'!HE20-last_qrtr_tempemp!HF20</f>
        <v>-6.7000000000000171</v>
      </c>
      <c r="HF20" s="286">
        <f>'Data-temp_employment'!HF20-last_qrtr_tempemp!HG20</f>
        <v>15.900000000000006</v>
      </c>
      <c r="HG20" s="286">
        <f>'Data-temp_employment'!HG20-last_qrtr_tempemp!HH20</f>
        <v>22.799999999999983</v>
      </c>
      <c r="HH20" s="286">
        <f>'Data-temp_employment'!HH20-last_qrtr_tempemp!HI20</f>
        <v>-13.199999999999989</v>
      </c>
      <c r="HI20" s="286">
        <f>'Data-temp_employment'!HI20-last_qrtr_tempemp!HJ20</f>
        <v>-15.400000000000006</v>
      </c>
      <c r="HJ20" s="286">
        <f>'Data-temp_employment'!HJ20-last_qrtr_tempemp!HK20</f>
        <v>9.6000000000000227</v>
      </c>
      <c r="HK20" s="286">
        <f>'Data-temp_employment'!HK20-last_qrtr_tempemp!HL20</f>
        <v>31.099999999999994</v>
      </c>
      <c r="HL20" s="286">
        <f>'Data-temp_employment'!HL20-last_qrtr_tempemp!HM20</f>
        <v>-9.1999999999999886</v>
      </c>
      <c r="HM20" s="286">
        <f>'Data-temp_employment'!HM20</f>
        <v>231.9</v>
      </c>
      <c r="HN20" s="285" t="s">
        <v>49</v>
      </c>
      <c r="HO20" s="286">
        <f>'Data-temp_employment'!HO20-last_qrtr_tempemp!HP20</f>
        <v>-24.199999999999989</v>
      </c>
      <c r="HP20" s="286">
        <f>'Data-temp_employment'!HP20-last_qrtr_tempemp!HQ20</f>
        <v>-4.8999999999999773</v>
      </c>
      <c r="HQ20" s="286">
        <f>'Data-temp_employment'!HQ20-last_qrtr_tempemp!HR20</f>
        <v>18.5</v>
      </c>
      <c r="HR20" s="286">
        <f>'Data-temp_employment'!HR20-last_qrtr_tempemp!HS20</f>
        <v>68.800000000000011</v>
      </c>
      <c r="HS20" s="286">
        <f>'Data-temp_employment'!HS20-last_qrtr_tempemp!HT20</f>
        <v>-4.8999999999999773</v>
      </c>
      <c r="HT20" s="286">
        <f>'Data-temp_employment'!HT20-last_qrtr_tempemp!HU20</f>
        <v>-58.100000000000023</v>
      </c>
      <c r="HU20" s="286">
        <f>'Data-temp_employment'!HU20-last_qrtr_tempemp!HV20</f>
        <v>1.8000000000000114</v>
      </c>
      <c r="HV20" s="286">
        <f>'Data-temp_employment'!HV20-last_qrtr_tempemp!HW20</f>
        <v>-7.3000000000000114</v>
      </c>
      <c r="HW20" s="286">
        <f>'Data-temp_employment'!HW20-last_qrtr_tempemp!HX20</f>
        <v>-9.3999999999999773</v>
      </c>
      <c r="HX20" s="286">
        <f>'Data-temp_employment'!HX20</f>
        <v>424.8</v>
      </c>
      <c r="HY20" s="285" t="s">
        <v>49</v>
      </c>
      <c r="HZ20" s="286">
        <f>'Data-temp_employment'!HZ20-last_qrtr_tempemp!IA20</f>
        <v>-2.2000000000000028</v>
      </c>
      <c r="IA20" s="286">
        <f>'Data-temp_employment'!IA20-last_qrtr_tempemp!IB20</f>
        <v>-13.099999999999994</v>
      </c>
      <c r="IB20" s="286">
        <f>'Data-temp_employment'!IB20-last_qrtr_tempemp!IC20</f>
        <v>-16</v>
      </c>
      <c r="IC20" s="286">
        <f>'Data-temp_employment'!IC20-last_qrtr_tempemp!ID20</f>
        <v>14.5</v>
      </c>
      <c r="ID20" s="286">
        <f>'Data-temp_employment'!ID20-last_qrtr_tempemp!IE20</f>
        <v>11.099999999999994</v>
      </c>
      <c r="IE20" s="286">
        <f>'Data-temp_employment'!IE20-last_qrtr_tempemp!IF20</f>
        <v>12</v>
      </c>
      <c r="IF20" s="286">
        <f>'Data-temp_employment'!IF20-last_qrtr_tempemp!IG20</f>
        <v>-35.5</v>
      </c>
      <c r="IG20" s="286">
        <f>'Data-temp_employment'!IG20-last_qrtr_tempemp!IH20</f>
        <v>-6.1999999999999886</v>
      </c>
      <c r="IH20" s="286">
        <f>'Data-temp_employment'!IH20-last_qrtr_tempemp!II20</f>
        <v>2.0999999999999943</v>
      </c>
      <c r="II20" s="286">
        <f>'Data-temp_employment'!II20</f>
        <v>85.1</v>
      </c>
      <c r="IJ20" s="285" t="s">
        <v>49</v>
      </c>
      <c r="IK20" s="286">
        <f>'Data-temp_employment'!IK20-last_qrtr_tempemp!IL20</f>
        <v>0</v>
      </c>
      <c r="IL20" s="286">
        <f>'Data-temp_employment'!IL20-last_qrtr_tempemp!IM20</f>
        <v>0</v>
      </c>
      <c r="IM20" s="286">
        <f>'Data-temp_employment'!IM20-last_qrtr_tempemp!IN20</f>
        <v>0</v>
      </c>
      <c r="IN20" s="286">
        <f>'Data-temp_employment'!IN20-last_qrtr_tempemp!IO20</f>
        <v>0</v>
      </c>
      <c r="IO20" s="286">
        <f>'Data-temp_employment'!IO20-last_qrtr_tempemp!IP20</f>
        <v>0</v>
      </c>
      <c r="IP20" s="286">
        <f>'Data-temp_employment'!IP20-last_qrtr_tempemp!IQ20</f>
        <v>0</v>
      </c>
      <c r="IQ20" s="286">
        <f>'Data-temp_employment'!IQ20-last_qrtr_tempemp!IR20</f>
        <v>0</v>
      </c>
      <c r="IR20" s="286">
        <f>'Data-temp_employment'!IR20-last_qrtr_tempemp!IS20</f>
        <v>0</v>
      </c>
      <c r="IS20" s="286">
        <f>'Data-temp_employment'!IS20-last_qrtr_tempemp!IT20</f>
        <v>0</v>
      </c>
      <c r="IT20" s="286">
        <f>'Data-temp_employment'!IT20</f>
        <v>0</v>
      </c>
      <c r="IU20" s="285" t="s">
        <v>49</v>
      </c>
      <c r="IV20" s="286">
        <f>'Data-temp_employment'!IV20-last_qrtr_tempemp!IW20</f>
        <v>-10.000000000000004</v>
      </c>
      <c r="IW20" s="286">
        <f>'Data-temp_employment'!IW20-last_qrtr_tempemp!IX20</f>
        <v>-12.199999999999996</v>
      </c>
      <c r="IX20" s="286">
        <f>'Data-temp_employment'!IX20-last_qrtr_tempemp!IY20</f>
        <v>-0.70000000000000284</v>
      </c>
      <c r="IY20" s="286">
        <f>'Data-temp_employment'!IY20-last_qrtr_tempemp!IZ20</f>
        <v>-4.1999999999999993</v>
      </c>
      <c r="IZ20" s="286">
        <f>'Data-temp_employment'!IZ20-last_qrtr_tempemp!JA20</f>
        <v>0.29999999999999716</v>
      </c>
      <c r="JA20" s="286">
        <f>'Data-temp_employment'!JA20-last_qrtr_tempemp!JB20</f>
        <v>-12.5</v>
      </c>
      <c r="JB20" s="286">
        <f>'Data-temp_employment'!JB20-last_qrtr_tempemp!JC20</f>
        <v>11.600000000000001</v>
      </c>
      <c r="JC20" s="286">
        <f>'Data-temp_employment'!JC20-last_qrtr_tempemp!JD20</f>
        <v>-7.2999999999999972</v>
      </c>
      <c r="JD20" s="286">
        <f>'Data-temp_employment'!JD20-last_qrtr_tempemp!JE20</f>
        <v>5.2000000000000028</v>
      </c>
      <c r="JE20" s="286">
        <f>'Data-temp_employment'!JE20</f>
        <v>0</v>
      </c>
      <c r="JF20" s="285" t="s">
        <v>49</v>
      </c>
      <c r="JG20" s="286">
        <f>'Data-temp_employment'!JG20-last_qrtr_tempemp!JH20</f>
        <v>34</v>
      </c>
      <c r="JH20" s="286">
        <f>'Data-temp_employment'!JH20-last_qrtr_tempemp!JI20</f>
        <v>-45.5</v>
      </c>
      <c r="JI20" s="286">
        <f>'Data-temp_employment'!JI20-last_qrtr_tempemp!JJ20</f>
        <v>-16.299999999999955</v>
      </c>
      <c r="JJ20" s="286">
        <f>'Data-temp_employment'!JJ20-last_qrtr_tempemp!JK20</f>
        <v>87.900000000000091</v>
      </c>
      <c r="JK20" s="286">
        <f>'Data-temp_employment'!JK20-last_qrtr_tempemp!JL20</f>
        <v>19.600000000000023</v>
      </c>
      <c r="JL20" s="286">
        <f>'Data-temp_employment'!JL20-last_qrtr_tempemp!JM20</f>
        <v>-69.200000000000045</v>
      </c>
      <c r="JM20" s="286">
        <f>'Data-temp_employment'!JM20-last_qrtr_tempemp!JN20</f>
        <v>-47.300000000000068</v>
      </c>
      <c r="JN20" s="286">
        <f>'Data-temp_employment'!JN20-last_qrtr_tempemp!JO20</f>
        <v>47.399999999999977</v>
      </c>
      <c r="JO20" s="286">
        <f>'Data-temp_employment'!JO20-last_qrtr_tempemp!JP20</f>
        <v>-26.299999999999955</v>
      </c>
      <c r="JP20" s="286">
        <f>'Data-temp_employment'!JP20</f>
        <v>776.9</v>
      </c>
      <c r="JQ20" s="285" t="s">
        <v>49</v>
      </c>
      <c r="JR20" s="286">
        <f>'Data-temp_employment'!JR20-last_qrtr_tempemp!JS20</f>
        <v>7.0999999999999943</v>
      </c>
      <c r="JS20" s="286">
        <f>'Data-temp_employment'!JS20-last_qrtr_tempemp!JT20</f>
        <v>13.800000000000011</v>
      </c>
      <c r="JT20" s="286">
        <f>'Data-temp_employment'!JT20-last_qrtr_tempemp!JU20</f>
        <v>-5.5999999999999943</v>
      </c>
      <c r="JU20" s="286">
        <f>'Data-temp_employment'!JU20-last_qrtr_tempemp!JV20</f>
        <v>20.399999999999977</v>
      </c>
      <c r="JV20" s="286">
        <f>'Data-temp_employment'!JV20-last_qrtr_tempemp!JW20</f>
        <v>-22.800000000000011</v>
      </c>
      <c r="JW20" s="286">
        <f>'Data-temp_employment'!JW20-last_qrtr_tempemp!JX20</f>
        <v>11.700000000000017</v>
      </c>
      <c r="JX20" s="286">
        <f>'Data-temp_employment'!JX20-last_qrtr_tempemp!JY20</f>
        <v>-23.099999999999966</v>
      </c>
      <c r="JY20" s="286">
        <f>'Data-temp_employment'!JY20-last_qrtr_tempemp!JZ20</f>
        <v>37</v>
      </c>
      <c r="JZ20" s="286">
        <f>'Data-temp_employment'!JZ20-last_qrtr_tempemp!KA20</f>
        <v>-23.900000000000006</v>
      </c>
      <c r="KA20" s="286">
        <f>'Data-temp_employment'!KA20</f>
        <v>248.4</v>
      </c>
      <c r="KB20" s="285" t="s">
        <v>49</v>
      </c>
      <c r="KC20" s="286">
        <f>'Data-temp_employment'!KC20-last_qrtr_tempemp!KD20</f>
        <v>42.600000000000023</v>
      </c>
      <c r="KD20" s="286">
        <f>'Data-temp_employment'!KD20-last_qrtr_tempemp!KE20</f>
        <v>4.3000000000000682</v>
      </c>
      <c r="KE20" s="286">
        <f>'Data-temp_employment'!KE20-last_qrtr_tempemp!KF20</f>
        <v>-55.899999999999977</v>
      </c>
      <c r="KF20" s="286">
        <f>'Data-temp_employment'!KF20-last_qrtr_tempemp!KG20</f>
        <v>60</v>
      </c>
      <c r="KG20" s="286">
        <f>'Data-temp_employment'!KG20-last_qrtr_tempemp!KH20</f>
        <v>70.399999999999977</v>
      </c>
      <c r="KH20" s="286">
        <f>'Data-temp_employment'!KH20-last_qrtr_tempemp!KI20</f>
        <v>9.6999999999999318</v>
      </c>
      <c r="KI20" s="286">
        <f>'Data-temp_employment'!KI20-last_qrtr_tempemp!KJ20</f>
        <v>-41.399999999999977</v>
      </c>
      <c r="KJ20" s="286">
        <f>'Data-temp_employment'!KJ20-last_qrtr_tempemp!KK20</f>
        <v>-23.299999999999955</v>
      </c>
      <c r="KK20" s="286">
        <f>'Data-temp_employment'!KK20-last_qrtr_tempemp!KL20</f>
        <v>31.800000000000068</v>
      </c>
      <c r="KL20" s="286">
        <f>'Data-temp_employment'!KL20</f>
        <v>654.20000000000005</v>
      </c>
      <c r="KM20" s="285" t="s">
        <v>49</v>
      </c>
      <c r="KN20" s="286">
        <f>'Data-temp_employment'!KN20-last_qrtr_tempemp!KO20</f>
        <v>8.4000000000000057</v>
      </c>
      <c r="KO20" s="286">
        <f>'Data-temp_employment'!KO20-last_qrtr_tempemp!KP20</f>
        <v>19.5</v>
      </c>
      <c r="KP20" s="286">
        <f>'Data-temp_employment'!KP20-last_qrtr_tempemp!KQ20</f>
        <v>31</v>
      </c>
      <c r="KQ20" s="286">
        <f>'Data-temp_employment'!KQ20-last_qrtr_tempemp!KR20</f>
        <v>13.5</v>
      </c>
      <c r="KR20" s="286">
        <f>'Data-temp_employment'!KR20-last_qrtr_tempemp!KS20</f>
        <v>-15.199999999999989</v>
      </c>
      <c r="KS20" s="286">
        <f>'Data-temp_employment'!KS20-last_qrtr_tempemp!KT20</f>
        <v>-7.7999999999999829</v>
      </c>
      <c r="KT20" s="286">
        <f>'Data-temp_employment'!KT20-last_qrtr_tempemp!KU20</f>
        <v>2</v>
      </c>
      <c r="KU20" s="286">
        <f>'Data-temp_employment'!KU20-last_qrtr_tempemp!KV20</f>
        <v>34.599999999999994</v>
      </c>
      <c r="KV20" s="286">
        <f>'Data-temp_employment'!KV20-last_qrtr_tempemp!KW20</f>
        <v>1.6999999999999886</v>
      </c>
      <c r="KW20" s="286">
        <f>'Data-temp_employment'!KW20</f>
        <v>188</v>
      </c>
      <c r="KX20" s="285" t="s">
        <v>49</v>
      </c>
      <c r="KY20" s="286">
        <f>'Data-temp_employment'!KY20-last_qrtr_tempemp!KZ20</f>
        <v>-5</v>
      </c>
      <c r="KZ20" s="286">
        <f>'Data-temp_employment'!KZ20-last_qrtr_tempemp!LA20</f>
        <v>15.199999999999989</v>
      </c>
      <c r="LA20" s="286">
        <f>'Data-temp_employment'!LA20-last_qrtr_tempemp!LB20</f>
        <v>18.699999999999989</v>
      </c>
      <c r="LB20" s="286">
        <f>'Data-temp_employment'!LB20-last_qrtr_tempemp!LC20</f>
        <v>7.8000000000000114</v>
      </c>
      <c r="LC20" s="286">
        <f>'Data-temp_employment'!LC20-last_qrtr_tempemp!LD20</f>
        <v>-55.099999999999994</v>
      </c>
      <c r="LD20" s="286">
        <f>'Data-temp_employment'!LD20-last_qrtr_tempemp!LE20</f>
        <v>-36.699999999999989</v>
      </c>
      <c r="LE20" s="286">
        <f>'Data-temp_employment'!LE20-last_qrtr_tempemp!LF20</f>
        <v>6.0999999999999943</v>
      </c>
      <c r="LF20" s="286">
        <f>'Data-temp_employment'!LF20-last_qrtr_tempemp!LG20</f>
        <v>16.5</v>
      </c>
      <c r="LG20" s="286">
        <f>'Data-temp_employment'!LG20-last_qrtr_tempemp!LH20</f>
        <v>-12.900000000000006</v>
      </c>
      <c r="LH20" s="286">
        <f>'Data-temp_employment'!LH20</f>
        <v>200</v>
      </c>
      <c r="LI20" s="285" t="s">
        <v>49</v>
      </c>
      <c r="LJ20" s="286">
        <f>'Data-temp_employment'!LJ20-last_qrtr_tempemp!LK20</f>
        <v>3.7999999999999972</v>
      </c>
      <c r="LK20" s="286">
        <f>'Data-temp_employment'!LK20-last_qrtr_tempemp!LL20</f>
        <v>18.900000000000006</v>
      </c>
      <c r="LL20" s="286">
        <f>'Data-temp_employment'!LL20-last_qrtr_tempemp!LM20</f>
        <v>27.700000000000003</v>
      </c>
      <c r="LM20" s="286">
        <f>'Data-temp_employment'!LM20-last_qrtr_tempemp!LN20</f>
        <v>9.7000000000000028</v>
      </c>
      <c r="LN20" s="286">
        <f>'Data-temp_employment'!LN20-last_qrtr_tempemp!LO20</f>
        <v>-7.4000000000000057</v>
      </c>
      <c r="LO20" s="286">
        <f>'Data-temp_employment'!LO20-last_qrtr_tempemp!LP20</f>
        <v>-11.799999999999997</v>
      </c>
      <c r="LP20" s="286">
        <f>'Data-temp_employment'!LP20-last_qrtr_tempemp!LQ20</f>
        <v>-3.0999999999999943</v>
      </c>
      <c r="LQ20" s="286">
        <f>'Data-temp_employment'!LQ20-last_qrtr_tempemp!LR20</f>
        <v>5.7000000000000028</v>
      </c>
      <c r="LR20" s="286">
        <f>'Data-temp_employment'!LR20-last_qrtr_tempemp!LS20</f>
        <v>19.099999999999994</v>
      </c>
      <c r="LS20" s="286">
        <f>'Data-temp_employment'!LS20</f>
        <v>111.5</v>
      </c>
      <c r="LT20" s="285" t="s">
        <v>49</v>
      </c>
      <c r="LU20" s="286">
        <f>'Data-temp_employment'!LU20-last_qrtr_tempemp!LV20</f>
        <v>7.2999999999999972</v>
      </c>
      <c r="LV20" s="286">
        <f>'Data-temp_employment'!LV20-last_qrtr_tempemp!LW20</f>
        <v>1.7000000000000028</v>
      </c>
      <c r="LW20" s="286">
        <f>'Data-temp_employment'!LW20-last_qrtr_tempemp!LX20</f>
        <v>6.2000000000000028</v>
      </c>
      <c r="LX20" s="286">
        <f>'Data-temp_employment'!LX20-last_qrtr_tempemp!LY20</f>
        <v>5.8999999999999915</v>
      </c>
      <c r="LY20" s="286">
        <f>'Data-temp_employment'!LY20-last_qrtr_tempemp!LZ20</f>
        <v>-17.300000000000011</v>
      </c>
      <c r="LZ20" s="286">
        <f>'Data-temp_employment'!LZ20-last_qrtr_tempemp!MA20</f>
        <v>-4.6000000000000085</v>
      </c>
      <c r="MA20" s="286">
        <f>'Data-temp_employment'!MA20-last_qrtr_tempemp!MB20</f>
        <v>-11.299999999999997</v>
      </c>
      <c r="MB20" s="286">
        <f>'Data-temp_employment'!MB20-last_qrtr_tempemp!MC20</f>
        <v>15.300000000000011</v>
      </c>
      <c r="MC20" s="286">
        <f>'Data-temp_employment'!MC20-last_qrtr_tempemp!MD20</f>
        <v>-4.2999999999999972</v>
      </c>
      <c r="MD20" s="286">
        <f>'Data-temp_employment'!MD20</f>
        <v>78</v>
      </c>
      <c r="ME20" s="285" t="s">
        <v>49</v>
      </c>
      <c r="MF20" s="286">
        <f>'Data-temp_employment'!MF20-last_qrtr_tempemp!MG20</f>
        <v>11.099999999999994</v>
      </c>
      <c r="MG20" s="286">
        <f>'Data-temp_employment'!MG20-last_qrtr_tempemp!MH20</f>
        <v>-1.8000000000000114</v>
      </c>
      <c r="MH20" s="286">
        <f>'Data-temp_employment'!MH20-last_qrtr_tempemp!MI20</f>
        <v>22.200000000000017</v>
      </c>
      <c r="MI20" s="286">
        <f>'Data-temp_employment'!MI20-last_qrtr_tempemp!MJ20</f>
        <v>19.700000000000017</v>
      </c>
      <c r="MJ20" s="286">
        <f>'Data-temp_employment'!MJ20-last_qrtr_tempemp!MK20</f>
        <v>-8.8000000000000114</v>
      </c>
      <c r="MK20" s="286">
        <f>'Data-temp_employment'!MK20-last_qrtr_tempemp!ML20</f>
        <v>-20.099999999999994</v>
      </c>
      <c r="ML20" s="286">
        <f>'Data-temp_employment'!ML20-last_qrtr_tempemp!MM20</f>
        <v>-8.3000000000000114</v>
      </c>
      <c r="MM20" s="286">
        <f>'Data-temp_employment'!MM20-last_qrtr_tempemp!MN20</f>
        <v>23.600000000000023</v>
      </c>
      <c r="MN20" s="286">
        <f>'Data-temp_employment'!MN20-last_qrtr_tempemp!MO20</f>
        <v>-16.900000000000006</v>
      </c>
      <c r="MO20" s="286">
        <f>'Data-temp_employment'!MO20</f>
        <v>198.9</v>
      </c>
      <c r="MP20" s="285" t="s">
        <v>49</v>
      </c>
      <c r="MQ20" s="286">
        <f>'Data-temp_employment'!MQ20-last_qrtr_tempemp!MR20</f>
        <v>-7.7000000000000171</v>
      </c>
      <c r="MR20" s="286">
        <f>'Data-temp_employment'!MR20-last_qrtr_tempemp!MS20</f>
        <v>-9.0999999999999943</v>
      </c>
      <c r="MS20" s="286">
        <f>'Data-temp_employment'!MS20-last_qrtr_tempemp!MT20</f>
        <v>15.099999999999994</v>
      </c>
      <c r="MT20" s="286">
        <f>'Data-temp_employment'!MT20-last_qrtr_tempemp!MU20</f>
        <v>8.1000000000000227</v>
      </c>
      <c r="MU20" s="286">
        <f>'Data-temp_employment'!MU20-last_qrtr_tempemp!MV20</f>
        <v>-14.799999999999983</v>
      </c>
      <c r="MV20" s="286">
        <f>'Data-temp_employment'!MV20-last_qrtr_tempemp!MW20</f>
        <v>-17</v>
      </c>
      <c r="MW20" s="286">
        <f>'Data-temp_employment'!MW20-last_qrtr_tempemp!MX20</f>
        <v>9.9999999999994316E-2</v>
      </c>
      <c r="MX20" s="286">
        <f>'Data-temp_employment'!MX20-last_qrtr_tempemp!MY20</f>
        <v>3.8999999999999773</v>
      </c>
      <c r="MY20" s="286">
        <f>'Data-temp_employment'!MY20-last_qrtr_tempemp!MZ20</f>
        <v>-26</v>
      </c>
      <c r="MZ20" s="286">
        <f>'Data-temp_employment'!MZ20</f>
        <v>243</v>
      </c>
      <c r="NA20" s="285" t="s">
        <v>49</v>
      </c>
      <c r="NB20" s="286">
        <f>'Data-temp_employment'!NB20-last_qrtr_tempemp!NC20</f>
        <v>34.600000000000023</v>
      </c>
      <c r="NC20" s="286">
        <f>'Data-temp_employment'!NC20-last_qrtr_tempemp!ND20</f>
        <v>21.199999999999989</v>
      </c>
      <c r="ND20" s="286">
        <f>'Data-temp_employment'!ND20-last_qrtr_tempemp!NE20</f>
        <v>-6.1000000000000227</v>
      </c>
      <c r="NE20" s="286">
        <f>'Data-temp_employment'!NE20-last_qrtr_tempemp!NF20</f>
        <v>11.899999999999977</v>
      </c>
      <c r="NF20" s="286">
        <f>'Data-temp_employment'!NF20-last_qrtr_tempemp!NG20</f>
        <v>3.1999999999999886</v>
      </c>
      <c r="NG20" s="286">
        <f>'Data-temp_employment'!NG20-last_qrtr_tempemp!NH20</f>
        <v>-10.399999999999977</v>
      </c>
      <c r="NH20" s="286">
        <f>'Data-temp_employment'!NH20-last_qrtr_tempemp!NI20</f>
        <v>-39.800000000000011</v>
      </c>
      <c r="NI20" s="286">
        <f>'Data-temp_employment'!NI20-last_qrtr_tempemp!NJ20</f>
        <v>9.8999999999999773</v>
      </c>
      <c r="NJ20" s="286">
        <f>'Data-temp_employment'!NJ20-last_qrtr_tempemp!NK20</f>
        <v>6.0999999999999659</v>
      </c>
      <c r="NK20" s="286">
        <f>'Data-temp_employment'!NK20</f>
        <v>328.6</v>
      </c>
      <c r="NL20" s="285" t="s">
        <v>49</v>
      </c>
      <c r="NM20" s="286">
        <f>'Data-temp_employment'!NM20-last_qrtr_tempemp!NN20</f>
        <v>-13.599999999999909</v>
      </c>
      <c r="NN20" s="286">
        <f>'Data-temp_employment'!NN20-last_qrtr_tempemp!NO20</f>
        <v>15.300000000000011</v>
      </c>
      <c r="NO20" s="286">
        <f>'Data-temp_employment'!NO20-last_qrtr_tempemp!NP20</f>
        <v>-11.300000000000011</v>
      </c>
      <c r="NP20" s="286">
        <f>'Data-temp_employment'!NP20-last_qrtr_tempemp!NQ20</f>
        <v>28.199999999999932</v>
      </c>
      <c r="NQ20" s="286">
        <f>'Data-temp_employment'!NQ20-last_qrtr_tempemp!NR20</f>
        <v>2.1999999999999318</v>
      </c>
      <c r="NR20" s="286">
        <f>'Data-temp_employment'!NR20-last_qrtr_tempemp!NS20</f>
        <v>37.200000000000045</v>
      </c>
      <c r="NS20" s="286">
        <f>'Data-temp_employment'!NS20-last_qrtr_tempemp!NT20</f>
        <v>-32.799999999999955</v>
      </c>
      <c r="NT20" s="286">
        <f>'Data-temp_employment'!NT20-last_qrtr_tempemp!NU20</f>
        <v>13.200000000000045</v>
      </c>
      <c r="NU20" s="286">
        <f>'Data-temp_employment'!NU20-last_qrtr_tempemp!NV20</f>
        <v>19.699999999999932</v>
      </c>
      <c r="NV20" s="286">
        <f>'Data-temp_employment'!NV20</f>
        <v>537.5</v>
      </c>
      <c r="NW20" s="285" t="s">
        <v>49</v>
      </c>
      <c r="NX20" s="286">
        <f>'Data-temp_employment'!NX20-last_qrtr_tempemp!NY20</f>
        <v>52.600000000000023</v>
      </c>
      <c r="NY20" s="286">
        <f>'Data-temp_employment'!NY20-last_qrtr_tempemp!NZ20</f>
        <v>48.799999999999955</v>
      </c>
      <c r="NZ20" s="286">
        <f>'Data-temp_employment'!NZ20-last_qrtr_tempemp!OA20</f>
        <v>-14.899999999999977</v>
      </c>
      <c r="OA20" s="286">
        <f>'Data-temp_employment'!OA20-last_qrtr_tempemp!OB20</f>
        <v>34.899999999999977</v>
      </c>
      <c r="OB20" s="286">
        <f>'Data-temp_employment'!OB20-last_qrtr_tempemp!OC20</f>
        <v>-29.299999999999955</v>
      </c>
      <c r="OC20" s="286">
        <f>'Data-temp_employment'!OC20-last_qrtr_tempemp!OD20</f>
        <v>22.399999999999977</v>
      </c>
      <c r="OD20" s="286">
        <f>'Data-temp_employment'!OD20-last_qrtr_tempemp!OE20</f>
        <v>-47.700000000000045</v>
      </c>
      <c r="OE20" s="286">
        <f>'Data-temp_employment'!OE20-last_qrtr_tempemp!OF20</f>
        <v>21.100000000000023</v>
      </c>
      <c r="OF20" s="286">
        <f>'Data-temp_employment'!OF20-last_qrtr_tempemp!OG20</f>
        <v>-14.399999999999977</v>
      </c>
      <c r="OG20" s="286">
        <f>'Data-temp_employment'!OG20</f>
        <v>755</v>
      </c>
      <c r="OH20" s="287" t="s">
        <v>49</v>
      </c>
      <c r="OI20" s="286"/>
      <c r="OJ20" s="286"/>
      <c r="OK20" s="286"/>
      <c r="OL20" s="286"/>
      <c r="OM20" s="286"/>
      <c r="ON20" s="286"/>
      <c r="OO20" s="286"/>
      <c r="OP20" s="286"/>
      <c r="OQ20" s="286"/>
      <c r="OR20" s="286"/>
      <c r="OS20" s="285" t="s">
        <v>49</v>
      </c>
      <c r="OT20" s="286" t="e">
        <f>'Data-temp_employment'!#REF!-last_qrtr_tempemp!OU20</f>
        <v>#REF!</v>
      </c>
      <c r="OU20" s="286">
        <f>'Data-temp_employment'!OT20-last_qrtr_tempemp!OV20</f>
        <v>2.5</v>
      </c>
      <c r="OV20" s="286">
        <f>'Data-temp_employment'!OU20-last_qrtr_tempemp!OW20</f>
        <v>-1.2000000000000002</v>
      </c>
      <c r="OW20" s="286">
        <f>'Data-temp_employment'!OV20-last_qrtr_tempemp!OX20</f>
        <v>0.8</v>
      </c>
      <c r="OX20" s="286">
        <f>'Data-temp_employment'!OW20-last_qrtr_tempemp!OY20</f>
        <v>0.8</v>
      </c>
      <c r="OY20" s="286">
        <f>'Data-temp_employment'!OX20-last_qrtr_tempemp!OZ20</f>
        <v>0.50000000000000011</v>
      </c>
      <c r="OZ20" s="286">
        <f>'Data-temp_employment'!OY20-last_qrtr_tempemp!PA20</f>
        <v>1</v>
      </c>
      <c r="PA20" s="286">
        <f>'Data-temp_employment'!OZ20-last_qrtr_tempemp!PB20</f>
        <v>-9.9999999999999978E-2</v>
      </c>
      <c r="PB20" s="286">
        <f>'Data-temp_employment'!PA20-last_qrtr_tempemp!PC20</f>
        <v>-0.30000000000000004</v>
      </c>
      <c r="PC20" s="286">
        <f>'Data-temp_employment'!PB20</f>
        <v>0.4</v>
      </c>
      <c r="PE20" s="319"/>
      <c r="PF20" s="319"/>
      <c r="PG20" s="319"/>
      <c r="PH20" s="319"/>
      <c r="PI20" s="319"/>
      <c r="PJ20" s="319"/>
      <c r="PK20" s="319"/>
      <c r="PL20" s="319"/>
      <c r="PM20" s="319"/>
      <c r="PN20" s="319"/>
      <c r="PO20" s="319"/>
      <c r="PP20" s="319"/>
      <c r="PQ20" s="319"/>
      <c r="PR20" s="319"/>
      <c r="PS20" s="319"/>
      <c r="PT20" s="319"/>
      <c r="PU20" s="319"/>
      <c r="PV20" s="319"/>
      <c r="PW20" s="319"/>
      <c r="PX20" s="319"/>
      <c r="PY20" s="319"/>
      <c r="PZ20" s="319"/>
      <c r="QA20" s="319"/>
      <c r="QB20" s="319"/>
      <c r="QC20" s="319"/>
      <c r="QD20" s="319"/>
      <c r="QE20" s="319"/>
      <c r="QF20" s="319"/>
      <c r="QG20" s="319"/>
      <c r="QH20" s="319"/>
      <c r="QI20" s="319"/>
      <c r="QJ20" s="319"/>
      <c r="QK20" s="319"/>
      <c r="QL20" s="319"/>
      <c r="QM20" s="319"/>
      <c r="QN20" s="319"/>
      <c r="QO20" s="319"/>
      <c r="QP20" s="319"/>
      <c r="QQ20" s="319"/>
      <c r="QR20" s="319"/>
      <c r="QS20" s="319"/>
      <c r="QT20" s="319"/>
      <c r="QU20" s="319"/>
      <c r="QV20" s="319"/>
      <c r="QW20" s="319"/>
      <c r="QX20" s="319"/>
      <c r="QY20" s="319"/>
      <c r="QZ20" s="319"/>
      <c r="RA20" s="319"/>
      <c r="RB20" s="319"/>
      <c r="RC20" s="319"/>
      <c r="RD20" s="319"/>
      <c r="RE20" s="319"/>
      <c r="RF20" s="319"/>
      <c r="RG20" s="319"/>
      <c r="RH20" s="319"/>
      <c r="RI20" s="319"/>
      <c r="RJ20" s="319"/>
      <c r="RK20" s="319"/>
      <c r="RL20" s="319"/>
      <c r="RM20" s="319"/>
      <c r="RN20" s="319"/>
      <c r="RO20" s="319"/>
      <c r="RP20" s="319"/>
    </row>
    <row r="21" spans="1:485">
      <c r="A21" s="272">
        <v>18</v>
      </c>
      <c r="B21" s="285" t="s">
        <v>23</v>
      </c>
      <c r="C21" s="286">
        <f>'Data-temp_employment'!C21-last_qrtr_tempemp!D21</f>
        <v>-1.7000000000000011</v>
      </c>
      <c r="D21" s="286">
        <f>'Data-temp_employment'!D21-last_qrtr_tempemp!E21</f>
        <v>-0.90000000000000036</v>
      </c>
      <c r="E21" s="286">
        <f>'Data-temp_employment'!E21-last_qrtr_tempemp!F21</f>
        <v>0.5</v>
      </c>
      <c r="F21" s="286">
        <f>'Data-temp_employment'!F21-last_qrtr_tempemp!G21</f>
        <v>-0.59999999999999964</v>
      </c>
      <c r="G21" s="286">
        <f>'Data-temp_employment'!G21-last_qrtr_tempemp!H21</f>
        <v>-2.5999999999999996</v>
      </c>
      <c r="H21" s="286">
        <f>'Data-temp_employment'!H21-last_qrtr_tempemp!I21</f>
        <v>0.5</v>
      </c>
      <c r="I21" s="286">
        <f>'Data-temp_employment'!I21-last_qrtr_tempemp!J21</f>
        <v>3.1999999999999993</v>
      </c>
      <c r="J21" s="286">
        <f>'Data-temp_employment'!J21-last_qrtr_tempemp!K21</f>
        <v>0.90000000000000036</v>
      </c>
      <c r="K21" s="286">
        <f>'Data-temp_employment'!K21-last_qrtr_tempemp!L21</f>
        <v>-3.2999999999999989</v>
      </c>
      <c r="L21" s="286">
        <f>'Data-temp_employment'!L21</f>
        <v>12.5</v>
      </c>
      <c r="M21" s="285" t="s">
        <v>23</v>
      </c>
      <c r="N21" s="286">
        <f>'Data-temp_employment'!N21-last_qrtr_tempemp!O21</f>
        <v>-37.100000000000023</v>
      </c>
      <c r="O21" s="286">
        <f>'Data-temp_employment'!O21-last_qrtr_tempemp!P21</f>
        <v>-17.599999999999966</v>
      </c>
      <c r="P21" s="286">
        <f>'Data-temp_employment'!P21-last_qrtr_tempemp!Q21</f>
        <v>21.199999999999989</v>
      </c>
      <c r="Q21" s="286">
        <f>'Data-temp_employment'!Q21-last_qrtr_tempemp!R21</f>
        <v>-11.300000000000011</v>
      </c>
      <c r="R21" s="286">
        <f>'Data-temp_employment'!R21-last_qrtr_tempemp!S21</f>
        <v>-67.700000000000017</v>
      </c>
      <c r="S21" s="286">
        <f>'Data-temp_employment'!S21-last_qrtr_tempemp!T21</f>
        <v>15</v>
      </c>
      <c r="T21" s="286">
        <f>'Data-temp_employment'!T21-last_qrtr_tempemp!U21</f>
        <v>93.300000000000011</v>
      </c>
      <c r="U21" s="286">
        <f>'Data-temp_employment'!U21-last_qrtr_tempemp!V21</f>
        <v>30.199999999999989</v>
      </c>
      <c r="V21" s="286">
        <f>'Data-temp_employment'!V21-last_qrtr_tempemp!W21</f>
        <v>-88.099999999999966</v>
      </c>
      <c r="W21" s="286">
        <f>'Data-temp_employment'!W21</f>
        <v>319.8</v>
      </c>
      <c r="X21" s="285" t="s">
        <v>23</v>
      </c>
      <c r="Y21" s="286">
        <f>'Data-temp_employment'!Y21-last_qrtr_tempemp!Z21</f>
        <v>0</v>
      </c>
      <c r="Z21" s="286">
        <f>'Data-temp_employment'!Z21-last_qrtr_tempemp!AA21</f>
        <v>-5.0000000000000009</v>
      </c>
      <c r="AA21" s="286">
        <f>'Data-temp_employment'!AA21-last_qrtr_tempemp!AB21</f>
        <v>-4.5999999999999996</v>
      </c>
      <c r="AB21" s="286">
        <f>'Data-temp_employment'!AB21-last_qrtr_tempemp!AC21</f>
        <v>-3.0999999999999996</v>
      </c>
      <c r="AC21" s="286">
        <f>'Data-temp_employment'!AC21-last_qrtr_tempemp!AD21</f>
        <v>-1.0999999999999996</v>
      </c>
      <c r="AD21" s="286">
        <f>'Data-temp_employment'!AD21-last_qrtr_tempemp!AE21</f>
        <v>2</v>
      </c>
      <c r="AE21" s="286">
        <f>'Data-temp_employment'!AE21-last_qrtr_tempemp!AF21</f>
        <v>3.5999999999999996</v>
      </c>
      <c r="AF21" s="286">
        <f>'Data-temp_employment'!AF21-last_qrtr_tempemp!AG21</f>
        <v>1.2999999999999998</v>
      </c>
      <c r="AG21" s="286">
        <f>'Data-temp_employment'!AG21-last_qrtr_tempemp!AH21</f>
        <v>-2.2000000000000002</v>
      </c>
      <c r="AH21" s="286">
        <f>'Data-temp_employment'!AH21</f>
        <v>6.9</v>
      </c>
      <c r="AI21" s="285" t="s">
        <v>23</v>
      </c>
      <c r="AJ21" s="286">
        <f>'Data-temp_employment'!AJ21-last_qrtr_tempemp!AK21</f>
        <v>-1.4000000000000021</v>
      </c>
      <c r="AK21" s="286">
        <f>'Data-temp_employment'!AK21-last_qrtr_tempemp!AL21</f>
        <v>-5.0000000000000036</v>
      </c>
      <c r="AL21" s="286">
        <f>'Data-temp_employment'!AL21-last_qrtr_tempemp!AM21</f>
        <v>5.8000000000000007</v>
      </c>
      <c r="AM21" s="286">
        <f>'Data-temp_employment'!AM21-last_qrtr_tempemp!AN21</f>
        <v>2.1000000000000014</v>
      </c>
      <c r="AN21" s="286">
        <f>'Data-temp_employment'!AN21-last_qrtr_tempemp!AO21</f>
        <v>-3.1999999999999993</v>
      </c>
      <c r="AO21" s="286">
        <f>'Data-temp_employment'!AO21-last_qrtr_tempemp!AP21</f>
        <v>-7.8000000000000007</v>
      </c>
      <c r="AP21" s="286">
        <f>'Data-temp_employment'!AP21-last_qrtr_tempemp!AQ21</f>
        <v>2.3000000000000007</v>
      </c>
      <c r="AQ21" s="286">
        <f>'Data-temp_employment'!AQ21-last_qrtr_tempemp!AR21</f>
        <v>0.5</v>
      </c>
      <c r="AR21" s="286">
        <f>'Data-temp_employment'!AR21-last_qrtr_tempemp!AS21</f>
        <v>-7.3000000000000007</v>
      </c>
      <c r="AS21" s="286">
        <f>'Data-temp_employment'!AS21</f>
        <v>29</v>
      </c>
      <c r="AT21" s="285" t="s">
        <v>23</v>
      </c>
      <c r="AU21" s="286">
        <f>'Data-temp_employment'!AU21-last_qrtr_tempemp!AV21</f>
        <v>-39.900000000000006</v>
      </c>
      <c r="AV21" s="286">
        <f>'Data-temp_employment'!AV21-last_qrtr_tempemp!AW21</f>
        <v>-24.5</v>
      </c>
      <c r="AW21" s="286">
        <f>'Data-temp_employment'!AW21-last_qrtr_tempemp!AX21</f>
        <v>20.5</v>
      </c>
      <c r="AX21" s="286">
        <f>'Data-temp_employment'!AX21-last_qrtr_tempemp!AY21</f>
        <v>3.9000000000000057</v>
      </c>
      <c r="AY21" s="286">
        <f>'Data-temp_employment'!AY21-last_qrtr_tempemp!AZ21</f>
        <v>-53.999999999999993</v>
      </c>
      <c r="AZ21" s="286">
        <f>'Data-temp_employment'!AZ21-last_qrtr_tempemp!BA21</f>
        <v>-16.399999999999991</v>
      </c>
      <c r="BA21" s="286">
        <f>'Data-temp_employment'!BA21-last_qrtr_tempemp!BB21</f>
        <v>53.899999999999991</v>
      </c>
      <c r="BB21" s="286">
        <f>'Data-temp_employment'!BB21-last_qrtr_tempemp!BC21</f>
        <v>19.300000000000004</v>
      </c>
      <c r="BC21" s="286">
        <f>'Data-temp_employment'!BC21-last_qrtr_tempemp!BD21</f>
        <v>-44.300000000000004</v>
      </c>
      <c r="BD21" s="286">
        <f>'Data-temp_employment'!BD21</f>
        <v>112.4</v>
      </c>
      <c r="BE21" s="285" t="s">
        <v>23</v>
      </c>
      <c r="BF21" s="286">
        <f>'Data-temp_employment'!BF21-last_qrtr_tempemp!BG21</f>
        <v>0.79999999999999716</v>
      </c>
      <c r="BG21" s="286">
        <f>'Data-temp_employment'!BG21-last_qrtr_tempemp!BH21</f>
        <v>12.900000000000006</v>
      </c>
      <c r="BH21" s="286">
        <f>'Data-temp_employment'!BH21-last_qrtr_tempemp!BI21</f>
        <v>-3.7000000000000028</v>
      </c>
      <c r="BI21" s="286">
        <f>'Data-temp_employment'!BI21-last_qrtr_tempemp!BJ21</f>
        <v>-8.2999999999999972</v>
      </c>
      <c r="BJ21" s="286">
        <f>'Data-temp_employment'!BJ21-last_qrtr_tempemp!BK21</f>
        <v>-0.20000000000000284</v>
      </c>
      <c r="BK21" s="286">
        <f>'Data-temp_employment'!BK21-last_qrtr_tempemp!BL21</f>
        <v>42.900000000000006</v>
      </c>
      <c r="BL21" s="286">
        <f>'Data-temp_employment'!BL21-last_qrtr_tempemp!BM21</f>
        <v>36.799999999999997</v>
      </c>
      <c r="BM21" s="286">
        <f>'Data-temp_employment'!BM21-last_qrtr_tempemp!BN21</f>
        <v>17.200000000000003</v>
      </c>
      <c r="BN21" s="286">
        <f>'Data-temp_employment'!BN21-last_qrtr_tempemp!BO21</f>
        <v>-30</v>
      </c>
      <c r="BO21" s="286">
        <f>'Data-temp_employment'!BO21</f>
        <v>121.4</v>
      </c>
      <c r="BP21" s="285" t="s">
        <v>23</v>
      </c>
      <c r="BQ21" s="286">
        <f>'Data-temp_employment'!BQ21-last_qrtr_tempemp!BR21</f>
        <v>5.1999999999999957</v>
      </c>
      <c r="BR21" s="286">
        <f>'Data-temp_employment'!BR21-last_qrtr_tempemp!BS21</f>
        <v>1.8999999999999986</v>
      </c>
      <c r="BS21" s="286">
        <f>'Data-temp_employment'!BS21-last_qrtr_tempemp!BT21</f>
        <v>-0.20000000000000284</v>
      </c>
      <c r="BT21" s="286">
        <f>'Data-temp_employment'!BT21-last_qrtr_tempemp!BU21</f>
        <v>-5.2999999999999972</v>
      </c>
      <c r="BU21" s="286">
        <f>'Data-temp_employment'!BU21-last_qrtr_tempemp!BV21</f>
        <v>-8.1999999999999993</v>
      </c>
      <c r="BV21" s="286">
        <f>'Data-temp_employment'!BV21-last_qrtr_tempemp!BW21</f>
        <v>-6</v>
      </c>
      <c r="BW21" s="286">
        <f>'Data-temp_employment'!BW21-last_qrtr_tempemp!BX21</f>
        <v>-2</v>
      </c>
      <c r="BX21" s="286">
        <f>'Data-temp_employment'!BX21-last_qrtr_tempemp!BY21</f>
        <v>-3.3000000000000007</v>
      </c>
      <c r="BY21" s="286">
        <f>'Data-temp_employment'!BY21-last_qrtr_tempemp!BZ21</f>
        <v>0.69999999999999929</v>
      </c>
      <c r="BZ21" s="286">
        <f>'Data-temp_employment'!BZ21</f>
        <v>21.1</v>
      </c>
      <c r="CA21" s="285" t="s">
        <v>23</v>
      </c>
      <c r="CB21" s="286">
        <f>'Data-temp_employment'!CB21-last_qrtr_tempemp!CC21</f>
        <v>-1.7999999999999972</v>
      </c>
      <c r="CC21" s="286">
        <f>'Data-temp_employment'!CC21-last_qrtr_tempemp!CD21</f>
        <v>2.1000000000000014</v>
      </c>
      <c r="CD21" s="286">
        <f>'Data-temp_employment'!CD21-last_qrtr_tempemp!CE21</f>
        <v>3.5999999999999979</v>
      </c>
      <c r="CE21" s="286">
        <f>'Data-temp_employment'!CE21-last_qrtr_tempemp!CF21</f>
        <v>-0.70000000000000284</v>
      </c>
      <c r="CF21" s="286">
        <f>'Data-temp_employment'!CF21-last_qrtr_tempemp!CG21</f>
        <v>-1.1000000000000014</v>
      </c>
      <c r="CG21" s="286">
        <f>'Data-temp_employment'!CG21-last_qrtr_tempemp!CH21</f>
        <v>0.10000000000000142</v>
      </c>
      <c r="CH21" s="286">
        <f>'Data-temp_employment'!CH21-last_qrtr_tempemp!CI21</f>
        <v>-1.2999999999999972</v>
      </c>
      <c r="CI21" s="286">
        <f>'Data-temp_employment'!CI21-last_qrtr_tempemp!CJ21</f>
        <v>-4.8000000000000007</v>
      </c>
      <c r="CJ21" s="286">
        <f>'Data-temp_employment'!CJ21-last_qrtr_tempemp!CK21</f>
        <v>-5.1000000000000014</v>
      </c>
      <c r="CK21" s="286">
        <f>'Data-temp_employment'!CK21</f>
        <v>29</v>
      </c>
      <c r="CL21" s="285" t="s">
        <v>23</v>
      </c>
      <c r="CM21" s="286">
        <f>'Data-temp_employment'!CM21-last_qrtr_tempemp!CN21</f>
        <v>-21.199999999999996</v>
      </c>
      <c r="CN21" s="286">
        <f>'Data-temp_employment'!CN21-last_qrtr_tempemp!CO21</f>
        <v>-14.300000000000011</v>
      </c>
      <c r="CO21" s="286">
        <f>'Data-temp_employment'!CO21-last_qrtr_tempemp!CP21</f>
        <v>8.5</v>
      </c>
      <c r="CP21" s="286">
        <f>'Data-temp_employment'!CP21-last_qrtr_tempemp!CQ21</f>
        <v>0.69999999999999574</v>
      </c>
      <c r="CQ21" s="286">
        <f>'Data-temp_employment'!CQ21-last_qrtr_tempemp!CR21</f>
        <v>-19.699999999999996</v>
      </c>
      <c r="CR21" s="286">
        <f>'Data-temp_employment'!CR21-last_qrtr_tempemp!CS21</f>
        <v>6.1000000000000085</v>
      </c>
      <c r="CS21" s="286">
        <f>'Data-temp_employment'!CS21-last_qrtr_tempemp!CT21</f>
        <v>37.100000000000009</v>
      </c>
      <c r="CT21" s="286">
        <f>'Data-temp_employment'!CT21-last_qrtr_tempemp!CU21</f>
        <v>10.100000000000001</v>
      </c>
      <c r="CU21" s="286">
        <f>'Data-temp_employment'!CU21-last_qrtr_tempemp!CV21</f>
        <v>-31.900000000000006</v>
      </c>
      <c r="CV21" s="286">
        <f>'Data-temp_employment'!CV21</f>
        <v>78.5</v>
      </c>
      <c r="CW21" s="285" t="s">
        <v>23</v>
      </c>
      <c r="CX21" s="286">
        <f>'Data-temp_employment'!CX21-last_qrtr_tempemp!CY21</f>
        <v>-21.400000000000006</v>
      </c>
      <c r="CY21" s="286">
        <f>'Data-temp_employment'!CY21-last_qrtr_tempemp!CZ21</f>
        <v>-14</v>
      </c>
      <c r="CZ21" s="286">
        <f>'Data-temp_employment'!CZ21-last_qrtr_tempemp!DA21</f>
        <v>14.800000000000011</v>
      </c>
      <c r="DA21" s="286">
        <f>'Data-temp_employment'!DA21-last_qrtr_tempemp!DB21</f>
        <v>-1.1000000000000085</v>
      </c>
      <c r="DB21" s="286">
        <f>'Data-temp_employment'!DB21-last_qrtr_tempemp!DC21</f>
        <v>-40.399999999999991</v>
      </c>
      <c r="DC21" s="286">
        <f>'Data-temp_employment'!DC21-last_qrtr_tempemp!DD21</f>
        <v>-6.5999999999999943</v>
      </c>
      <c r="DD21" s="286">
        <f>'Data-temp_employment'!DD21-last_qrtr_tempemp!DE21</f>
        <v>38.500000000000014</v>
      </c>
      <c r="DE21" s="286">
        <f>'Data-temp_employment'!DE21-last_qrtr_tempemp!DF21</f>
        <v>12.599999999999994</v>
      </c>
      <c r="DF21" s="286">
        <f>'Data-temp_employment'!DF21-last_qrtr_tempemp!DG21</f>
        <v>-45.100000000000009</v>
      </c>
      <c r="DG21" s="286">
        <f>'Data-temp_employment'!DG21</f>
        <v>144.19999999999999</v>
      </c>
      <c r="DH21" s="285" t="s">
        <v>23</v>
      </c>
      <c r="DI21" s="286">
        <f>'Data-temp_employment'!DI21-last_qrtr_tempemp!DJ21</f>
        <v>5.5</v>
      </c>
      <c r="DJ21" s="286">
        <f>'Data-temp_employment'!DJ21-last_qrtr_tempemp!DK21</f>
        <v>10.600000000000009</v>
      </c>
      <c r="DK21" s="286">
        <f>'Data-temp_employment'!DK21-last_qrtr_tempemp!DL21</f>
        <v>-2.2000000000000028</v>
      </c>
      <c r="DL21" s="286">
        <f>'Data-temp_employment'!DL21-last_qrtr_tempemp!DM21</f>
        <v>-10.799999999999997</v>
      </c>
      <c r="DM21" s="286">
        <f>'Data-temp_employment'!DM21-last_qrtr_tempemp!DN21</f>
        <v>-7.5</v>
      </c>
      <c r="DN21" s="286">
        <f>'Data-temp_employment'!DN21-last_qrtr_tempemp!DO21</f>
        <v>15.5</v>
      </c>
      <c r="DO21" s="286">
        <f>'Data-temp_employment'!DO21-last_qrtr_tempemp!DP21</f>
        <v>17.5</v>
      </c>
      <c r="DP21" s="286">
        <f>'Data-temp_employment'!DP21-last_qrtr_tempemp!DQ21</f>
        <v>7.5</v>
      </c>
      <c r="DQ21" s="286">
        <f>'Data-temp_employment'!DQ21-last_qrtr_tempemp!DR21</f>
        <v>-11</v>
      </c>
      <c r="DR21" s="286">
        <f>'Data-temp_employment'!DR21</f>
        <v>97.1</v>
      </c>
      <c r="DS21" s="285" t="s">
        <v>23</v>
      </c>
      <c r="DT21" s="286">
        <f>'Data-temp_employment'!DT21-last_qrtr_tempemp!DU21</f>
        <v>0</v>
      </c>
      <c r="DU21" s="286">
        <f>'Data-temp_employment'!DU21-last_qrtr_tempemp!DV21</f>
        <v>0</v>
      </c>
      <c r="DV21" s="286">
        <f>'Data-temp_employment'!DV21-last_qrtr_tempemp!DW21</f>
        <v>0</v>
      </c>
      <c r="DW21" s="286">
        <f>'Data-temp_employment'!DW21-last_qrtr_tempemp!DX21</f>
        <v>0</v>
      </c>
      <c r="DX21" s="286">
        <f>'Data-temp_employment'!DX21-last_qrtr_tempemp!DY21</f>
        <v>0</v>
      </c>
      <c r="DY21" s="286">
        <f>'Data-temp_employment'!DY21-last_qrtr_tempemp!DZ21</f>
        <v>0</v>
      </c>
      <c r="DZ21" s="286">
        <f>'Data-temp_employment'!DZ21-last_qrtr_tempemp!EA21</f>
        <v>0</v>
      </c>
      <c r="EA21" s="286">
        <f>'Data-temp_employment'!EA21-last_qrtr_tempemp!EB21</f>
        <v>0</v>
      </c>
      <c r="EB21" s="286">
        <f>'Data-temp_employment'!EB21-last_qrtr_tempemp!EC21</f>
        <v>0</v>
      </c>
      <c r="EC21" s="286">
        <f>'Data-temp_employment'!EC21</f>
        <v>0</v>
      </c>
      <c r="ED21" s="285" t="s">
        <v>23</v>
      </c>
      <c r="EE21" s="286">
        <f>'Data-temp_employment'!EE21-last_qrtr_tempemp!EF21</f>
        <v>0</v>
      </c>
      <c r="EF21" s="286">
        <f>'Data-temp_employment'!EF21-last_qrtr_tempemp!EG21</f>
        <v>0</v>
      </c>
      <c r="EG21" s="286">
        <f>'Data-temp_employment'!EG21-last_qrtr_tempemp!EH21</f>
        <v>0</v>
      </c>
      <c r="EH21" s="286">
        <f>'Data-temp_employment'!EH21-last_qrtr_tempemp!EI21</f>
        <v>0</v>
      </c>
      <c r="EI21" s="286">
        <f>'Data-temp_employment'!EI21-last_qrtr_tempemp!EJ21</f>
        <v>0</v>
      </c>
      <c r="EJ21" s="286">
        <f>'Data-temp_employment'!EJ21-last_qrtr_tempemp!EK21</f>
        <v>0</v>
      </c>
      <c r="EK21" s="286">
        <f>'Data-temp_employment'!EK21-last_qrtr_tempemp!EL21</f>
        <v>0</v>
      </c>
      <c r="EL21" s="286">
        <f>'Data-temp_employment'!EL21-last_qrtr_tempemp!EM21</f>
        <v>0</v>
      </c>
      <c r="EM21" s="286">
        <f>'Data-temp_employment'!EM21-last_qrtr_tempemp!EN21</f>
        <v>0</v>
      </c>
      <c r="EN21" s="286">
        <f>'Data-temp_employment'!EN21</f>
        <v>0</v>
      </c>
      <c r="EO21" s="285" t="s">
        <v>23</v>
      </c>
      <c r="EP21" s="286">
        <f>'Data-temp_employment'!EP21-last_qrtr_tempemp!EQ21</f>
        <v>4.7999999999999972</v>
      </c>
      <c r="EQ21" s="286">
        <f>'Data-temp_employment'!EQ21-last_qrtr_tempemp!ER21</f>
        <v>9.9000000000000057</v>
      </c>
      <c r="ER21" s="286">
        <f>'Data-temp_employment'!ER21-last_qrtr_tempemp!ES21</f>
        <v>-12.100000000000001</v>
      </c>
      <c r="ES21" s="286">
        <f>'Data-temp_employment'!ES21-last_qrtr_tempemp!ET21</f>
        <v>-11.899999999999999</v>
      </c>
      <c r="ET21" s="286">
        <f>'Data-temp_employment'!ET21-last_qrtr_tempemp!EU21</f>
        <v>2.7999999999999972</v>
      </c>
      <c r="EU21" s="286">
        <f>'Data-temp_employment'!EU21-last_qrtr_tempemp!EV21</f>
        <v>16.900000000000006</v>
      </c>
      <c r="EV21" s="286">
        <f>'Data-temp_employment'!EV21-last_qrtr_tempemp!EW21</f>
        <v>1.1999999999999957</v>
      </c>
      <c r="EW21" s="286">
        <f>'Data-temp_employment'!EW21-last_qrtr_tempemp!EX21</f>
        <v>0.10000000000000142</v>
      </c>
      <c r="EX21" s="286">
        <f>'Data-temp_employment'!EX21-last_qrtr_tempemp!EY21</f>
        <v>-0.5</v>
      </c>
      <c r="EY21" s="286">
        <f>'Data-temp_employment'!EY21</f>
        <v>54.7</v>
      </c>
      <c r="EZ21" s="285" t="s">
        <v>23</v>
      </c>
      <c r="FA21" s="286">
        <f>'Data-temp_employment'!FA21-last_qrtr_tempemp!FB21</f>
        <v>-0.79999999999999893</v>
      </c>
      <c r="FB21" s="286">
        <f>'Data-temp_employment'!FB21-last_qrtr_tempemp!FC21</f>
        <v>3.1000000000000014</v>
      </c>
      <c r="FC21" s="286">
        <f>'Data-temp_employment'!FC21-last_qrtr_tempemp!FD21</f>
        <v>2.7999999999999989</v>
      </c>
      <c r="FD21" s="286">
        <f>'Data-temp_employment'!FD21-last_qrtr_tempemp!FE21</f>
        <v>2.5999999999999996</v>
      </c>
      <c r="FE21" s="286">
        <f>'Data-temp_employment'!FE21-last_qrtr_tempemp!FF21</f>
        <v>-1.2000000000000028</v>
      </c>
      <c r="FF21" s="286">
        <f>'Data-temp_employment'!FF21-last_qrtr_tempemp!FG21</f>
        <v>0.60000000000000142</v>
      </c>
      <c r="FG21" s="286">
        <f>'Data-temp_employment'!FG21-last_qrtr_tempemp!FH21</f>
        <v>2.3000000000000007</v>
      </c>
      <c r="FH21" s="286">
        <f>'Data-temp_employment'!FH21-last_qrtr_tempemp!FI21</f>
        <v>1</v>
      </c>
      <c r="FI21" s="286">
        <f>'Data-temp_employment'!FI21-last_qrtr_tempemp!FJ21</f>
        <v>2.8999999999999986</v>
      </c>
      <c r="FJ21" s="286">
        <f>'Data-temp_employment'!FJ21</f>
        <v>19.399999999999999</v>
      </c>
      <c r="FK21" s="285" t="s">
        <v>23</v>
      </c>
      <c r="FL21" s="286">
        <f>'Data-temp_employment'!FL21-last_qrtr_tempemp!FM21</f>
        <v>1</v>
      </c>
      <c r="FM21" s="286">
        <f>'Data-temp_employment'!FM21-last_qrtr_tempemp!FN21</f>
        <v>-4.1000000000000014</v>
      </c>
      <c r="FN21" s="286">
        <f>'Data-temp_employment'!FN21-last_qrtr_tempemp!FO21</f>
        <v>-1.7999999999999972</v>
      </c>
      <c r="FO21" s="286">
        <f>'Data-temp_employment'!FO21-last_qrtr_tempemp!FP21</f>
        <v>-6.9000000000000021</v>
      </c>
      <c r="FP21" s="286">
        <f>'Data-temp_employment'!FP21-last_qrtr_tempemp!FQ21</f>
        <v>-14.5</v>
      </c>
      <c r="FQ21" s="286">
        <f>'Data-temp_employment'!FQ21-last_qrtr_tempemp!FR21</f>
        <v>-0.79999999999999716</v>
      </c>
      <c r="FR21" s="286">
        <f>'Data-temp_employment'!FR21-last_qrtr_tempemp!FS21</f>
        <v>14.700000000000003</v>
      </c>
      <c r="FS21" s="286">
        <f>'Data-temp_employment'!FS21-last_qrtr_tempemp!FT21</f>
        <v>5.4000000000000021</v>
      </c>
      <c r="FT21" s="286">
        <f>'Data-temp_employment'!FT21-last_qrtr_tempemp!FU21</f>
        <v>-10.800000000000004</v>
      </c>
      <c r="FU21" s="286">
        <f>'Data-temp_employment'!FU21</f>
        <v>37.5</v>
      </c>
      <c r="FV21" s="285" t="s">
        <v>23</v>
      </c>
      <c r="FW21" s="286">
        <f>'Data-temp_employment'!FW21-last_qrtr_tempemp!FX21</f>
        <v>-22.000000000000007</v>
      </c>
      <c r="FX21" s="286">
        <f>'Data-temp_employment'!FX21-last_qrtr_tempemp!FY21</f>
        <v>-17</v>
      </c>
      <c r="FY21" s="286">
        <f>'Data-temp_employment'!FY21-last_qrtr_tempemp!FZ21</f>
        <v>20.900000000000006</v>
      </c>
      <c r="FZ21" s="286">
        <f>'Data-temp_employment'!FZ21-last_qrtr_tempemp!GA21</f>
        <v>11.399999999999999</v>
      </c>
      <c r="GA21" s="286">
        <f>'Data-temp_employment'!GA21-last_qrtr_tempemp!GB21</f>
        <v>-24.999999999999993</v>
      </c>
      <c r="GB21" s="286">
        <f>'Data-temp_employment'!GB21-last_qrtr_tempemp!GC21</f>
        <v>-7.2999999999999972</v>
      </c>
      <c r="GC21" s="286">
        <f>'Data-temp_employment'!GC21-last_qrtr_tempemp!GD21</f>
        <v>25.900000000000006</v>
      </c>
      <c r="GD21" s="286">
        <f>'Data-temp_employment'!GD21-last_qrtr_tempemp!GE21</f>
        <v>2.7999999999999972</v>
      </c>
      <c r="GE21" s="286">
        <f>'Data-temp_employment'!GE21-last_qrtr_tempemp!GF21</f>
        <v>-44.400000000000006</v>
      </c>
      <c r="GF21" s="286">
        <f>'Data-temp_employment'!GF21</f>
        <v>85.2</v>
      </c>
      <c r="GG21" s="285" t="s">
        <v>23</v>
      </c>
      <c r="GH21" s="286">
        <f>'Data-temp_employment'!GH21-last_qrtr_tempemp!GI21</f>
        <v>-0.20000000000000018</v>
      </c>
      <c r="GI21" s="286">
        <f>'Data-temp_employment'!GI21-last_qrtr_tempemp!GJ21</f>
        <v>-0.20000000000000018</v>
      </c>
      <c r="GJ21" s="286">
        <f>'Data-temp_employment'!GJ21-last_qrtr_tempemp!GK21</f>
        <v>-3.1000000000000005</v>
      </c>
      <c r="GK21" s="286">
        <f>'Data-temp_employment'!GK21-last_qrtr_tempemp!GL21</f>
        <v>-1.2000000000000002</v>
      </c>
      <c r="GL21" s="286">
        <f>'Data-temp_employment'!GL21-last_qrtr_tempemp!GM21</f>
        <v>-0.69999999999999973</v>
      </c>
      <c r="GM21" s="286">
        <f>'Data-temp_employment'!GM21-last_qrtr_tempemp!GN21</f>
        <v>0.5</v>
      </c>
      <c r="GN21" s="286">
        <f>'Data-temp_employment'!GN21-last_qrtr_tempemp!GO21</f>
        <v>0.39999999999999991</v>
      </c>
      <c r="GO21" s="286">
        <f>'Data-temp_employment'!GO21-last_qrtr_tempemp!GP21</f>
        <v>0.89999999999999991</v>
      </c>
      <c r="GP21" s="286">
        <f>'Data-temp_employment'!GP21-last_qrtr_tempemp!GQ21</f>
        <v>1.1000000000000001</v>
      </c>
      <c r="GQ21" s="286">
        <f>'Data-temp_employment'!GQ21</f>
        <v>3.8</v>
      </c>
      <c r="GR21" s="285" t="s">
        <v>23</v>
      </c>
      <c r="GS21" s="286">
        <f>'Data-temp_employment'!GS21-last_qrtr_tempemp!GT21</f>
        <v>-2</v>
      </c>
      <c r="GT21" s="286">
        <f>'Data-temp_employment'!GT21-last_qrtr_tempemp!GU21</f>
        <v>-0.10000000000000142</v>
      </c>
      <c r="GU21" s="286">
        <f>'Data-temp_employment'!GU21-last_qrtr_tempemp!GV21</f>
        <v>1.0999999999999979</v>
      </c>
      <c r="GV21" s="286">
        <f>'Data-temp_employment'!GV21-last_qrtr_tempemp!GW21</f>
        <v>-3.3000000000000007</v>
      </c>
      <c r="GW21" s="286">
        <f>'Data-temp_employment'!GW21-last_qrtr_tempemp!GX21</f>
        <v>-8.0999999999999979</v>
      </c>
      <c r="GX21" s="286">
        <f>'Data-temp_employment'!GX21-last_qrtr_tempemp!GY21</f>
        <v>-2.5</v>
      </c>
      <c r="GY21" s="286">
        <f>'Data-temp_employment'!GY21-last_qrtr_tempemp!GZ21</f>
        <v>8.7000000000000028</v>
      </c>
      <c r="GZ21" s="286">
        <f>'Data-temp_employment'!GZ21-last_qrtr_tempemp!HA21</f>
        <v>2</v>
      </c>
      <c r="HA21" s="286">
        <f>'Data-temp_employment'!HA21-last_qrtr_tempemp!HB21</f>
        <v>-7.3999999999999986</v>
      </c>
      <c r="HB21" s="286">
        <f>'Data-temp_employment'!HB21</f>
        <v>26.2</v>
      </c>
      <c r="HC21" s="285" t="s">
        <v>23</v>
      </c>
      <c r="HD21" s="286">
        <f>'Data-temp_employment'!HD21-last_qrtr_tempemp!HE21</f>
        <v>1.4000000000000004</v>
      </c>
      <c r="HE21" s="286">
        <f>'Data-temp_employment'!HE21-last_qrtr_tempemp!HF21</f>
        <v>2.7999999999999989</v>
      </c>
      <c r="HF21" s="286">
        <f>'Data-temp_employment'!HF21-last_qrtr_tempemp!HG21</f>
        <v>7.2999999999999989</v>
      </c>
      <c r="HG21" s="286">
        <f>'Data-temp_employment'!HG21-last_qrtr_tempemp!HH21</f>
        <v>1.4000000000000004</v>
      </c>
      <c r="HH21" s="286">
        <f>'Data-temp_employment'!HH21-last_qrtr_tempemp!HI21</f>
        <v>-0.90000000000000036</v>
      </c>
      <c r="HI21" s="286">
        <f>'Data-temp_employment'!HI21-last_qrtr_tempemp!HJ21</f>
        <v>0.90000000000000213</v>
      </c>
      <c r="HJ21" s="286">
        <f>'Data-temp_employment'!HJ21-last_qrtr_tempemp!HK21</f>
        <v>7.4999999999999982</v>
      </c>
      <c r="HK21" s="286">
        <f>'Data-temp_employment'!HK21-last_qrtr_tempemp!HL21</f>
        <v>4.1999999999999993</v>
      </c>
      <c r="HL21" s="286">
        <f>'Data-temp_employment'!HL21-last_qrtr_tempemp!HM21</f>
        <v>-3.2000000000000011</v>
      </c>
      <c r="HM21" s="286">
        <f>'Data-temp_employment'!HM21</f>
        <v>19.8</v>
      </c>
      <c r="HN21" s="285" t="s">
        <v>23</v>
      </c>
      <c r="HO21" s="286">
        <f>'Data-temp_employment'!HO21-last_qrtr_tempemp!HP21</f>
        <v>-19.400000000000006</v>
      </c>
      <c r="HP21" s="286">
        <f>'Data-temp_employment'!HP21-last_qrtr_tempemp!HQ21</f>
        <v>-10.800000000000004</v>
      </c>
      <c r="HQ21" s="286">
        <f>'Data-temp_employment'!HQ21-last_qrtr_tempemp!HR21</f>
        <v>5.3999999999999986</v>
      </c>
      <c r="HR21" s="286">
        <f>'Data-temp_employment'!HR21-last_qrtr_tempemp!HS21</f>
        <v>-3.3999999999999986</v>
      </c>
      <c r="HS21" s="286">
        <f>'Data-temp_employment'!HS21-last_qrtr_tempemp!HT21</f>
        <v>-19.800000000000004</v>
      </c>
      <c r="HT21" s="286">
        <f>'Data-temp_employment'!HT21-last_qrtr_tempemp!HU21</f>
        <v>7.2999999999999972</v>
      </c>
      <c r="HU21" s="286">
        <f>'Data-temp_employment'!HU21-last_qrtr_tempemp!HV21</f>
        <v>32.999999999999993</v>
      </c>
      <c r="HV21" s="286">
        <f>'Data-temp_employment'!HV21-last_qrtr_tempemp!HW21</f>
        <v>12.900000000000006</v>
      </c>
      <c r="HW21" s="286">
        <f>'Data-temp_employment'!HW21-last_qrtr_tempemp!HX21</f>
        <v>-24.899999999999991</v>
      </c>
      <c r="HX21" s="286">
        <f>'Data-temp_employment'!HX21</f>
        <v>72.099999999999994</v>
      </c>
      <c r="HY21" s="285" t="s">
        <v>23</v>
      </c>
      <c r="HZ21" s="286">
        <f>'Data-temp_employment'!HZ21-last_qrtr_tempemp!IA21</f>
        <v>0</v>
      </c>
      <c r="IA21" s="286">
        <f>'Data-temp_employment'!IA21-last_qrtr_tempemp!IB21</f>
        <v>0</v>
      </c>
      <c r="IB21" s="286">
        <f>'Data-temp_employment'!IB21-last_qrtr_tempemp!IC21</f>
        <v>0</v>
      </c>
      <c r="IC21" s="286">
        <f>'Data-temp_employment'!IC21-last_qrtr_tempemp!ID21</f>
        <v>0</v>
      </c>
      <c r="ID21" s="286">
        <f>'Data-temp_employment'!ID21-last_qrtr_tempemp!IE21</f>
        <v>0</v>
      </c>
      <c r="IE21" s="286">
        <f>'Data-temp_employment'!IE21-last_qrtr_tempemp!IF21</f>
        <v>0</v>
      </c>
      <c r="IF21" s="286">
        <f>'Data-temp_employment'!IF21-last_qrtr_tempemp!IG21</f>
        <v>0</v>
      </c>
      <c r="IG21" s="286">
        <f>'Data-temp_employment'!IG21-last_qrtr_tempemp!IH21</f>
        <v>0</v>
      </c>
      <c r="IH21" s="286">
        <f>'Data-temp_employment'!IH21-last_qrtr_tempemp!II21</f>
        <v>0</v>
      </c>
      <c r="II21" s="286">
        <f>'Data-temp_employment'!II21</f>
        <v>0</v>
      </c>
      <c r="IJ21" s="285" t="s">
        <v>23</v>
      </c>
      <c r="IK21" s="286">
        <f>'Data-temp_employment'!IK21-last_qrtr_tempemp!IL21</f>
        <v>0</v>
      </c>
      <c r="IL21" s="286">
        <f>'Data-temp_employment'!IL21-last_qrtr_tempemp!IM21</f>
        <v>0</v>
      </c>
      <c r="IM21" s="286">
        <f>'Data-temp_employment'!IM21-last_qrtr_tempemp!IN21</f>
        <v>0</v>
      </c>
      <c r="IN21" s="286">
        <f>'Data-temp_employment'!IN21-last_qrtr_tempemp!IO21</f>
        <v>0</v>
      </c>
      <c r="IO21" s="286">
        <f>'Data-temp_employment'!IO21-last_qrtr_tempemp!IP21</f>
        <v>0</v>
      </c>
      <c r="IP21" s="286">
        <f>'Data-temp_employment'!IP21-last_qrtr_tempemp!IQ21</f>
        <v>0</v>
      </c>
      <c r="IQ21" s="286">
        <f>'Data-temp_employment'!IQ21-last_qrtr_tempemp!IR21</f>
        <v>0</v>
      </c>
      <c r="IR21" s="286">
        <f>'Data-temp_employment'!IR21-last_qrtr_tempemp!IS21</f>
        <v>0</v>
      </c>
      <c r="IS21" s="286">
        <f>'Data-temp_employment'!IS21-last_qrtr_tempemp!IT21</f>
        <v>0</v>
      </c>
      <c r="IT21" s="286">
        <f>'Data-temp_employment'!IT21</f>
        <v>0</v>
      </c>
      <c r="IU21" s="285" t="s">
        <v>23</v>
      </c>
      <c r="IV21" s="286">
        <f>'Data-temp_employment'!IV21-last_qrtr_tempemp!IW21</f>
        <v>-0.10000000000000142</v>
      </c>
      <c r="IW21" s="286">
        <f>'Data-temp_employment'!IW21-last_qrtr_tempemp!IX21</f>
        <v>-0.90000000000000036</v>
      </c>
      <c r="IX21" s="286">
        <f>'Data-temp_employment'!IX21-last_qrtr_tempemp!IY21</f>
        <v>-2.5999999999999996</v>
      </c>
      <c r="IY21" s="286">
        <f>'Data-temp_employment'!IY21-last_qrtr_tempemp!IZ21</f>
        <v>-2.7999999999999989</v>
      </c>
      <c r="IZ21" s="286">
        <f>'Data-temp_employment'!IZ21-last_qrtr_tempemp!JA21</f>
        <v>-2.9000000000000004</v>
      </c>
      <c r="JA21" s="286">
        <f>'Data-temp_employment'!JA21-last_qrtr_tempemp!JB21</f>
        <v>-0.40000000000000036</v>
      </c>
      <c r="JB21" s="286">
        <f>'Data-temp_employment'!JB21-last_qrtr_tempemp!JC21</f>
        <v>0.79999999999999893</v>
      </c>
      <c r="JC21" s="286">
        <f>'Data-temp_employment'!JC21-last_qrtr_tempemp!JD21</f>
        <v>1.3000000000000007</v>
      </c>
      <c r="JD21" s="286">
        <f>'Data-temp_employment'!JD21-last_qrtr_tempemp!JE21</f>
        <v>-0.30000000000000071</v>
      </c>
      <c r="JE21" s="286">
        <f>'Data-temp_employment'!JE21</f>
        <v>13.5</v>
      </c>
      <c r="JF21" s="285" t="s">
        <v>23</v>
      </c>
      <c r="JG21" s="286">
        <f>'Data-temp_employment'!JG21-last_qrtr_tempemp!JH21</f>
        <v>1.2999999999999989</v>
      </c>
      <c r="JH21" s="286">
        <f>'Data-temp_employment'!JH21-last_qrtr_tempemp!JI21</f>
        <v>3.1000000000000014</v>
      </c>
      <c r="JI21" s="286">
        <f>'Data-temp_employment'!JI21-last_qrtr_tempemp!JJ21</f>
        <v>10.6</v>
      </c>
      <c r="JJ21" s="286">
        <f>'Data-temp_employment'!JJ21-last_qrtr_tempemp!JK21</f>
        <v>3.6000000000000014</v>
      </c>
      <c r="JK21" s="286">
        <f>'Data-temp_employment'!JK21-last_qrtr_tempemp!JL21</f>
        <v>-1.9000000000000021</v>
      </c>
      <c r="JL21" s="286">
        <f>'Data-temp_employment'!JL21-last_qrtr_tempemp!JM21</f>
        <v>-4.5999999999999979</v>
      </c>
      <c r="JM21" s="286">
        <f>'Data-temp_employment'!JM21-last_qrtr_tempemp!JN21</f>
        <v>5.6999999999999993</v>
      </c>
      <c r="JN21" s="286">
        <f>'Data-temp_employment'!JN21-last_qrtr_tempemp!JO21</f>
        <v>1.7000000000000028</v>
      </c>
      <c r="JO21" s="286">
        <f>'Data-temp_employment'!JO21-last_qrtr_tempemp!JP21</f>
        <v>-3.6000000000000014</v>
      </c>
      <c r="JP21" s="286">
        <f>'Data-temp_employment'!JP21</f>
        <v>18.8</v>
      </c>
      <c r="JQ21" s="285" t="s">
        <v>23</v>
      </c>
      <c r="JR21" s="286">
        <f>'Data-temp_employment'!JR21-last_qrtr_tempemp!JS21</f>
        <v>-1.6999999999999993</v>
      </c>
      <c r="JS21" s="286">
        <f>'Data-temp_employment'!JS21-last_qrtr_tempemp!JT21</f>
        <v>-3.6999999999999993</v>
      </c>
      <c r="JT21" s="286">
        <f>'Data-temp_employment'!JT21-last_qrtr_tempemp!JU21</f>
        <v>-3.9000000000000004</v>
      </c>
      <c r="JU21" s="286">
        <f>'Data-temp_employment'!JU21-last_qrtr_tempemp!JV21</f>
        <v>-6.4</v>
      </c>
      <c r="JV21" s="286">
        <f>'Data-temp_employment'!JV21-last_qrtr_tempemp!JW21</f>
        <v>-5</v>
      </c>
      <c r="JW21" s="286">
        <f>'Data-temp_employment'!JW21-last_qrtr_tempemp!JX21</f>
        <v>-1</v>
      </c>
      <c r="JX21" s="286">
        <f>'Data-temp_employment'!JX21-last_qrtr_tempemp!JY21</f>
        <v>4.5000000000000018</v>
      </c>
      <c r="JY21" s="286">
        <f>'Data-temp_employment'!JY21-last_qrtr_tempemp!JZ21</f>
        <v>1.1000000000000014</v>
      </c>
      <c r="JZ21" s="286">
        <f>'Data-temp_employment'!JZ21-last_qrtr_tempemp!KA21</f>
        <v>-1.4000000000000004</v>
      </c>
      <c r="KA21" s="286">
        <f>'Data-temp_employment'!KA21</f>
        <v>13.1</v>
      </c>
      <c r="KB21" s="285" t="s">
        <v>23</v>
      </c>
      <c r="KC21" s="286">
        <f>'Data-temp_employment'!KC21-last_qrtr_tempemp!KD21</f>
        <v>-5.5</v>
      </c>
      <c r="KD21" s="286">
        <f>'Data-temp_employment'!KD21-last_qrtr_tempemp!KE21</f>
        <v>-5.8000000000000007</v>
      </c>
      <c r="KE21" s="286">
        <f>'Data-temp_employment'!KE21-last_qrtr_tempemp!KF21</f>
        <v>-1.3999999999999986</v>
      </c>
      <c r="KF21" s="286">
        <f>'Data-temp_employment'!KF21-last_qrtr_tempemp!KG21</f>
        <v>-2.1000000000000014</v>
      </c>
      <c r="KG21" s="286">
        <f>'Data-temp_employment'!KG21-last_qrtr_tempemp!KH21</f>
        <v>-3.6000000000000014</v>
      </c>
      <c r="KH21" s="286">
        <f>'Data-temp_employment'!KH21-last_qrtr_tempemp!KI21</f>
        <v>9.9999999999997868E-2</v>
      </c>
      <c r="KI21" s="286">
        <f>'Data-temp_employment'!KI21-last_qrtr_tempemp!KJ21</f>
        <v>5.5</v>
      </c>
      <c r="KJ21" s="286">
        <f>'Data-temp_employment'!KJ21-last_qrtr_tempemp!KK21</f>
        <v>1.3000000000000007</v>
      </c>
      <c r="KK21" s="286">
        <f>'Data-temp_employment'!KK21-last_qrtr_tempemp!KL21</f>
        <v>-5.8000000000000007</v>
      </c>
      <c r="KL21" s="286">
        <f>'Data-temp_employment'!KL21</f>
        <v>27.4</v>
      </c>
      <c r="KM21" s="285" t="s">
        <v>23</v>
      </c>
      <c r="KN21" s="286">
        <f>'Data-temp_employment'!KN21-last_qrtr_tempemp!KO21</f>
        <v>-1.5999999999999996</v>
      </c>
      <c r="KO21" s="286">
        <f>'Data-temp_employment'!KO21-last_qrtr_tempemp!KP21</f>
        <v>1.9000000000000004</v>
      </c>
      <c r="KP21" s="286">
        <f>'Data-temp_employment'!KP21-last_qrtr_tempemp!KQ21</f>
        <v>2.9000000000000004</v>
      </c>
      <c r="KQ21" s="286">
        <f>'Data-temp_employment'!KQ21-last_qrtr_tempemp!KR21</f>
        <v>-0.30000000000000071</v>
      </c>
      <c r="KR21" s="286">
        <f>'Data-temp_employment'!KR21-last_qrtr_tempemp!KS21</f>
        <v>-3.4000000000000004</v>
      </c>
      <c r="KS21" s="286">
        <f>'Data-temp_employment'!KS21-last_qrtr_tempemp!KT21</f>
        <v>0.5</v>
      </c>
      <c r="KT21" s="286">
        <f>'Data-temp_employment'!KT21-last_qrtr_tempemp!KU21</f>
        <v>2</v>
      </c>
      <c r="KU21" s="286">
        <f>'Data-temp_employment'!KU21-last_qrtr_tempemp!KV21</f>
        <v>-1</v>
      </c>
      <c r="KV21" s="286">
        <f>'Data-temp_employment'!KV21-last_qrtr_tempemp!KW21</f>
        <v>-2.5</v>
      </c>
      <c r="KW21" s="286">
        <f>'Data-temp_employment'!KW21</f>
        <v>11.9</v>
      </c>
      <c r="KX21" s="285" t="s">
        <v>23</v>
      </c>
      <c r="KY21" s="286">
        <f>'Data-temp_employment'!KY21-last_qrtr_tempemp!KZ21</f>
        <v>-34.6</v>
      </c>
      <c r="KZ21" s="286">
        <f>'Data-temp_employment'!KZ21-last_qrtr_tempemp!LA21</f>
        <v>-21.799999999999997</v>
      </c>
      <c r="LA21" s="286">
        <f>'Data-temp_employment'!LA21-last_qrtr_tempemp!LB21</f>
        <v>30.500000000000007</v>
      </c>
      <c r="LB21" s="286">
        <f>'Data-temp_employment'!LB21-last_qrtr_tempemp!LC21</f>
        <v>11.700000000000003</v>
      </c>
      <c r="LC21" s="286">
        <f>'Data-temp_employment'!LC21-last_qrtr_tempemp!LD21</f>
        <v>-44.5</v>
      </c>
      <c r="LD21" s="286">
        <f>'Data-temp_employment'!LD21-last_qrtr_tempemp!LE21</f>
        <v>-3.8000000000000114</v>
      </c>
      <c r="LE21" s="286">
        <f>'Data-temp_employment'!LE21-last_qrtr_tempemp!LF21</f>
        <v>56.699999999999996</v>
      </c>
      <c r="LF21" s="286">
        <f>'Data-temp_employment'!LF21-last_qrtr_tempemp!LG21</f>
        <v>12.8</v>
      </c>
      <c r="LG21" s="286">
        <f>'Data-temp_employment'!LG21-last_qrtr_tempemp!LH21</f>
        <v>-65.199999999999989</v>
      </c>
      <c r="LH21" s="286">
        <f>'Data-temp_employment'!LH21</f>
        <v>96.9</v>
      </c>
      <c r="LI21" s="285" t="s">
        <v>23</v>
      </c>
      <c r="LJ21" s="286">
        <f>'Data-temp_employment'!LJ21-last_qrtr_tempemp!LK21</f>
        <v>-1.1999999999999993</v>
      </c>
      <c r="LK21" s="286">
        <f>'Data-temp_employment'!LK21-last_qrtr_tempemp!LL21</f>
        <v>-1.3999999999999995</v>
      </c>
      <c r="LL21" s="286">
        <f>'Data-temp_employment'!LL21-last_qrtr_tempemp!LM21</f>
        <v>-5.2</v>
      </c>
      <c r="LM21" s="286">
        <f>'Data-temp_employment'!LM21-last_qrtr_tempemp!LN21</f>
        <v>-2.2000000000000002</v>
      </c>
      <c r="LN21" s="286">
        <f>'Data-temp_employment'!LN21-last_qrtr_tempemp!LO21</f>
        <v>-0.40000000000000036</v>
      </c>
      <c r="LO21" s="286">
        <f>'Data-temp_employment'!LO21-last_qrtr_tempemp!LP21</f>
        <v>2.5</v>
      </c>
      <c r="LP21" s="286">
        <f>'Data-temp_employment'!LP21-last_qrtr_tempemp!LQ21</f>
        <v>0.69999999999999973</v>
      </c>
      <c r="LQ21" s="286">
        <f>'Data-temp_employment'!LQ21-last_qrtr_tempemp!LR21</f>
        <v>2.4000000000000004</v>
      </c>
      <c r="LR21" s="286">
        <f>'Data-temp_employment'!LR21-last_qrtr_tempemp!LS21</f>
        <v>1.7000000000000002</v>
      </c>
      <c r="LS21" s="286">
        <f>'Data-temp_employment'!LS21</f>
        <v>4.4000000000000004</v>
      </c>
      <c r="LT21" s="285" t="s">
        <v>23</v>
      </c>
      <c r="LU21" s="286">
        <f>'Data-temp_employment'!LU21-last_qrtr_tempemp!LV21</f>
        <v>2.2999999999999998</v>
      </c>
      <c r="LV21" s="286">
        <f>'Data-temp_employment'!LV21-last_qrtr_tempemp!LW21</f>
        <v>-0.39999999999999991</v>
      </c>
      <c r="LW21" s="286">
        <f>'Data-temp_employment'!LW21-last_qrtr_tempemp!LX21</f>
        <v>-0.70000000000000018</v>
      </c>
      <c r="LX21" s="286">
        <f>'Data-temp_employment'!LX21-last_qrtr_tempemp!LY21</f>
        <v>-2.2999999999999998</v>
      </c>
      <c r="LY21" s="286">
        <f>'Data-temp_employment'!LY21-last_qrtr_tempemp!LZ21</f>
        <v>-0.10000000000000009</v>
      </c>
      <c r="LZ21" s="286">
        <f>'Data-temp_employment'!LZ21-last_qrtr_tempemp!MA21</f>
        <v>-2.4</v>
      </c>
      <c r="MA21" s="286">
        <f>'Data-temp_employment'!MA21-last_qrtr_tempemp!MB21</f>
        <v>0</v>
      </c>
      <c r="MB21" s="286">
        <f>'Data-temp_employment'!MB21-last_qrtr_tempemp!MC21</f>
        <v>-2.2999999999999998</v>
      </c>
      <c r="MC21" s="286">
        <f>'Data-temp_employment'!MC21-last_qrtr_tempemp!MD21</f>
        <v>0</v>
      </c>
      <c r="MD21" s="286">
        <f>'Data-temp_employment'!MD21</f>
        <v>0</v>
      </c>
      <c r="ME21" s="285" t="s">
        <v>23</v>
      </c>
      <c r="MF21" s="286">
        <f>'Data-temp_employment'!MF21-last_qrtr_tempemp!MG21</f>
        <v>4.6999999999999993</v>
      </c>
      <c r="MG21" s="286">
        <f>'Data-temp_employment'!MG21-last_qrtr_tempemp!MH21</f>
        <v>-0.5</v>
      </c>
      <c r="MH21" s="286">
        <f>'Data-temp_employment'!MH21-last_qrtr_tempemp!MI21</f>
        <v>-0.90000000000000036</v>
      </c>
      <c r="MI21" s="286">
        <f>'Data-temp_employment'!MI21-last_qrtr_tempemp!MJ21</f>
        <v>-5.9</v>
      </c>
      <c r="MJ21" s="286">
        <f>'Data-temp_employment'!MJ21-last_qrtr_tempemp!MK21</f>
        <v>-2.7</v>
      </c>
      <c r="MK21" s="286">
        <f>'Data-temp_employment'!MK21-last_qrtr_tempemp!ML21</f>
        <v>-2.3999999999999995</v>
      </c>
      <c r="ML21" s="286">
        <f>'Data-temp_employment'!ML21-last_qrtr_tempemp!MM21</f>
        <v>-9.9999999999999645E-2</v>
      </c>
      <c r="MM21" s="286">
        <f>'Data-temp_employment'!MM21-last_qrtr_tempemp!MN21</f>
        <v>0</v>
      </c>
      <c r="MN21" s="286">
        <f>'Data-temp_employment'!MN21-last_qrtr_tempemp!MO21</f>
        <v>0.29999999999999982</v>
      </c>
      <c r="MO21" s="286">
        <f>'Data-temp_employment'!MO21</f>
        <v>6.4</v>
      </c>
      <c r="MP21" s="285" t="s">
        <v>23</v>
      </c>
      <c r="MQ21" s="286">
        <f>'Data-temp_employment'!MQ21-last_qrtr_tempemp!MR21</f>
        <v>-3</v>
      </c>
      <c r="MR21" s="286">
        <f>'Data-temp_employment'!MR21-last_qrtr_tempemp!MS21</f>
        <v>-4.9000000000000004</v>
      </c>
      <c r="MS21" s="286">
        <f>'Data-temp_employment'!MS21-last_qrtr_tempemp!MT21</f>
        <v>0.80000000000000071</v>
      </c>
      <c r="MT21" s="286">
        <f>'Data-temp_employment'!MT21-last_qrtr_tempemp!MU21</f>
        <v>1.7999999999999989</v>
      </c>
      <c r="MU21" s="286">
        <f>'Data-temp_employment'!MU21-last_qrtr_tempemp!MV21</f>
        <v>0.20000000000000107</v>
      </c>
      <c r="MV21" s="286">
        <f>'Data-temp_employment'!MV21-last_qrtr_tempemp!MW21</f>
        <v>3.2999999999999989</v>
      </c>
      <c r="MW21" s="286">
        <f>'Data-temp_employment'!MW21-last_qrtr_tempemp!MX21</f>
        <v>6.3000000000000007</v>
      </c>
      <c r="MX21" s="286">
        <f>'Data-temp_employment'!MX21-last_qrtr_tempemp!MY21</f>
        <v>1.5999999999999996</v>
      </c>
      <c r="MY21" s="286">
        <f>'Data-temp_employment'!MY21-last_qrtr_tempemp!MZ21</f>
        <v>-4.8999999999999986</v>
      </c>
      <c r="MZ21" s="286">
        <f>'Data-temp_employment'!MZ21</f>
        <v>12.6</v>
      </c>
      <c r="NA21" s="285" t="s">
        <v>23</v>
      </c>
      <c r="NB21" s="286">
        <f>'Data-temp_employment'!NB21-last_qrtr_tempemp!NC21</f>
        <v>2.3999999999999986</v>
      </c>
      <c r="NC21" s="286">
        <f>'Data-temp_employment'!NC21-last_qrtr_tempemp!ND21</f>
        <v>2</v>
      </c>
      <c r="ND21" s="286">
        <f>'Data-temp_employment'!ND21-last_qrtr_tempemp!NE21</f>
        <v>2.1999999999999993</v>
      </c>
      <c r="NE21" s="286">
        <f>'Data-temp_employment'!NE21-last_qrtr_tempemp!NF21</f>
        <v>1.1999999999999993</v>
      </c>
      <c r="NF21" s="286">
        <f>'Data-temp_employment'!NF21-last_qrtr_tempemp!NG21</f>
        <v>-1.1000000000000014</v>
      </c>
      <c r="NG21" s="286">
        <f>'Data-temp_employment'!NG21-last_qrtr_tempemp!NH21</f>
        <v>2.0999999999999979</v>
      </c>
      <c r="NH21" s="286">
        <f>'Data-temp_employment'!NH21-last_qrtr_tempemp!NI21</f>
        <v>3.7000000000000028</v>
      </c>
      <c r="NI21" s="286">
        <f>'Data-temp_employment'!NI21-last_qrtr_tempemp!NJ21</f>
        <v>2.6000000000000014</v>
      </c>
      <c r="NJ21" s="286">
        <f>'Data-temp_employment'!NJ21-last_qrtr_tempemp!NK21</f>
        <v>-2.6999999999999993</v>
      </c>
      <c r="NK21" s="286">
        <f>'Data-temp_employment'!NK21</f>
        <v>17.899999999999999</v>
      </c>
      <c r="NL21" s="285" t="s">
        <v>23</v>
      </c>
      <c r="NM21" s="286">
        <f>'Data-temp_employment'!NM21-last_qrtr_tempemp!NN21</f>
        <v>1.7000000000000028</v>
      </c>
      <c r="NN21" s="286">
        <f>'Data-temp_employment'!NN21-last_qrtr_tempemp!NO21</f>
        <v>17.100000000000001</v>
      </c>
      <c r="NO21" s="286">
        <f>'Data-temp_employment'!NO21-last_qrtr_tempemp!NP21</f>
        <v>-8.5000000000000036</v>
      </c>
      <c r="NP21" s="286">
        <f>'Data-temp_employment'!NP21-last_qrtr_tempemp!NQ21</f>
        <v>-5.4000000000000057</v>
      </c>
      <c r="NQ21" s="286">
        <f>'Data-temp_employment'!NQ21-last_qrtr_tempemp!NR21</f>
        <v>1.7999999999999972</v>
      </c>
      <c r="NR21" s="286">
        <f>'Data-temp_employment'!NR21-last_qrtr_tempemp!NS21</f>
        <v>14.400000000000002</v>
      </c>
      <c r="NS21" s="286">
        <f>'Data-temp_employment'!NS21-last_qrtr_tempemp!NT21</f>
        <v>-4.8999999999999986</v>
      </c>
      <c r="NT21" s="286">
        <f>'Data-temp_employment'!NT21-last_qrtr_tempemp!NU21</f>
        <v>-2.2999999999999972</v>
      </c>
      <c r="NU21" s="286">
        <f>'Data-temp_employment'!NU21-last_qrtr_tempemp!NV21</f>
        <v>-0.60000000000000142</v>
      </c>
      <c r="NV21" s="286">
        <f>'Data-temp_employment'!NV21</f>
        <v>44.2</v>
      </c>
      <c r="NW21" s="285" t="s">
        <v>23</v>
      </c>
      <c r="NX21" s="286">
        <f>'Data-temp_employment'!NX21-last_qrtr_tempemp!NY21</f>
        <v>1.5</v>
      </c>
      <c r="NY21" s="286">
        <f>'Data-temp_employment'!NY21-last_qrtr_tempemp!NZ21</f>
        <v>1</v>
      </c>
      <c r="NZ21" s="286">
        <f>'Data-temp_employment'!NZ21-last_qrtr_tempemp!OA21</f>
        <v>0.10000000000000142</v>
      </c>
      <c r="OA21" s="286">
        <f>'Data-temp_employment'!OA21-last_qrtr_tempemp!OB21</f>
        <v>0.60000000000000142</v>
      </c>
      <c r="OB21" s="286">
        <f>'Data-temp_employment'!OB21-last_qrtr_tempemp!OC21</f>
        <v>1.6000000000000014</v>
      </c>
      <c r="OC21" s="286">
        <f>'Data-temp_employment'!OC21-last_qrtr_tempemp!OD21</f>
        <v>3.7999999999999972</v>
      </c>
      <c r="OD21" s="286">
        <f>'Data-temp_employment'!OD21-last_qrtr_tempemp!OE21</f>
        <v>5.3999999999999986</v>
      </c>
      <c r="OE21" s="286">
        <f>'Data-temp_employment'!OE21-last_qrtr_tempemp!OF21</f>
        <v>0.60000000000000142</v>
      </c>
      <c r="OF21" s="286">
        <f>'Data-temp_employment'!OF21-last_qrtr_tempemp!OG21</f>
        <v>-2.8999999999999986</v>
      </c>
      <c r="OG21" s="286">
        <f>'Data-temp_employment'!OG21</f>
        <v>20.399999999999999</v>
      </c>
      <c r="OH21" s="287" t="s">
        <v>23</v>
      </c>
      <c r="OI21" s="286"/>
      <c r="OJ21" s="286"/>
      <c r="OK21" s="286"/>
      <c r="OL21" s="286"/>
      <c r="OM21" s="286"/>
      <c r="ON21" s="286"/>
      <c r="OO21" s="286"/>
      <c r="OP21" s="286"/>
      <c r="OQ21" s="286"/>
      <c r="OR21" s="286"/>
      <c r="OS21" s="285" t="s">
        <v>23</v>
      </c>
      <c r="OT21" s="286" t="e">
        <f>'Data-temp_employment'!#REF!-last_qrtr_tempemp!OU21</f>
        <v>#REF!</v>
      </c>
      <c r="OU21" s="286">
        <f>'Data-temp_employment'!OT21-last_qrtr_tempemp!OV21</f>
        <v>-0.7</v>
      </c>
      <c r="OV21" s="286">
        <f>'Data-temp_employment'!OU21-last_qrtr_tempemp!OW21</f>
        <v>-1.5</v>
      </c>
      <c r="OW21" s="286">
        <f>'Data-temp_employment'!OV21-last_qrtr_tempemp!OX21</f>
        <v>0.7</v>
      </c>
      <c r="OX21" s="286">
        <f>'Data-temp_employment'!OW21-last_qrtr_tempemp!OY21</f>
        <v>-1.0999999999999999</v>
      </c>
      <c r="OY21" s="286">
        <f>'Data-temp_employment'!OX21-last_qrtr_tempemp!OZ21</f>
        <v>-0.4</v>
      </c>
      <c r="OZ21" s="286">
        <f>'Data-temp_employment'!OY21-last_qrtr_tempemp!PA21</f>
        <v>0.5</v>
      </c>
      <c r="PA21" s="286">
        <f>'Data-temp_employment'!OZ21-last_qrtr_tempemp!PB21</f>
        <v>-0.8</v>
      </c>
      <c r="PB21" s="286">
        <f>'Data-temp_employment'!PA21-last_qrtr_tempemp!PC21</f>
        <v>-0.7</v>
      </c>
      <c r="PC21" s="286">
        <f>'Data-temp_employment'!PB21</f>
        <v>0.5</v>
      </c>
      <c r="PE21" s="319"/>
      <c r="PF21" s="319"/>
      <c r="PG21" s="319"/>
      <c r="PH21" s="319"/>
      <c r="PI21" s="319"/>
      <c r="PJ21" s="319"/>
      <c r="PK21" s="319"/>
      <c r="PL21" s="319"/>
      <c r="PM21" s="319"/>
      <c r="PN21" s="319"/>
      <c r="PO21" s="319"/>
      <c r="PP21" s="319"/>
      <c r="PQ21" s="319"/>
      <c r="PR21" s="319"/>
      <c r="PS21" s="319"/>
      <c r="PT21" s="319"/>
      <c r="PU21" s="319"/>
      <c r="PV21" s="319"/>
      <c r="PW21" s="319"/>
      <c r="PX21" s="319"/>
      <c r="PY21" s="319"/>
      <c r="PZ21" s="319"/>
      <c r="QA21" s="319"/>
      <c r="QB21" s="319"/>
      <c r="QC21" s="319"/>
      <c r="QD21" s="319"/>
      <c r="QE21" s="319"/>
      <c r="QF21" s="319"/>
      <c r="QG21" s="319"/>
      <c r="QH21" s="319"/>
      <c r="QI21" s="319"/>
      <c r="QJ21" s="319"/>
      <c r="QK21" s="319"/>
      <c r="QL21" s="319"/>
      <c r="QM21" s="319"/>
      <c r="QN21" s="319"/>
      <c r="QO21" s="319"/>
      <c r="QP21" s="319"/>
      <c r="QQ21" s="319"/>
      <c r="QR21" s="319"/>
      <c r="QS21" s="319"/>
      <c r="QT21" s="319"/>
      <c r="QU21" s="319"/>
      <c r="QV21" s="319"/>
      <c r="QW21" s="319"/>
      <c r="QX21" s="319"/>
      <c r="QY21" s="319"/>
      <c r="QZ21" s="319"/>
      <c r="RA21" s="319"/>
      <c r="RB21" s="319"/>
      <c r="RC21" s="319"/>
      <c r="RD21" s="319"/>
      <c r="RE21" s="319"/>
      <c r="RF21" s="319"/>
      <c r="RG21" s="319"/>
      <c r="RH21" s="319"/>
      <c r="RI21" s="319"/>
      <c r="RJ21" s="319"/>
      <c r="RK21" s="319"/>
      <c r="RL21" s="319"/>
      <c r="RM21" s="319"/>
      <c r="RN21" s="319"/>
      <c r="RO21" s="319"/>
      <c r="RP21" s="319"/>
    </row>
    <row r="22" spans="1:485">
      <c r="A22" s="272">
        <v>19</v>
      </c>
      <c r="B22" s="285" t="s">
        <v>32</v>
      </c>
      <c r="C22" s="286">
        <f>'Data-temp_employment'!C22-last_qrtr_tempemp!D22</f>
        <v>-1.9000000000000004</v>
      </c>
      <c r="D22" s="286">
        <f>'Data-temp_employment'!D22-last_qrtr_tempemp!E22</f>
        <v>-2</v>
      </c>
      <c r="E22" s="286">
        <f>'Data-temp_employment'!E22-last_qrtr_tempemp!F22</f>
        <v>-1.9000000000000004</v>
      </c>
      <c r="F22" s="286">
        <f>'Data-temp_employment'!F22-last_qrtr_tempemp!G22</f>
        <v>-9.9999999999999645E-2</v>
      </c>
      <c r="G22" s="286">
        <f>'Data-temp_employment'!G22-last_qrtr_tempemp!H22</f>
        <v>-1.5</v>
      </c>
      <c r="H22" s="286">
        <f>'Data-temp_employment'!H22-last_qrtr_tempemp!I22</f>
        <v>-0.90000000000000036</v>
      </c>
      <c r="I22" s="286">
        <f>'Data-temp_employment'!I22-last_qrtr_tempemp!J22</f>
        <v>-0.20000000000000107</v>
      </c>
      <c r="J22" s="286">
        <f>'Data-temp_employment'!J22-last_qrtr_tempemp!K22</f>
        <v>-0.29999999999999893</v>
      </c>
      <c r="K22" s="286">
        <f>'Data-temp_employment'!K22-last_qrtr_tempemp!L22</f>
        <v>-1.7999999999999989</v>
      </c>
      <c r="L22" s="286">
        <f>'Data-temp_employment'!L22</f>
        <v>7.7</v>
      </c>
      <c r="M22" s="285" t="s">
        <v>32</v>
      </c>
      <c r="N22" s="286">
        <f>'Data-temp_employment'!N22-last_qrtr_tempemp!O22</f>
        <v>-66.799999999999955</v>
      </c>
      <c r="O22" s="286">
        <f>'Data-temp_employment'!O22-last_qrtr_tempemp!P22</f>
        <v>-70</v>
      </c>
      <c r="P22" s="286">
        <f>'Data-temp_employment'!P22-last_qrtr_tempemp!Q22</f>
        <v>-56.5</v>
      </c>
      <c r="Q22" s="286">
        <f>'Data-temp_employment'!Q22-last_qrtr_tempemp!R22</f>
        <v>10.399999999999977</v>
      </c>
      <c r="R22" s="286">
        <f>'Data-temp_employment'!R22-last_qrtr_tempemp!S22</f>
        <v>-52.899999999999977</v>
      </c>
      <c r="S22" s="286">
        <f>'Data-temp_employment'!S22-last_qrtr_tempemp!T22</f>
        <v>-30.199999999999989</v>
      </c>
      <c r="T22" s="286">
        <f>'Data-temp_employment'!T22-last_qrtr_tempemp!U22</f>
        <v>-5.5</v>
      </c>
      <c r="U22" s="286">
        <f>'Data-temp_employment'!U22-last_qrtr_tempemp!V22</f>
        <v>-5.1999999999999886</v>
      </c>
      <c r="V22" s="286">
        <f>'Data-temp_employment'!V22-last_qrtr_tempemp!W22</f>
        <v>-71.700000000000045</v>
      </c>
      <c r="W22" s="286">
        <f>'Data-temp_employment'!W22</f>
        <v>305.89999999999998</v>
      </c>
      <c r="X22" s="285" t="s">
        <v>32</v>
      </c>
      <c r="Y22" s="286">
        <f>'Data-temp_employment'!Y22-last_qrtr_tempemp!Z22</f>
        <v>-7.8999999999999986</v>
      </c>
      <c r="Z22" s="286">
        <f>'Data-temp_employment'!Z22-last_qrtr_tempemp!AA22</f>
        <v>-3.3000000000000007</v>
      </c>
      <c r="AA22" s="286">
        <f>'Data-temp_employment'!AA22-last_qrtr_tempemp!AB22</f>
        <v>3.3000000000000007</v>
      </c>
      <c r="AB22" s="286">
        <f>'Data-temp_employment'!AB22-last_qrtr_tempemp!AC22</f>
        <v>4</v>
      </c>
      <c r="AC22" s="286">
        <f>'Data-temp_employment'!AC22-last_qrtr_tempemp!AD22</f>
        <v>0.5</v>
      </c>
      <c r="AD22" s="286">
        <f>'Data-temp_employment'!AD22-last_qrtr_tempemp!AE22</f>
        <v>0.30000000000000071</v>
      </c>
      <c r="AE22" s="286">
        <f>'Data-temp_employment'!AE22-last_qrtr_tempemp!AF22</f>
        <v>2.5</v>
      </c>
      <c r="AF22" s="286">
        <f>'Data-temp_employment'!AF22-last_qrtr_tempemp!AG22</f>
        <v>2.3000000000000007</v>
      </c>
      <c r="AG22" s="286">
        <f>'Data-temp_employment'!AG22-last_qrtr_tempemp!AH22</f>
        <v>-5.5</v>
      </c>
      <c r="AH22" s="286">
        <f>'Data-temp_employment'!AH22</f>
        <v>17.100000000000001</v>
      </c>
      <c r="AI22" s="285" t="s">
        <v>32</v>
      </c>
      <c r="AJ22" s="286">
        <f>'Data-temp_employment'!AJ22-last_qrtr_tempemp!AK22</f>
        <v>-30.699999999999989</v>
      </c>
      <c r="AK22" s="286">
        <f>'Data-temp_employment'!AK22-last_qrtr_tempemp!AL22</f>
        <v>-55.2</v>
      </c>
      <c r="AL22" s="286">
        <f>'Data-temp_employment'!AL22-last_qrtr_tempemp!AM22</f>
        <v>-52.2</v>
      </c>
      <c r="AM22" s="286">
        <f>'Data-temp_employment'!AM22-last_qrtr_tempemp!AN22</f>
        <v>-16.500000000000007</v>
      </c>
      <c r="AN22" s="286">
        <f>'Data-temp_employment'!AN22-last_qrtr_tempemp!AO22</f>
        <v>-9.5</v>
      </c>
      <c r="AO22" s="286">
        <f>'Data-temp_employment'!AO22-last_qrtr_tempemp!AP22</f>
        <v>-3.4000000000000057</v>
      </c>
      <c r="AP22" s="286">
        <f>'Data-temp_employment'!AP22-last_qrtr_tempemp!AQ22</f>
        <v>13.500000000000007</v>
      </c>
      <c r="AQ22" s="286">
        <f>'Data-temp_employment'!AQ22-last_qrtr_tempemp!AR22</f>
        <v>13.400000000000006</v>
      </c>
      <c r="AR22" s="286">
        <f>'Data-temp_employment'!AR22-last_qrtr_tempemp!AS22</f>
        <v>-2.0999999999999943</v>
      </c>
      <c r="AS22" s="286">
        <f>'Data-temp_employment'!AS22</f>
        <v>62.8</v>
      </c>
      <c r="AT22" s="285" t="s">
        <v>32</v>
      </c>
      <c r="AU22" s="286">
        <f>'Data-temp_employment'!AU22-last_qrtr_tempemp!AV22</f>
        <v>-39.600000000000009</v>
      </c>
      <c r="AV22" s="286">
        <f>'Data-temp_employment'!AV22-last_qrtr_tempemp!AW22</f>
        <v>-39.599999999999994</v>
      </c>
      <c r="AW22" s="286">
        <f>'Data-temp_employment'!AW22-last_qrtr_tempemp!AX22</f>
        <v>-38.100000000000009</v>
      </c>
      <c r="AX22" s="286">
        <f>'Data-temp_employment'!AX22-last_qrtr_tempemp!AY22</f>
        <v>-14.099999999999994</v>
      </c>
      <c r="AY22" s="286">
        <f>'Data-temp_employment'!AY22-last_qrtr_tempemp!AZ22</f>
        <v>-25.600000000000009</v>
      </c>
      <c r="AZ22" s="286">
        <f>'Data-temp_employment'!AZ22-last_qrtr_tempemp!BA22</f>
        <v>-6.2999999999999972</v>
      </c>
      <c r="BA22" s="286">
        <f>'Data-temp_employment'!BA22-last_qrtr_tempemp!BB22</f>
        <v>-1.7000000000000028</v>
      </c>
      <c r="BB22" s="286">
        <f>'Data-temp_employment'!BB22-last_qrtr_tempemp!BC22</f>
        <v>-12.199999999999996</v>
      </c>
      <c r="BC22" s="286">
        <f>'Data-temp_employment'!BC22-last_qrtr_tempemp!BD22</f>
        <v>-16.5</v>
      </c>
      <c r="BD22" s="286">
        <f>'Data-temp_employment'!BD22</f>
        <v>68.3</v>
      </c>
      <c r="BE22" s="285" t="s">
        <v>32</v>
      </c>
      <c r="BF22" s="286">
        <f>'Data-temp_employment'!BF22-last_qrtr_tempemp!BG22</f>
        <v>16</v>
      </c>
      <c r="BG22" s="286">
        <f>'Data-temp_employment'!BG22-last_qrtr_tempemp!BH22</f>
        <v>29.5</v>
      </c>
      <c r="BH22" s="286">
        <f>'Data-temp_employment'!BH22-last_qrtr_tempemp!BI22</f>
        <v>34.299999999999983</v>
      </c>
      <c r="BI22" s="286">
        <f>'Data-temp_employment'!BI22-last_qrtr_tempemp!BJ22</f>
        <v>35</v>
      </c>
      <c r="BJ22" s="286">
        <f>'Data-temp_employment'!BJ22-last_qrtr_tempemp!BK22</f>
        <v>-7.8999999999999773</v>
      </c>
      <c r="BK22" s="286">
        <f>'Data-temp_employment'!BK22-last_qrtr_tempemp!BL22</f>
        <v>-15.400000000000006</v>
      </c>
      <c r="BL22" s="286">
        <f>'Data-temp_employment'!BL22-last_qrtr_tempemp!BM22</f>
        <v>-14.299999999999983</v>
      </c>
      <c r="BM22" s="286">
        <f>'Data-temp_employment'!BM22-last_qrtr_tempemp!BN22</f>
        <v>-8.9000000000000057</v>
      </c>
      <c r="BN22" s="286">
        <f>'Data-temp_employment'!BN22-last_qrtr_tempemp!BO22</f>
        <v>-39.799999999999983</v>
      </c>
      <c r="BO22" s="286">
        <f>'Data-temp_employment'!BO22</f>
        <v>135.80000000000001</v>
      </c>
      <c r="BP22" s="285" t="s">
        <v>32</v>
      </c>
      <c r="BQ22" s="286">
        <f>'Data-temp_employment'!BQ22-last_qrtr_tempemp!BR22</f>
        <v>-4</v>
      </c>
      <c r="BR22" s="286">
        <f>'Data-temp_employment'!BR22-last_qrtr_tempemp!BS22</f>
        <v>0.5</v>
      </c>
      <c r="BS22" s="286">
        <f>'Data-temp_employment'!BS22-last_qrtr_tempemp!BT22</f>
        <v>0.10000000000000142</v>
      </c>
      <c r="BT22" s="286">
        <f>'Data-temp_employment'!BT22-last_qrtr_tempemp!BU22</f>
        <v>5.8000000000000007</v>
      </c>
      <c r="BU22" s="286">
        <f>'Data-temp_employment'!BU22-last_qrtr_tempemp!BV22</f>
        <v>-3.5</v>
      </c>
      <c r="BV22" s="286">
        <f>'Data-temp_employment'!BV22-last_qrtr_tempemp!BW22</f>
        <v>-0.30000000000000071</v>
      </c>
      <c r="BW22" s="286">
        <f>'Data-temp_employment'!BW22-last_qrtr_tempemp!BX22</f>
        <v>-4.9000000000000004</v>
      </c>
      <c r="BX22" s="286">
        <f>'Data-temp_employment'!BX22-last_qrtr_tempemp!BY22</f>
        <v>-0.5</v>
      </c>
      <c r="BY22" s="286">
        <f>'Data-temp_employment'!BY22-last_qrtr_tempemp!BZ22</f>
        <v>-5</v>
      </c>
      <c r="BZ22" s="286">
        <f>'Data-temp_employment'!BZ22</f>
        <v>15.4</v>
      </c>
      <c r="CA22" s="285" t="s">
        <v>32</v>
      </c>
      <c r="CB22" s="286">
        <f>'Data-temp_employment'!CB22-last_qrtr_tempemp!CC22</f>
        <v>-0.59999999999999964</v>
      </c>
      <c r="CC22" s="286">
        <f>'Data-temp_employment'!CC22-last_qrtr_tempemp!CD22</f>
        <v>-2</v>
      </c>
      <c r="CD22" s="286">
        <f>'Data-temp_employment'!CD22-last_qrtr_tempemp!CE22</f>
        <v>-3.9000000000000021</v>
      </c>
      <c r="CE22" s="286">
        <f>'Data-temp_employment'!CE22-last_qrtr_tempemp!CF22</f>
        <v>-3.9000000000000004</v>
      </c>
      <c r="CF22" s="286">
        <f>'Data-temp_employment'!CF22-last_qrtr_tempemp!CG22</f>
        <v>-6.7999999999999989</v>
      </c>
      <c r="CG22" s="286">
        <f>'Data-temp_employment'!CG22-last_qrtr_tempemp!CH22</f>
        <v>-4.8999999999999986</v>
      </c>
      <c r="CH22" s="286">
        <f>'Data-temp_employment'!CH22-last_qrtr_tempemp!CI22</f>
        <v>-0.39999999999999858</v>
      </c>
      <c r="CI22" s="286">
        <f>'Data-temp_employment'!CI22-last_qrtr_tempemp!CJ22</f>
        <v>0.70000000000000107</v>
      </c>
      <c r="CJ22" s="286">
        <f>'Data-temp_employment'!CJ22-last_qrtr_tempemp!CK22</f>
        <v>-3</v>
      </c>
      <c r="CK22" s="286">
        <f>'Data-temp_employment'!CK22</f>
        <v>4.9000000000000004</v>
      </c>
      <c r="CL22" s="285" t="s">
        <v>32</v>
      </c>
      <c r="CM22" s="286">
        <f>'Data-temp_employment'!CM22-last_qrtr_tempemp!CN22</f>
        <v>-8.6000000000000227</v>
      </c>
      <c r="CN22" s="286">
        <f>'Data-temp_employment'!CN22-last_qrtr_tempemp!CO22</f>
        <v>-7.4000000000000057</v>
      </c>
      <c r="CO22" s="286">
        <f>'Data-temp_employment'!CO22-last_qrtr_tempemp!CP22</f>
        <v>-3.6999999999999886</v>
      </c>
      <c r="CP22" s="286">
        <f>'Data-temp_employment'!CP22-last_qrtr_tempemp!CQ22</f>
        <v>20.100000000000023</v>
      </c>
      <c r="CQ22" s="286">
        <f>'Data-temp_employment'!CQ22-last_qrtr_tempemp!CR22</f>
        <v>-16.599999999999994</v>
      </c>
      <c r="CR22" s="286">
        <f>'Data-temp_employment'!CR22-last_qrtr_tempemp!CS22</f>
        <v>-12.300000000000011</v>
      </c>
      <c r="CS22" s="286">
        <f>'Data-temp_employment'!CS22-last_qrtr_tempemp!CT22</f>
        <v>-7.2000000000000171</v>
      </c>
      <c r="CT22" s="286">
        <f>'Data-temp_employment'!CT22-last_qrtr_tempemp!CU22</f>
        <v>-5.8000000000000114</v>
      </c>
      <c r="CU22" s="286">
        <f>'Data-temp_employment'!CU22-last_qrtr_tempemp!CV22</f>
        <v>-28.799999999999983</v>
      </c>
      <c r="CV22" s="286">
        <f>'Data-temp_employment'!CV22</f>
        <v>134.4</v>
      </c>
      <c r="CW22" s="285" t="s">
        <v>32</v>
      </c>
      <c r="CX22" s="286">
        <f>'Data-temp_employment'!CX22-last_qrtr_tempemp!CY22</f>
        <v>-47.599999999999994</v>
      </c>
      <c r="CY22" s="286">
        <f>'Data-temp_employment'!CY22-last_qrtr_tempemp!CZ22</f>
        <v>-51.900000000000006</v>
      </c>
      <c r="CZ22" s="286">
        <f>'Data-temp_employment'!CZ22-last_qrtr_tempemp!DA22</f>
        <v>-32.5</v>
      </c>
      <c r="DA22" s="286">
        <f>'Data-temp_employment'!DA22-last_qrtr_tempemp!DB22</f>
        <v>-10.700000000000017</v>
      </c>
      <c r="DB22" s="286">
        <f>'Data-temp_employment'!DB22-last_qrtr_tempemp!DC22</f>
        <v>-27.099999999999994</v>
      </c>
      <c r="DC22" s="286">
        <f>'Data-temp_employment'!DC22-last_qrtr_tempemp!DD22</f>
        <v>-21.800000000000011</v>
      </c>
      <c r="DD22" s="286">
        <f>'Data-temp_employment'!DD22-last_qrtr_tempemp!DE22</f>
        <v>8.5</v>
      </c>
      <c r="DE22" s="286">
        <f>'Data-temp_employment'!DE22-last_qrtr_tempemp!DF22</f>
        <v>3.5999999999999943</v>
      </c>
      <c r="DF22" s="286">
        <f>'Data-temp_employment'!DF22-last_qrtr_tempemp!DG22</f>
        <v>-35.900000000000006</v>
      </c>
      <c r="DG22" s="286">
        <f>'Data-temp_employment'!DG22</f>
        <v>148.5</v>
      </c>
      <c r="DH22" s="285" t="s">
        <v>32</v>
      </c>
      <c r="DI22" s="286">
        <f>'Data-temp_employment'!DI22-last_qrtr_tempemp!DJ22</f>
        <v>-10.700000000000003</v>
      </c>
      <c r="DJ22" s="286">
        <f>'Data-temp_employment'!DJ22-last_qrtr_tempemp!DK22</f>
        <v>-10.599999999999994</v>
      </c>
      <c r="DK22" s="286">
        <f>'Data-temp_employment'!DK22-last_qrtr_tempemp!DL22</f>
        <v>-20.299999999999997</v>
      </c>
      <c r="DL22" s="286">
        <f>'Data-temp_employment'!DL22-last_qrtr_tempemp!DM22</f>
        <v>0.89999999999999858</v>
      </c>
      <c r="DM22" s="286">
        <f>'Data-temp_employment'!DM22-last_qrtr_tempemp!DN22</f>
        <v>-9.1000000000000014</v>
      </c>
      <c r="DN22" s="286">
        <f>'Data-temp_employment'!DN22-last_qrtr_tempemp!DO22</f>
        <v>3.8999999999999986</v>
      </c>
      <c r="DO22" s="286">
        <f>'Data-temp_employment'!DO22-last_qrtr_tempemp!DP22</f>
        <v>-6.5999999999999979</v>
      </c>
      <c r="DP22" s="286">
        <f>'Data-temp_employment'!DP22-last_qrtr_tempemp!DQ22</f>
        <v>-3.1000000000000014</v>
      </c>
      <c r="DQ22" s="286">
        <f>'Data-temp_employment'!DQ22-last_qrtr_tempemp!DR22</f>
        <v>-7</v>
      </c>
      <c r="DR22" s="286">
        <f>'Data-temp_employment'!DR22</f>
        <v>23</v>
      </c>
      <c r="DS22" s="285" t="s">
        <v>32</v>
      </c>
      <c r="DT22" s="286">
        <f>'Data-temp_employment'!DT22-last_qrtr_tempemp!DU22</f>
        <v>0</v>
      </c>
      <c r="DU22" s="286">
        <f>'Data-temp_employment'!DU22-last_qrtr_tempemp!DV22</f>
        <v>0</v>
      </c>
      <c r="DV22" s="286">
        <f>'Data-temp_employment'!DV22-last_qrtr_tempemp!DW22</f>
        <v>0</v>
      </c>
      <c r="DW22" s="286">
        <f>'Data-temp_employment'!DW22-last_qrtr_tempemp!DX22</f>
        <v>0</v>
      </c>
      <c r="DX22" s="286">
        <f>'Data-temp_employment'!DX22-last_qrtr_tempemp!DY22</f>
        <v>0</v>
      </c>
      <c r="DY22" s="286">
        <f>'Data-temp_employment'!DY22-last_qrtr_tempemp!DZ22</f>
        <v>0</v>
      </c>
      <c r="DZ22" s="286">
        <f>'Data-temp_employment'!DZ22-last_qrtr_tempemp!EA22</f>
        <v>0</v>
      </c>
      <c r="EA22" s="286">
        <f>'Data-temp_employment'!EA22-last_qrtr_tempemp!EB22</f>
        <v>0</v>
      </c>
      <c r="EB22" s="286">
        <f>'Data-temp_employment'!EB22-last_qrtr_tempemp!EC22</f>
        <v>0</v>
      </c>
      <c r="EC22" s="286">
        <f>'Data-temp_employment'!EC22</f>
        <v>0</v>
      </c>
      <c r="ED22" s="285" t="s">
        <v>32</v>
      </c>
      <c r="EE22" s="286">
        <f>'Data-temp_employment'!EE22-last_qrtr_tempemp!EF22</f>
        <v>0.20000000000000018</v>
      </c>
      <c r="EF22" s="286">
        <f>'Data-temp_employment'!EF22-last_qrtr_tempemp!EG22</f>
        <v>0</v>
      </c>
      <c r="EG22" s="286">
        <f>'Data-temp_employment'!EG22-last_qrtr_tempemp!EH22</f>
        <v>-0.30000000000000027</v>
      </c>
      <c r="EH22" s="286">
        <f>'Data-temp_employment'!EH22-last_qrtr_tempemp!EI22</f>
        <v>-0.80000000000000027</v>
      </c>
      <c r="EI22" s="286">
        <f>'Data-temp_employment'!EI22-last_qrtr_tempemp!EJ22</f>
        <v>-2.7</v>
      </c>
      <c r="EJ22" s="286">
        <f>'Data-temp_employment'!EJ22-last_qrtr_tempemp!EK22</f>
        <v>0.90000000000000036</v>
      </c>
      <c r="EK22" s="286">
        <f>'Data-temp_employment'!EK22-last_qrtr_tempemp!EL22</f>
        <v>0</v>
      </c>
      <c r="EL22" s="286">
        <f>'Data-temp_employment'!EL22-last_qrtr_tempemp!EM22</f>
        <v>2.7</v>
      </c>
      <c r="EM22" s="286">
        <f>'Data-temp_employment'!EM22-last_qrtr_tempemp!EN22</f>
        <v>-3.7</v>
      </c>
      <c r="EN22" s="286">
        <f>'Data-temp_employment'!EN22</f>
        <v>0</v>
      </c>
      <c r="EO22" s="285" t="s">
        <v>32</v>
      </c>
      <c r="EP22" s="286">
        <f>'Data-temp_employment'!EP22-last_qrtr_tempemp!EQ22</f>
        <v>-5.6000000000000014</v>
      </c>
      <c r="EQ22" s="286">
        <f>'Data-temp_employment'!EQ22-last_qrtr_tempemp!ER22</f>
        <v>-9.3999999999999986</v>
      </c>
      <c r="ER22" s="286">
        <f>'Data-temp_employment'!ER22-last_qrtr_tempemp!ES22</f>
        <v>-14.600000000000001</v>
      </c>
      <c r="ES22" s="286">
        <f>'Data-temp_employment'!ES22-last_qrtr_tempemp!ET22</f>
        <v>-1.2999999999999989</v>
      </c>
      <c r="ET22" s="286">
        <f>'Data-temp_employment'!ET22-last_qrtr_tempemp!EU22</f>
        <v>-3.4000000000000021</v>
      </c>
      <c r="EU22" s="286">
        <f>'Data-temp_employment'!EU22-last_qrtr_tempemp!EV22</f>
        <v>1.2000000000000011</v>
      </c>
      <c r="EV22" s="286">
        <f>'Data-temp_employment'!EV22-last_qrtr_tempemp!EW22</f>
        <v>-2.0999999999999996</v>
      </c>
      <c r="EW22" s="286">
        <f>'Data-temp_employment'!EW22-last_qrtr_tempemp!EX22</f>
        <v>-1.1999999999999993</v>
      </c>
      <c r="EX22" s="286">
        <f>'Data-temp_employment'!EX22-last_qrtr_tempemp!EY22</f>
        <v>0.69999999999999929</v>
      </c>
      <c r="EY22" s="286">
        <f>'Data-temp_employment'!EY22</f>
        <v>13</v>
      </c>
      <c r="EZ22" s="285" t="s">
        <v>32</v>
      </c>
      <c r="FA22" s="286">
        <f>'Data-temp_employment'!FA22-last_qrtr_tempemp!FB22</f>
        <v>-5.6999999999999993</v>
      </c>
      <c r="FB22" s="286">
        <f>'Data-temp_employment'!FB22-last_qrtr_tempemp!FC22</f>
        <v>-6.5</v>
      </c>
      <c r="FC22" s="286">
        <f>'Data-temp_employment'!FC22-last_qrtr_tempemp!FD22</f>
        <v>-3.4000000000000021</v>
      </c>
      <c r="FD22" s="286">
        <f>'Data-temp_employment'!FD22-last_qrtr_tempemp!FE22</f>
        <v>-2.6999999999999993</v>
      </c>
      <c r="FE22" s="286">
        <f>'Data-temp_employment'!FE22-last_qrtr_tempemp!FF22</f>
        <v>-4.8000000000000007</v>
      </c>
      <c r="FF22" s="286">
        <f>'Data-temp_employment'!FF22-last_qrtr_tempemp!FG22</f>
        <v>0.70000000000000284</v>
      </c>
      <c r="FG22" s="286">
        <f>'Data-temp_employment'!FG22-last_qrtr_tempemp!FH22</f>
        <v>1.8000000000000007</v>
      </c>
      <c r="FH22" s="286">
        <f>'Data-temp_employment'!FH22-last_qrtr_tempemp!FI22</f>
        <v>-0.19999999999999929</v>
      </c>
      <c r="FI22" s="286">
        <f>'Data-temp_employment'!FI22-last_qrtr_tempemp!FJ22</f>
        <v>-2.8000000000000007</v>
      </c>
      <c r="FJ22" s="286">
        <f>'Data-temp_employment'!FJ22</f>
        <v>16.100000000000001</v>
      </c>
      <c r="FK22" s="285" t="s">
        <v>32</v>
      </c>
      <c r="FL22" s="286">
        <f>'Data-temp_employment'!FL22-last_qrtr_tempemp!FM22</f>
        <v>-1.3000000000000007</v>
      </c>
      <c r="FM22" s="286">
        <f>'Data-temp_employment'!FM22-last_qrtr_tempemp!FN22</f>
        <v>-2.1999999999999993</v>
      </c>
      <c r="FN22" s="286">
        <f>'Data-temp_employment'!FN22-last_qrtr_tempemp!FO22</f>
        <v>-2.9000000000000021</v>
      </c>
      <c r="FO22" s="286">
        <f>'Data-temp_employment'!FO22-last_qrtr_tempemp!FP22</f>
        <v>-2.1000000000000014</v>
      </c>
      <c r="FP22" s="286">
        <f>'Data-temp_employment'!FP22-last_qrtr_tempemp!FQ22</f>
        <v>-2.5</v>
      </c>
      <c r="FQ22" s="286">
        <f>'Data-temp_employment'!FQ22-last_qrtr_tempemp!FR22</f>
        <v>-0.19999999999999929</v>
      </c>
      <c r="FR22" s="286">
        <f>'Data-temp_employment'!FR22-last_qrtr_tempemp!FS22</f>
        <v>3.1000000000000014</v>
      </c>
      <c r="FS22" s="286">
        <f>'Data-temp_employment'!FS22-last_qrtr_tempemp!FT22</f>
        <v>-3.6999999999999993</v>
      </c>
      <c r="FT22" s="286">
        <f>'Data-temp_employment'!FT22-last_qrtr_tempemp!FU22</f>
        <v>-2</v>
      </c>
      <c r="FU22" s="286">
        <f>'Data-temp_employment'!FU22</f>
        <v>19.3</v>
      </c>
      <c r="FV22" s="285" t="s">
        <v>32</v>
      </c>
      <c r="FW22" s="286">
        <f>'Data-temp_employment'!FW22-last_qrtr_tempemp!FX22</f>
        <v>-10.700000000000003</v>
      </c>
      <c r="FX22" s="286">
        <f>'Data-temp_employment'!FX22-last_qrtr_tempemp!FY22</f>
        <v>-13.900000000000006</v>
      </c>
      <c r="FY22" s="286">
        <f>'Data-temp_employment'!FY22-last_qrtr_tempemp!FZ22</f>
        <v>-5.5</v>
      </c>
      <c r="FZ22" s="286">
        <f>'Data-temp_employment'!FZ22-last_qrtr_tempemp!GA22</f>
        <v>3.1000000000000014</v>
      </c>
      <c r="GA22" s="286">
        <f>'Data-temp_employment'!GA22-last_qrtr_tempemp!GB22</f>
        <v>-2.0999999999999979</v>
      </c>
      <c r="GB22" s="286">
        <f>'Data-temp_employment'!GB22-last_qrtr_tempemp!GC22</f>
        <v>-5.8999999999999986</v>
      </c>
      <c r="GC22" s="286">
        <f>'Data-temp_employment'!GC22-last_qrtr_tempemp!GD22</f>
        <v>3</v>
      </c>
      <c r="GD22" s="286">
        <f>'Data-temp_employment'!GD22-last_qrtr_tempemp!GE22</f>
        <v>4.1999999999999993</v>
      </c>
      <c r="GE22" s="286">
        <f>'Data-temp_employment'!GE22-last_qrtr_tempemp!GF22</f>
        <v>-4.5999999999999979</v>
      </c>
      <c r="GF22" s="286">
        <f>'Data-temp_employment'!GF22</f>
        <v>31.2</v>
      </c>
      <c r="GG22" s="285" t="s">
        <v>32</v>
      </c>
      <c r="GH22" s="286">
        <f>'Data-temp_employment'!GH22-last_qrtr_tempemp!GI22</f>
        <v>-1.0999999999999996</v>
      </c>
      <c r="GI22" s="286">
        <f>'Data-temp_employment'!GI22-last_qrtr_tempemp!GJ22</f>
        <v>-0.69999999999999929</v>
      </c>
      <c r="GJ22" s="286">
        <f>'Data-temp_employment'!GJ22-last_qrtr_tempemp!GK22</f>
        <v>-0.90000000000000036</v>
      </c>
      <c r="GK22" s="286">
        <f>'Data-temp_employment'!GK22-last_qrtr_tempemp!GL22</f>
        <v>1.8000000000000007</v>
      </c>
      <c r="GL22" s="286">
        <f>'Data-temp_employment'!GL22-last_qrtr_tempemp!GM22</f>
        <v>2.4000000000000004</v>
      </c>
      <c r="GM22" s="286">
        <f>'Data-temp_employment'!GM22-last_qrtr_tempemp!GN22</f>
        <v>0.40000000000000036</v>
      </c>
      <c r="GN22" s="286">
        <f>'Data-temp_employment'!GN22-last_qrtr_tempemp!GO22</f>
        <v>0.29999999999999893</v>
      </c>
      <c r="GO22" s="286">
        <f>'Data-temp_employment'!GO22-last_qrtr_tempemp!GP22</f>
        <v>4.0999999999999996</v>
      </c>
      <c r="GP22" s="286">
        <f>'Data-temp_employment'!GP22-last_qrtr_tempemp!GQ22</f>
        <v>4.1999999999999993</v>
      </c>
      <c r="GQ22" s="286">
        <f>'Data-temp_employment'!GQ22</f>
        <v>14.8</v>
      </c>
      <c r="GR22" s="285" t="s">
        <v>32</v>
      </c>
      <c r="GS22" s="286">
        <f>'Data-temp_employment'!GS22-last_qrtr_tempemp!GT22</f>
        <v>-18.399999999999999</v>
      </c>
      <c r="GT22" s="286">
        <f>'Data-temp_employment'!GT22-last_qrtr_tempemp!GU22</f>
        <v>-15.800000000000004</v>
      </c>
      <c r="GU22" s="286">
        <f>'Data-temp_employment'!GU22-last_qrtr_tempemp!GV22</f>
        <v>-4</v>
      </c>
      <c r="GV22" s="286">
        <f>'Data-temp_employment'!GV22-last_qrtr_tempemp!GW22</f>
        <v>2.1999999999999957</v>
      </c>
      <c r="GW22" s="286">
        <f>'Data-temp_employment'!GW22-last_qrtr_tempemp!GX22</f>
        <v>2</v>
      </c>
      <c r="GX22" s="286">
        <f>'Data-temp_employment'!GX22-last_qrtr_tempemp!GY22</f>
        <v>-0.60000000000000142</v>
      </c>
      <c r="GY22" s="286">
        <f>'Data-temp_employment'!GY22-last_qrtr_tempemp!GZ22</f>
        <v>8.1000000000000014</v>
      </c>
      <c r="GZ22" s="286">
        <f>'Data-temp_employment'!GZ22-last_qrtr_tempemp!HA22</f>
        <v>-2.6000000000000014</v>
      </c>
      <c r="HA22" s="286">
        <f>'Data-temp_employment'!HA22-last_qrtr_tempemp!HB22</f>
        <v>-14.600000000000001</v>
      </c>
      <c r="HB22" s="286">
        <f>'Data-temp_employment'!HB22</f>
        <v>27.8</v>
      </c>
      <c r="HC22" s="285" t="s">
        <v>32</v>
      </c>
      <c r="HD22" s="286">
        <f>'Data-temp_employment'!HD22-last_qrtr_tempemp!HE22</f>
        <v>-8.3999999999999986</v>
      </c>
      <c r="HE22" s="286">
        <f>'Data-temp_employment'!HE22-last_qrtr_tempemp!HF22</f>
        <v>-9.7999999999999972</v>
      </c>
      <c r="HF22" s="286">
        <f>'Data-temp_employment'!HF22-last_qrtr_tempemp!HG22</f>
        <v>-14.800000000000004</v>
      </c>
      <c r="HG22" s="286">
        <f>'Data-temp_employment'!HG22-last_qrtr_tempemp!HH22</f>
        <v>1.1999999999999957</v>
      </c>
      <c r="HH22" s="286">
        <f>'Data-temp_employment'!HH22-last_qrtr_tempemp!HI22</f>
        <v>-4.8000000000000043</v>
      </c>
      <c r="HI22" s="286">
        <f>'Data-temp_employment'!HI22-last_qrtr_tempemp!HJ22</f>
        <v>-2</v>
      </c>
      <c r="HJ22" s="286">
        <f>'Data-temp_employment'!HJ22-last_qrtr_tempemp!HK22</f>
        <v>-2.3999999999999986</v>
      </c>
      <c r="HK22" s="286">
        <f>'Data-temp_employment'!HK22-last_qrtr_tempemp!HL22</f>
        <v>0.20000000000000284</v>
      </c>
      <c r="HL22" s="286">
        <f>'Data-temp_employment'!HL22-last_qrtr_tempemp!HM22</f>
        <v>-9.3999999999999986</v>
      </c>
      <c r="HM22" s="286">
        <f>'Data-temp_employment'!HM22</f>
        <v>30.9</v>
      </c>
      <c r="HN22" s="285" t="s">
        <v>32</v>
      </c>
      <c r="HO22" s="286">
        <f>'Data-temp_employment'!HO22-last_qrtr_tempemp!HP22</f>
        <v>-16.099999999999994</v>
      </c>
      <c r="HP22" s="286">
        <f>'Data-temp_employment'!HP22-last_qrtr_tempemp!HQ22</f>
        <v>-10.5</v>
      </c>
      <c r="HQ22" s="286">
        <f>'Data-temp_employment'!HQ22-last_qrtr_tempemp!HR22</f>
        <v>-10.5</v>
      </c>
      <c r="HR22" s="286">
        <f>'Data-temp_employment'!HR22-last_qrtr_tempemp!HS22</f>
        <v>7.0999999999999943</v>
      </c>
      <c r="HS22" s="286">
        <f>'Data-temp_employment'!HS22-last_qrtr_tempemp!HT22</f>
        <v>-40.900000000000006</v>
      </c>
      <c r="HT22" s="286">
        <f>'Data-temp_employment'!HT22-last_qrtr_tempemp!HU22</f>
        <v>-23.5</v>
      </c>
      <c r="HU22" s="286">
        <f>'Data-temp_employment'!HU22-last_qrtr_tempemp!HV22</f>
        <v>-15.300000000000011</v>
      </c>
      <c r="HV22" s="286">
        <f>'Data-temp_employment'!HV22-last_qrtr_tempemp!HW22</f>
        <v>-4.3000000000000114</v>
      </c>
      <c r="HW22" s="286">
        <f>'Data-temp_employment'!HW22-last_qrtr_tempemp!HX22</f>
        <v>-40.400000000000006</v>
      </c>
      <c r="HX22" s="286">
        <f>'Data-temp_employment'!HX22</f>
        <v>149.69999999999999</v>
      </c>
      <c r="HY22" s="285" t="s">
        <v>32</v>
      </c>
      <c r="HZ22" s="286">
        <f>'Data-temp_employment'!HZ22-last_qrtr_tempemp!IA22</f>
        <v>0</v>
      </c>
      <c r="IA22" s="286">
        <f>'Data-temp_employment'!IA22-last_qrtr_tempemp!IB22</f>
        <v>-2.6</v>
      </c>
      <c r="IB22" s="286">
        <f>'Data-temp_employment'!IB22-last_qrtr_tempemp!IC22</f>
        <v>-2.6</v>
      </c>
      <c r="IC22" s="286">
        <f>'Data-temp_employment'!IC22-last_qrtr_tempemp!ID22</f>
        <v>0</v>
      </c>
      <c r="ID22" s="286">
        <f>'Data-temp_employment'!ID22-last_qrtr_tempemp!IE22</f>
        <v>0</v>
      </c>
      <c r="IE22" s="286">
        <f>'Data-temp_employment'!IE22-last_qrtr_tempemp!IF22</f>
        <v>-3.2</v>
      </c>
      <c r="IF22" s="286">
        <f>'Data-temp_employment'!IF22-last_qrtr_tempemp!IG22</f>
        <v>-3.4</v>
      </c>
      <c r="IG22" s="286">
        <f>'Data-temp_employment'!IG22-last_qrtr_tempemp!IH22</f>
        <v>-2.9</v>
      </c>
      <c r="IH22" s="286">
        <f>'Data-temp_employment'!IH22-last_qrtr_tempemp!II22</f>
        <v>0</v>
      </c>
      <c r="II22" s="286">
        <f>'Data-temp_employment'!II22</f>
        <v>0</v>
      </c>
      <c r="IJ22" s="285" t="s">
        <v>32</v>
      </c>
      <c r="IK22" s="286">
        <f>'Data-temp_employment'!IK22-last_qrtr_tempemp!IL22</f>
        <v>0</v>
      </c>
      <c r="IL22" s="286">
        <f>'Data-temp_employment'!IL22-last_qrtr_tempemp!IM22</f>
        <v>0</v>
      </c>
      <c r="IM22" s="286">
        <f>'Data-temp_employment'!IM22-last_qrtr_tempemp!IN22</f>
        <v>0</v>
      </c>
      <c r="IN22" s="286">
        <f>'Data-temp_employment'!IN22-last_qrtr_tempemp!IO22</f>
        <v>0</v>
      </c>
      <c r="IO22" s="286">
        <f>'Data-temp_employment'!IO22-last_qrtr_tempemp!IP22</f>
        <v>0</v>
      </c>
      <c r="IP22" s="286">
        <f>'Data-temp_employment'!IP22-last_qrtr_tempemp!IQ22</f>
        <v>0</v>
      </c>
      <c r="IQ22" s="286">
        <f>'Data-temp_employment'!IQ22-last_qrtr_tempemp!IR22</f>
        <v>0</v>
      </c>
      <c r="IR22" s="286">
        <f>'Data-temp_employment'!IR22-last_qrtr_tempemp!IS22</f>
        <v>0</v>
      </c>
      <c r="IS22" s="286">
        <f>'Data-temp_employment'!IS22-last_qrtr_tempemp!IT22</f>
        <v>0</v>
      </c>
      <c r="IT22" s="286">
        <f>'Data-temp_employment'!IT22</f>
        <v>0</v>
      </c>
      <c r="IU22" s="285" t="s">
        <v>32</v>
      </c>
      <c r="IV22" s="286">
        <f>'Data-temp_employment'!IV22-last_qrtr_tempemp!IW22</f>
        <v>-12.5</v>
      </c>
      <c r="IW22" s="286">
        <f>'Data-temp_employment'!IW22-last_qrtr_tempemp!IX22</f>
        <v>-5.1000000000000014</v>
      </c>
      <c r="IX22" s="286">
        <f>'Data-temp_employment'!IX22-last_qrtr_tempemp!IY22</f>
        <v>-4</v>
      </c>
      <c r="IY22" s="286">
        <f>'Data-temp_employment'!IY22-last_qrtr_tempemp!IZ22</f>
        <v>0.70000000000000284</v>
      </c>
      <c r="IZ22" s="286">
        <f>'Data-temp_employment'!IZ22-last_qrtr_tempemp!JA22</f>
        <v>-13.099999999999998</v>
      </c>
      <c r="JA22" s="286">
        <f>'Data-temp_employment'!JA22-last_qrtr_tempemp!JB22</f>
        <v>-0.40000000000000213</v>
      </c>
      <c r="JB22" s="286">
        <f>'Data-temp_employment'!JB22-last_qrtr_tempemp!JC22</f>
        <v>6.0999999999999979</v>
      </c>
      <c r="JC22" s="286">
        <f>'Data-temp_employment'!JC22-last_qrtr_tempemp!JD22</f>
        <v>6.8999999999999986</v>
      </c>
      <c r="JD22" s="286">
        <f>'Data-temp_employment'!JD22-last_qrtr_tempemp!JE22</f>
        <v>-9.7999999999999972</v>
      </c>
      <c r="JE22" s="286">
        <f>'Data-temp_employment'!JE22</f>
        <v>20.5</v>
      </c>
      <c r="JF22" s="285" t="s">
        <v>32</v>
      </c>
      <c r="JG22" s="286">
        <f>'Data-temp_employment'!JG22-last_qrtr_tempemp!JH22</f>
        <v>-13.600000000000001</v>
      </c>
      <c r="JH22" s="286">
        <f>'Data-temp_employment'!JH22-last_qrtr_tempemp!JI22</f>
        <v>-19.599999999999994</v>
      </c>
      <c r="JI22" s="286">
        <f>'Data-temp_employment'!JI22-last_qrtr_tempemp!JJ22</f>
        <v>-19.600000000000001</v>
      </c>
      <c r="JJ22" s="286">
        <f>'Data-temp_employment'!JJ22-last_qrtr_tempemp!JK22</f>
        <v>-2.1999999999999957</v>
      </c>
      <c r="JK22" s="286">
        <f>'Data-temp_employment'!JK22-last_qrtr_tempemp!JL22</f>
        <v>-4.6000000000000014</v>
      </c>
      <c r="JL22" s="286">
        <f>'Data-temp_employment'!JL22-last_qrtr_tempemp!JM22</f>
        <v>-0.20000000000000284</v>
      </c>
      <c r="JM22" s="286">
        <f>'Data-temp_employment'!JM22-last_qrtr_tempemp!JN22</f>
        <v>1.5</v>
      </c>
      <c r="JN22" s="286">
        <f>'Data-temp_employment'!JN22-last_qrtr_tempemp!JO22</f>
        <v>3.8999999999999986</v>
      </c>
      <c r="JO22" s="286">
        <f>'Data-temp_employment'!JO22-last_qrtr_tempemp!JP22</f>
        <v>-5.3999999999999986</v>
      </c>
      <c r="JP22" s="286">
        <f>'Data-temp_employment'!JP22</f>
        <v>36.200000000000003</v>
      </c>
      <c r="JQ22" s="285" t="s">
        <v>32</v>
      </c>
      <c r="JR22" s="286">
        <f>'Data-temp_employment'!JR22-last_qrtr_tempemp!JS22</f>
        <v>-11.600000000000001</v>
      </c>
      <c r="JS22" s="286">
        <f>'Data-temp_employment'!JS22-last_qrtr_tempemp!JT22</f>
        <v>-10.8</v>
      </c>
      <c r="JT22" s="286">
        <f>'Data-temp_employment'!JT22-last_qrtr_tempemp!JU22</f>
        <v>-5.8000000000000007</v>
      </c>
      <c r="JU22" s="286">
        <f>'Data-temp_employment'!JU22-last_qrtr_tempemp!JV22</f>
        <v>0.30000000000000071</v>
      </c>
      <c r="JV22" s="286">
        <f>'Data-temp_employment'!JV22-last_qrtr_tempemp!JW22</f>
        <v>-1</v>
      </c>
      <c r="JW22" s="286">
        <f>'Data-temp_employment'!JW22-last_qrtr_tempemp!JX22</f>
        <v>1.3000000000000007</v>
      </c>
      <c r="JX22" s="286">
        <f>'Data-temp_employment'!JX22-last_qrtr_tempemp!JY22</f>
        <v>11.400000000000002</v>
      </c>
      <c r="JY22" s="286">
        <f>'Data-temp_employment'!JY22-last_qrtr_tempemp!JZ22</f>
        <v>1.9000000000000021</v>
      </c>
      <c r="JZ22" s="286">
        <f>'Data-temp_employment'!JZ22-last_qrtr_tempemp!KA22</f>
        <v>-7.3000000000000007</v>
      </c>
      <c r="KA22" s="286">
        <f>'Data-temp_employment'!KA22</f>
        <v>19.2</v>
      </c>
      <c r="KB22" s="285" t="s">
        <v>32</v>
      </c>
      <c r="KC22" s="286">
        <f>'Data-temp_employment'!KC22-last_qrtr_tempemp!KD22</f>
        <v>-6.1999999999999993</v>
      </c>
      <c r="KD22" s="286">
        <f>'Data-temp_employment'!KD22-last_qrtr_tempemp!KE22</f>
        <v>-6.9999999999999982</v>
      </c>
      <c r="KE22" s="286">
        <f>'Data-temp_employment'!KE22-last_qrtr_tempemp!KF22</f>
        <v>-5.5</v>
      </c>
      <c r="KF22" s="286">
        <f>'Data-temp_employment'!KF22-last_qrtr_tempemp!KG22</f>
        <v>4.6000000000000014</v>
      </c>
      <c r="KG22" s="286">
        <f>'Data-temp_employment'!KG22-last_qrtr_tempemp!KH22</f>
        <v>-0.20000000000000107</v>
      </c>
      <c r="KH22" s="286">
        <f>'Data-temp_employment'!KH22-last_qrtr_tempemp!KI22</f>
        <v>-2.0999999999999979</v>
      </c>
      <c r="KI22" s="286">
        <f>'Data-temp_employment'!KI22-last_qrtr_tempemp!KJ22</f>
        <v>-1.3000000000000007</v>
      </c>
      <c r="KJ22" s="286">
        <f>'Data-temp_employment'!KJ22-last_qrtr_tempemp!KK22</f>
        <v>3</v>
      </c>
      <c r="KK22" s="286">
        <f>'Data-temp_employment'!KK22-last_qrtr_tempemp!KL22</f>
        <v>-5.5</v>
      </c>
      <c r="KL22" s="286">
        <f>'Data-temp_employment'!KL22</f>
        <v>12.9</v>
      </c>
      <c r="KM22" s="285" t="s">
        <v>32</v>
      </c>
      <c r="KN22" s="286">
        <f>'Data-temp_employment'!KN22-last_qrtr_tempemp!KO22</f>
        <v>1.2000000000000011</v>
      </c>
      <c r="KO22" s="286">
        <f>'Data-temp_employment'!KO22-last_qrtr_tempemp!KP22</f>
        <v>1.5</v>
      </c>
      <c r="KP22" s="286">
        <f>'Data-temp_employment'!KP22-last_qrtr_tempemp!KQ22</f>
        <v>-0.10000000000000142</v>
      </c>
      <c r="KQ22" s="286">
        <f>'Data-temp_employment'!KQ22-last_qrtr_tempemp!KR22</f>
        <v>-0.80000000000000071</v>
      </c>
      <c r="KR22" s="286">
        <f>'Data-temp_employment'!KR22-last_qrtr_tempemp!KS22</f>
        <v>-4.3000000000000007</v>
      </c>
      <c r="KS22" s="286">
        <f>'Data-temp_employment'!KS22-last_qrtr_tempemp!KT22</f>
        <v>-2.3999999999999995</v>
      </c>
      <c r="KT22" s="286">
        <f>'Data-temp_employment'!KT22-last_qrtr_tempemp!KU22</f>
        <v>-1.0999999999999996</v>
      </c>
      <c r="KU22" s="286">
        <f>'Data-temp_employment'!KU22-last_qrtr_tempemp!KV22</f>
        <v>-1</v>
      </c>
      <c r="KV22" s="286">
        <f>'Data-temp_employment'!KV22-last_qrtr_tempemp!KW22</f>
        <v>-3.4</v>
      </c>
      <c r="KW22" s="286">
        <f>'Data-temp_employment'!KW22</f>
        <v>5.4</v>
      </c>
      <c r="KX22" s="285" t="s">
        <v>32</v>
      </c>
      <c r="KY22" s="286">
        <f>'Data-temp_employment'!KY22-last_qrtr_tempemp!KZ22</f>
        <v>-4.6000000000000014</v>
      </c>
      <c r="KZ22" s="286">
        <f>'Data-temp_employment'!KZ22-last_qrtr_tempemp!LA22</f>
        <v>-8.0000000000000018</v>
      </c>
      <c r="LA22" s="286">
        <f>'Data-temp_employment'!LA22-last_qrtr_tempemp!LB22</f>
        <v>0.39999999999999858</v>
      </c>
      <c r="LB22" s="286">
        <f>'Data-temp_employment'!LB22-last_qrtr_tempemp!LC22</f>
        <v>-0.30000000000000071</v>
      </c>
      <c r="LC22" s="286">
        <f>'Data-temp_employment'!LC22-last_qrtr_tempemp!LD22</f>
        <v>-2.6999999999999993</v>
      </c>
      <c r="LD22" s="286">
        <f>'Data-temp_employment'!LD22-last_qrtr_tempemp!LE22</f>
        <v>-4.7999999999999989</v>
      </c>
      <c r="LE22" s="286">
        <f>'Data-temp_employment'!LE22-last_qrtr_tempemp!LF22</f>
        <v>0.10000000000000142</v>
      </c>
      <c r="LF22" s="286">
        <f>'Data-temp_employment'!LF22-last_qrtr_tempemp!LG22</f>
        <v>-1.9000000000000004</v>
      </c>
      <c r="LG22" s="286">
        <f>'Data-temp_employment'!LG22-last_qrtr_tempemp!LH22</f>
        <v>-3</v>
      </c>
      <c r="LH22" s="286">
        <f>'Data-temp_employment'!LH22</f>
        <v>11.3</v>
      </c>
      <c r="LI22" s="285" t="s">
        <v>32</v>
      </c>
      <c r="LJ22" s="286">
        <f>'Data-temp_employment'!LJ22-last_qrtr_tempemp!LK22</f>
        <v>-2.9</v>
      </c>
      <c r="LK22" s="286">
        <f>'Data-temp_employment'!LK22-last_qrtr_tempemp!LL22</f>
        <v>-4.3</v>
      </c>
      <c r="LL22" s="286">
        <f>'Data-temp_employment'!LL22-last_qrtr_tempemp!LM22</f>
        <v>-4.3</v>
      </c>
      <c r="LM22" s="286">
        <f>'Data-temp_employment'!LM22-last_qrtr_tempemp!LN22</f>
        <v>0</v>
      </c>
      <c r="LN22" s="286">
        <f>'Data-temp_employment'!LN22-last_qrtr_tempemp!LO22</f>
        <v>-4.7</v>
      </c>
      <c r="LO22" s="286">
        <f>'Data-temp_employment'!LO22-last_qrtr_tempemp!LP22</f>
        <v>-3.2</v>
      </c>
      <c r="LP22" s="286">
        <f>'Data-temp_employment'!LP22-last_qrtr_tempemp!LQ22</f>
        <v>0</v>
      </c>
      <c r="LQ22" s="286">
        <f>'Data-temp_employment'!LQ22-last_qrtr_tempemp!LR22</f>
        <v>0</v>
      </c>
      <c r="LR22" s="286">
        <f>'Data-temp_employment'!LR22-last_qrtr_tempemp!LS22</f>
        <v>-2.7</v>
      </c>
      <c r="LS22" s="286">
        <f>'Data-temp_employment'!LS22</f>
        <v>0</v>
      </c>
      <c r="LT22" s="285" t="s">
        <v>32</v>
      </c>
      <c r="LU22" s="286">
        <f>'Data-temp_employment'!LU22-last_qrtr_tempemp!LV22</f>
        <v>0</v>
      </c>
      <c r="LV22" s="286">
        <f>'Data-temp_employment'!LV22-last_qrtr_tempemp!LW22</f>
        <v>0</v>
      </c>
      <c r="LW22" s="286">
        <f>'Data-temp_employment'!LW22-last_qrtr_tempemp!LX22</f>
        <v>0</v>
      </c>
      <c r="LX22" s="286">
        <f>'Data-temp_employment'!LX22-last_qrtr_tempemp!LY22</f>
        <v>0</v>
      </c>
      <c r="LY22" s="286">
        <f>'Data-temp_employment'!LY22-last_qrtr_tempemp!LZ22</f>
        <v>0</v>
      </c>
      <c r="LZ22" s="286">
        <f>'Data-temp_employment'!LZ22-last_qrtr_tempemp!MA22</f>
        <v>0</v>
      </c>
      <c r="MA22" s="286">
        <f>'Data-temp_employment'!MA22-last_qrtr_tempemp!MB22</f>
        <v>0</v>
      </c>
      <c r="MB22" s="286">
        <f>'Data-temp_employment'!MB22-last_qrtr_tempemp!MC22</f>
        <v>0</v>
      </c>
      <c r="MC22" s="286">
        <f>'Data-temp_employment'!MC22-last_qrtr_tempemp!MD22</f>
        <v>0</v>
      </c>
      <c r="MD22" s="286">
        <f>'Data-temp_employment'!MD22</f>
        <v>0</v>
      </c>
      <c r="ME22" s="285" t="s">
        <v>32</v>
      </c>
      <c r="MF22" s="286">
        <f>'Data-temp_employment'!MF22-last_qrtr_tempemp!MG22</f>
        <v>-6.2</v>
      </c>
      <c r="MG22" s="286">
        <f>'Data-temp_employment'!MG22-last_qrtr_tempemp!MH22</f>
        <v>-4.1999999999999993</v>
      </c>
      <c r="MH22" s="286">
        <f>'Data-temp_employment'!MH22-last_qrtr_tempemp!MI22</f>
        <v>-1.3999999999999995</v>
      </c>
      <c r="MI22" s="286">
        <f>'Data-temp_employment'!MI22-last_qrtr_tempemp!MJ22</f>
        <v>4.5</v>
      </c>
      <c r="MJ22" s="286">
        <f>'Data-temp_employment'!MJ22-last_qrtr_tempemp!MK22</f>
        <v>1.6999999999999997</v>
      </c>
      <c r="MK22" s="286">
        <f>'Data-temp_employment'!MK22-last_qrtr_tempemp!ML22</f>
        <v>1.2000000000000002</v>
      </c>
      <c r="ML22" s="286">
        <f>'Data-temp_employment'!ML22-last_qrtr_tempemp!MM22</f>
        <v>-0.60000000000000009</v>
      </c>
      <c r="MM22" s="286">
        <f>'Data-temp_employment'!MM22-last_qrtr_tempemp!MN22</f>
        <v>-1.4</v>
      </c>
      <c r="MN22" s="286">
        <f>'Data-temp_employment'!MN22-last_qrtr_tempemp!MO22</f>
        <v>-2.2000000000000002</v>
      </c>
      <c r="MO22" s="286">
        <f>'Data-temp_employment'!MO22</f>
        <v>2.8</v>
      </c>
      <c r="MP22" s="285" t="s">
        <v>32</v>
      </c>
      <c r="MQ22" s="286">
        <f>'Data-temp_employment'!MQ22-last_qrtr_tempemp!MR22</f>
        <v>-1.1000000000000014</v>
      </c>
      <c r="MR22" s="286">
        <f>'Data-temp_employment'!MR22-last_qrtr_tempemp!MS22</f>
        <v>-2</v>
      </c>
      <c r="MS22" s="286">
        <f>'Data-temp_employment'!MS22-last_qrtr_tempemp!MT22</f>
        <v>-1.5</v>
      </c>
      <c r="MT22" s="286">
        <f>'Data-temp_employment'!MT22-last_qrtr_tempemp!MU22</f>
        <v>-0.30000000000000071</v>
      </c>
      <c r="MU22" s="286">
        <f>'Data-temp_employment'!MU22-last_qrtr_tempemp!MV22</f>
        <v>-4.6000000000000014</v>
      </c>
      <c r="MV22" s="286">
        <f>'Data-temp_employment'!MV22-last_qrtr_tempemp!MW22</f>
        <v>-2.3000000000000007</v>
      </c>
      <c r="MW22" s="286">
        <f>'Data-temp_employment'!MW22-last_qrtr_tempemp!MX22</f>
        <v>-0.19999999999999929</v>
      </c>
      <c r="MX22" s="286">
        <f>'Data-temp_employment'!MX22-last_qrtr_tempemp!MY22</f>
        <v>2.3999999999999986</v>
      </c>
      <c r="MY22" s="286">
        <f>'Data-temp_employment'!MY22-last_qrtr_tempemp!MZ22</f>
        <v>-2.5999999999999979</v>
      </c>
      <c r="MZ22" s="286">
        <f>'Data-temp_employment'!MZ22</f>
        <v>15.3</v>
      </c>
      <c r="NA22" s="285" t="s">
        <v>32</v>
      </c>
      <c r="NB22" s="286">
        <f>'Data-temp_employment'!NB22-last_qrtr_tempemp!NC22</f>
        <v>3.0999999999999943</v>
      </c>
      <c r="NC22" s="286">
        <f>'Data-temp_employment'!NC22-last_qrtr_tempemp!ND22</f>
        <v>3.0999999999999943</v>
      </c>
      <c r="ND22" s="286">
        <f>'Data-temp_employment'!ND22-last_qrtr_tempemp!NE22</f>
        <v>-5.7000000000000171</v>
      </c>
      <c r="NE22" s="286">
        <f>'Data-temp_employment'!NE22-last_qrtr_tempemp!NF22</f>
        <v>0.90000000000000568</v>
      </c>
      <c r="NF22" s="286">
        <f>'Data-temp_employment'!NF22-last_qrtr_tempemp!NG22</f>
        <v>-16.299999999999983</v>
      </c>
      <c r="NG22" s="286">
        <f>'Data-temp_employment'!NG22-last_qrtr_tempemp!NH22</f>
        <v>-13.699999999999989</v>
      </c>
      <c r="NH22" s="286">
        <f>'Data-temp_employment'!NH22-last_qrtr_tempemp!NI22</f>
        <v>-13.599999999999994</v>
      </c>
      <c r="NI22" s="286">
        <f>'Data-temp_employment'!NI22-last_qrtr_tempemp!NJ22</f>
        <v>-16.5</v>
      </c>
      <c r="NJ22" s="286">
        <f>'Data-temp_employment'!NJ22-last_qrtr_tempemp!NK22</f>
        <v>-26.900000000000006</v>
      </c>
      <c r="NK22" s="286">
        <f>'Data-temp_employment'!NK22</f>
        <v>127</v>
      </c>
      <c r="NL22" s="285" t="s">
        <v>32</v>
      </c>
      <c r="NM22" s="286">
        <f>'Data-temp_employment'!NM22-last_qrtr_tempemp!NN22</f>
        <v>-5.5</v>
      </c>
      <c r="NN22" s="286">
        <f>'Data-temp_employment'!NN22-last_qrtr_tempemp!NO22</f>
        <v>-2.3000000000000007</v>
      </c>
      <c r="NO22" s="286">
        <f>'Data-temp_employment'!NO22-last_qrtr_tempemp!NP22</f>
        <v>-4</v>
      </c>
      <c r="NP22" s="286">
        <f>'Data-temp_employment'!NP22-last_qrtr_tempemp!NQ22</f>
        <v>3.1000000000000014</v>
      </c>
      <c r="NQ22" s="286">
        <f>'Data-temp_employment'!NQ22-last_qrtr_tempemp!NR22</f>
        <v>0.60000000000000142</v>
      </c>
      <c r="NR22" s="286">
        <f>'Data-temp_employment'!NR22-last_qrtr_tempemp!NS22</f>
        <v>-1.5</v>
      </c>
      <c r="NS22" s="286">
        <f>'Data-temp_employment'!NS22-last_qrtr_tempemp!NT22</f>
        <v>-5.5</v>
      </c>
      <c r="NT22" s="286">
        <f>'Data-temp_employment'!NT22-last_qrtr_tempemp!NU22</f>
        <v>-1</v>
      </c>
      <c r="NU22" s="286">
        <f>'Data-temp_employment'!NU22-last_qrtr_tempemp!NV22</f>
        <v>-2.8000000000000007</v>
      </c>
      <c r="NV22" s="286">
        <f>'Data-temp_employment'!NV22</f>
        <v>17.899999999999999</v>
      </c>
      <c r="NW22" s="285" t="s">
        <v>32</v>
      </c>
      <c r="NX22" s="286">
        <f>'Data-temp_employment'!NX22-last_qrtr_tempemp!NY22</f>
        <v>-5.2000000000000011</v>
      </c>
      <c r="NY22" s="286">
        <f>'Data-temp_employment'!NY22-last_qrtr_tempemp!NZ22</f>
        <v>-5.1000000000000014</v>
      </c>
      <c r="NZ22" s="286">
        <f>'Data-temp_employment'!NZ22-last_qrtr_tempemp!OA22</f>
        <v>-4.7000000000000011</v>
      </c>
      <c r="OA22" s="286">
        <f>'Data-temp_employment'!OA22-last_qrtr_tempemp!OB22</f>
        <v>-0.90000000000000036</v>
      </c>
      <c r="OB22" s="286">
        <f>'Data-temp_employment'!OB22-last_qrtr_tempemp!OC22</f>
        <v>-1.5999999999999996</v>
      </c>
      <c r="OC22" s="286">
        <f>'Data-temp_employment'!OC22-last_qrtr_tempemp!OD22</f>
        <v>1.1000000000000014</v>
      </c>
      <c r="OD22" s="286">
        <f>'Data-temp_employment'!OD22-last_qrtr_tempemp!OE22</f>
        <v>-0.80000000000000071</v>
      </c>
      <c r="OE22" s="286">
        <f>'Data-temp_employment'!OE22-last_qrtr_tempemp!OF22</f>
        <v>-2.9000000000000004</v>
      </c>
      <c r="OF22" s="286">
        <f>'Data-temp_employment'!OF22-last_qrtr_tempemp!OG22</f>
        <v>-0.70000000000000107</v>
      </c>
      <c r="OG22" s="286">
        <f>'Data-temp_employment'!OG22</f>
        <v>14.8</v>
      </c>
      <c r="OH22" s="287" t="s">
        <v>32</v>
      </c>
      <c r="OI22" s="286"/>
      <c r="OJ22" s="286"/>
      <c r="OK22" s="286"/>
      <c r="OL22" s="286"/>
      <c r="OM22" s="286"/>
      <c r="ON22" s="286"/>
      <c r="OO22" s="286"/>
      <c r="OP22" s="286"/>
      <c r="OQ22" s="286"/>
      <c r="OR22" s="286"/>
      <c r="OS22" s="285" t="s">
        <v>32</v>
      </c>
      <c r="OT22" s="286" t="e">
        <f>'Data-temp_employment'!#REF!-last_qrtr_tempemp!OU22</f>
        <v>#REF!</v>
      </c>
      <c r="OU22" s="286">
        <f>'Data-temp_employment'!OT22-last_qrtr_tempemp!OV22</f>
        <v>-0.4</v>
      </c>
      <c r="OV22" s="286">
        <f>'Data-temp_employment'!OU22-last_qrtr_tempemp!OW22</f>
        <v>1.3</v>
      </c>
      <c r="OW22" s="286">
        <f>'Data-temp_employment'!OV22-last_qrtr_tempemp!OX22</f>
        <v>0.6</v>
      </c>
      <c r="OX22" s="286">
        <f>'Data-temp_employment'!OW22-last_qrtr_tempemp!OY22</f>
        <v>0.8</v>
      </c>
      <c r="OY22" s="286">
        <f>'Data-temp_employment'!OX22-last_qrtr_tempemp!OZ22</f>
        <v>1.4</v>
      </c>
      <c r="OZ22" s="286">
        <f>'Data-temp_employment'!OY22-last_qrtr_tempemp!PA22</f>
        <v>1.1000000000000001</v>
      </c>
      <c r="PA22" s="286">
        <f>'Data-temp_employment'!OZ22-last_qrtr_tempemp!PB22</f>
        <v>1</v>
      </c>
      <c r="PB22" s="286">
        <f>'Data-temp_employment'!PA22-last_qrtr_tempemp!PC22</f>
        <v>1.3</v>
      </c>
      <c r="PC22" s="286">
        <f>'Data-temp_employment'!PB22</f>
        <v>1.3</v>
      </c>
      <c r="PE22" s="319"/>
      <c r="PF22" s="319"/>
      <c r="PG22" s="319"/>
      <c r="PH22" s="319"/>
      <c r="PI22" s="319"/>
      <c r="PJ22" s="319"/>
      <c r="PK22" s="319"/>
      <c r="PL22" s="319"/>
      <c r="PM22" s="319"/>
      <c r="PN22" s="319"/>
      <c r="PO22" s="319"/>
      <c r="PP22" s="319"/>
      <c r="PQ22" s="319"/>
      <c r="PR22" s="319"/>
      <c r="PS22" s="319"/>
      <c r="PT22" s="319"/>
      <c r="PU22" s="319"/>
      <c r="PV22" s="319"/>
      <c r="PW22" s="319"/>
      <c r="PX22" s="319"/>
      <c r="PY22" s="319"/>
      <c r="PZ22" s="319"/>
      <c r="QA22" s="319"/>
      <c r="QB22" s="319"/>
      <c r="QC22" s="319"/>
      <c r="QD22" s="319"/>
      <c r="QE22" s="319"/>
      <c r="QF22" s="319"/>
      <c r="QG22" s="319"/>
      <c r="QH22" s="319"/>
      <c r="QI22" s="319"/>
      <c r="QJ22" s="319"/>
      <c r="QK22" s="319"/>
      <c r="QL22" s="319"/>
      <c r="QM22" s="319"/>
      <c r="QN22" s="319"/>
      <c r="QO22" s="319"/>
      <c r="QP22" s="319"/>
      <c r="QQ22" s="319"/>
      <c r="QR22" s="319"/>
      <c r="QS22" s="319"/>
      <c r="QT22" s="319"/>
      <c r="QU22" s="319"/>
      <c r="QV22" s="319"/>
      <c r="QW22" s="319"/>
      <c r="QX22" s="319"/>
      <c r="QY22" s="319"/>
      <c r="QZ22" s="319"/>
      <c r="RA22" s="319"/>
      <c r="RB22" s="319"/>
      <c r="RC22" s="319"/>
      <c r="RD22" s="319"/>
      <c r="RE22" s="319"/>
      <c r="RF22" s="319"/>
      <c r="RG22" s="319"/>
      <c r="RH22" s="319"/>
      <c r="RI22" s="319"/>
      <c r="RJ22" s="319"/>
      <c r="RK22" s="319"/>
      <c r="RL22" s="319"/>
      <c r="RM22" s="319"/>
      <c r="RN22" s="319"/>
      <c r="RO22" s="319"/>
      <c r="RP22" s="319"/>
    </row>
    <row r="23" spans="1:485">
      <c r="A23" s="272">
        <v>20</v>
      </c>
      <c r="B23" s="285" t="s">
        <v>44</v>
      </c>
      <c r="C23" s="286">
        <f>'Data-temp_employment'!C23-last_qrtr_tempemp!D23</f>
        <v>-6.1000000000000014</v>
      </c>
      <c r="D23" s="286">
        <f>'Data-temp_employment'!D23-last_qrtr_tempemp!E23</f>
        <v>-1.5</v>
      </c>
      <c r="E23" s="286">
        <f>'Data-temp_employment'!E23-last_qrtr_tempemp!F23</f>
        <v>3.4000000000000004</v>
      </c>
      <c r="F23" s="286">
        <f>'Data-temp_employment'!F23-last_qrtr_tempemp!G23</f>
        <v>1.2000000000000011</v>
      </c>
      <c r="G23" s="286">
        <f>'Data-temp_employment'!G23-last_qrtr_tempemp!H23</f>
        <v>-5.8000000000000007</v>
      </c>
      <c r="H23" s="286">
        <f>'Data-temp_employment'!H23-last_qrtr_tempemp!I23</f>
        <v>-1.4000000000000004</v>
      </c>
      <c r="I23" s="286">
        <f>'Data-temp_employment'!I23-last_qrtr_tempemp!J23</f>
        <v>2.6999999999999993</v>
      </c>
      <c r="J23" s="286">
        <f>'Data-temp_employment'!J23-last_qrtr_tempemp!K23</f>
        <v>-0.29999999999999893</v>
      </c>
      <c r="K23" s="286">
        <f>'Data-temp_employment'!K23-last_qrtr_tempemp!L23</f>
        <v>-4.1999999999999993</v>
      </c>
      <c r="L23" s="286">
        <f>'Data-temp_employment'!L23</f>
        <v>11.6</v>
      </c>
      <c r="M23" s="285" t="s">
        <v>44</v>
      </c>
      <c r="N23" s="286">
        <f>'Data-temp_employment'!N23-last_qrtr_tempemp!O23</f>
        <v>-9.7000000000000011</v>
      </c>
      <c r="O23" s="286">
        <f>'Data-temp_employment'!O23-last_qrtr_tempemp!P23</f>
        <v>-1.8999999999999986</v>
      </c>
      <c r="P23" s="286">
        <f>'Data-temp_employment'!P23-last_qrtr_tempemp!Q23</f>
        <v>6.5</v>
      </c>
      <c r="Q23" s="286">
        <f>'Data-temp_employment'!Q23-last_qrtr_tempemp!R23</f>
        <v>2.7999999999999989</v>
      </c>
      <c r="R23" s="286">
        <f>'Data-temp_employment'!R23-last_qrtr_tempemp!S23</f>
        <v>-9</v>
      </c>
      <c r="S23" s="286">
        <f>'Data-temp_employment'!S23-last_qrtr_tempemp!T23</f>
        <v>-1.8000000000000007</v>
      </c>
      <c r="T23" s="286">
        <f>'Data-temp_employment'!T23-last_qrtr_tempemp!U23</f>
        <v>4.5</v>
      </c>
      <c r="U23" s="286">
        <f>'Data-temp_employment'!U23-last_qrtr_tempemp!V23</f>
        <v>0</v>
      </c>
      <c r="V23" s="286">
        <f>'Data-temp_employment'!V23-last_qrtr_tempemp!W23</f>
        <v>-7.1000000000000014</v>
      </c>
      <c r="W23" s="286">
        <f>'Data-temp_employment'!W23</f>
        <v>19.2</v>
      </c>
      <c r="X23" s="285" t="s">
        <v>44</v>
      </c>
      <c r="Y23" s="286">
        <f>'Data-temp_employment'!Y23-last_qrtr_tempemp!Z23</f>
        <v>0</v>
      </c>
      <c r="Z23" s="286">
        <f>'Data-temp_employment'!Z23-last_qrtr_tempemp!AA23</f>
        <v>0</v>
      </c>
      <c r="AA23" s="286">
        <f>'Data-temp_employment'!AA23-last_qrtr_tempemp!AB23</f>
        <v>0</v>
      </c>
      <c r="AB23" s="286">
        <f>'Data-temp_employment'!AB23-last_qrtr_tempemp!AC23</f>
        <v>0</v>
      </c>
      <c r="AC23" s="286">
        <f>'Data-temp_employment'!AC23-last_qrtr_tempemp!AD23</f>
        <v>0</v>
      </c>
      <c r="AD23" s="286">
        <f>'Data-temp_employment'!AD23-last_qrtr_tempemp!AE23</f>
        <v>0</v>
      </c>
      <c r="AE23" s="286">
        <f>'Data-temp_employment'!AE23-last_qrtr_tempemp!AF23</f>
        <v>0</v>
      </c>
      <c r="AF23" s="286">
        <f>'Data-temp_employment'!AF23-last_qrtr_tempemp!AG23</f>
        <v>0</v>
      </c>
      <c r="AG23" s="286">
        <f>'Data-temp_employment'!AG23-last_qrtr_tempemp!AH23</f>
        <v>0</v>
      </c>
      <c r="AH23" s="286">
        <f>'Data-temp_employment'!AH23</f>
        <v>0</v>
      </c>
      <c r="AI23" s="285" t="s">
        <v>44</v>
      </c>
      <c r="AJ23" s="286">
        <f>'Data-temp_employment'!AJ23-last_qrtr_tempemp!AK23</f>
        <v>-5.6999999999999993</v>
      </c>
      <c r="AK23" s="286">
        <f>'Data-temp_employment'!AK23-last_qrtr_tempemp!AL23</f>
        <v>-1.0999999999999996</v>
      </c>
      <c r="AL23" s="286">
        <f>'Data-temp_employment'!AL23-last_qrtr_tempemp!AM23</f>
        <v>4.8</v>
      </c>
      <c r="AM23" s="286">
        <f>'Data-temp_employment'!AM23-last_qrtr_tempemp!AN23</f>
        <v>0.20000000000000018</v>
      </c>
      <c r="AN23" s="286">
        <f>'Data-temp_employment'!AN23-last_qrtr_tempemp!AO23</f>
        <v>-6.8</v>
      </c>
      <c r="AO23" s="286">
        <f>'Data-temp_employment'!AO23-last_qrtr_tempemp!AP23</f>
        <v>-0.59999999999999964</v>
      </c>
      <c r="AP23" s="286">
        <f>'Data-temp_employment'!AP23-last_qrtr_tempemp!AQ23</f>
        <v>5.7000000000000011</v>
      </c>
      <c r="AQ23" s="286">
        <f>'Data-temp_employment'!AQ23-last_qrtr_tempemp!AR23</f>
        <v>0.30000000000000027</v>
      </c>
      <c r="AR23" s="286">
        <f>'Data-temp_employment'!AR23-last_qrtr_tempemp!AS23</f>
        <v>-5.5</v>
      </c>
      <c r="AS23" s="286">
        <f>'Data-temp_employment'!AS23</f>
        <v>7.1</v>
      </c>
      <c r="AT23" s="285" t="s">
        <v>44</v>
      </c>
      <c r="AU23" s="286">
        <f>'Data-temp_employment'!AU23-last_qrtr_tempemp!AV23</f>
        <v>-2.2000000000000002</v>
      </c>
      <c r="AV23" s="286">
        <f>'Data-temp_employment'!AV23-last_qrtr_tempemp!AW23</f>
        <v>-0.79999999999999982</v>
      </c>
      <c r="AW23" s="286">
        <f>'Data-temp_employment'!AW23-last_qrtr_tempemp!AX23</f>
        <v>2.1999999999999997</v>
      </c>
      <c r="AX23" s="286">
        <f>'Data-temp_employment'!AX23-last_qrtr_tempemp!AY23</f>
        <v>1.6000000000000005</v>
      </c>
      <c r="AY23" s="286">
        <f>'Data-temp_employment'!AY23-last_qrtr_tempemp!AZ23</f>
        <v>-1.1000000000000005</v>
      </c>
      <c r="AZ23" s="286">
        <f>'Data-temp_employment'!AZ23-last_qrtr_tempemp!BA23</f>
        <v>-1.5</v>
      </c>
      <c r="BA23" s="286">
        <f>'Data-temp_employment'!BA23-last_qrtr_tempemp!BB23</f>
        <v>-0.80000000000000027</v>
      </c>
      <c r="BB23" s="286">
        <f>'Data-temp_employment'!BB23-last_qrtr_tempemp!BC23</f>
        <v>-0.29999999999999982</v>
      </c>
      <c r="BC23" s="286">
        <f>'Data-temp_employment'!BC23-last_qrtr_tempemp!BD23</f>
        <v>-0.59999999999999964</v>
      </c>
      <c r="BD23" s="286">
        <f>'Data-temp_employment'!BD23</f>
        <v>3.9</v>
      </c>
      <c r="BE23" s="285" t="s">
        <v>44</v>
      </c>
      <c r="BF23" s="286">
        <f>'Data-temp_employment'!BF23-last_qrtr_tempemp!BG23</f>
        <v>-1.2000000000000002</v>
      </c>
      <c r="BG23" s="286">
        <f>'Data-temp_employment'!BG23-last_qrtr_tempemp!BH23</f>
        <v>0.40000000000000036</v>
      </c>
      <c r="BH23" s="286">
        <f>'Data-temp_employment'!BH23-last_qrtr_tempemp!BI23</f>
        <v>-0.59999999999999964</v>
      </c>
      <c r="BI23" s="286">
        <f>'Data-temp_employment'!BI23-last_qrtr_tempemp!BJ23</f>
        <v>0.10000000000000053</v>
      </c>
      <c r="BJ23" s="286">
        <f>'Data-temp_employment'!BJ23-last_qrtr_tempemp!BK23</f>
        <v>-0.20000000000000018</v>
      </c>
      <c r="BK23" s="286">
        <f>'Data-temp_employment'!BK23-last_qrtr_tempemp!BL23</f>
        <v>1</v>
      </c>
      <c r="BL23" s="286">
        <f>'Data-temp_employment'!BL23-last_qrtr_tempemp!BM23</f>
        <v>0.59999999999999964</v>
      </c>
      <c r="BM23" s="286">
        <f>'Data-temp_employment'!BM23-last_qrtr_tempemp!BN23</f>
        <v>0.70000000000000018</v>
      </c>
      <c r="BN23" s="286">
        <f>'Data-temp_employment'!BN23-last_qrtr_tempemp!BO23</f>
        <v>-0.79999999999999982</v>
      </c>
      <c r="BO23" s="286">
        <f>'Data-temp_employment'!BO23</f>
        <v>4.5999999999999996</v>
      </c>
      <c r="BP23" s="285" t="s">
        <v>44</v>
      </c>
      <c r="BQ23" s="286">
        <f>'Data-temp_employment'!BQ23-last_qrtr_tempemp!BR23</f>
        <v>0</v>
      </c>
      <c r="BR23" s="286">
        <f>'Data-temp_employment'!BR23-last_qrtr_tempemp!BS23</f>
        <v>0</v>
      </c>
      <c r="BS23" s="286">
        <f>'Data-temp_employment'!BS23-last_qrtr_tempemp!BT23</f>
        <v>0</v>
      </c>
      <c r="BT23" s="286">
        <f>'Data-temp_employment'!BT23-last_qrtr_tempemp!BU23</f>
        <v>0</v>
      </c>
      <c r="BU23" s="286">
        <f>'Data-temp_employment'!BU23-last_qrtr_tempemp!BV23</f>
        <v>0</v>
      </c>
      <c r="BV23" s="286">
        <f>'Data-temp_employment'!BV23-last_qrtr_tempemp!BW23</f>
        <v>0</v>
      </c>
      <c r="BW23" s="286">
        <f>'Data-temp_employment'!BW23-last_qrtr_tempemp!BX23</f>
        <v>0</v>
      </c>
      <c r="BX23" s="286">
        <f>'Data-temp_employment'!BX23-last_qrtr_tempemp!BY23</f>
        <v>0</v>
      </c>
      <c r="BY23" s="286">
        <f>'Data-temp_employment'!BY23-last_qrtr_tempemp!BZ23</f>
        <v>0</v>
      </c>
      <c r="BZ23" s="286">
        <f>'Data-temp_employment'!BZ23</f>
        <v>0</v>
      </c>
      <c r="CA23" s="285" t="s">
        <v>44</v>
      </c>
      <c r="CB23" s="286">
        <f>'Data-temp_employment'!CB23-last_qrtr_tempemp!CC23</f>
        <v>0</v>
      </c>
      <c r="CC23" s="286">
        <f>'Data-temp_employment'!CC23-last_qrtr_tempemp!CD23</f>
        <v>0</v>
      </c>
      <c r="CD23" s="286">
        <f>'Data-temp_employment'!CD23-last_qrtr_tempemp!CE23</f>
        <v>0</v>
      </c>
      <c r="CE23" s="286">
        <f>'Data-temp_employment'!CE23-last_qrtr_tempemp!CF23</f>
        <v>0</v>
      </c>
      <c r="CF23" s="286">
        <f>'Data-temp_employment'!CF23-last_qrtr_tempemp!CG23</f>
        <v>0</v>
      </c>
      <c r="CG23" s="286">
        <f>'Data-temp_employment'!CG23-last_qrtr_tempemp!CH23</f>
        <v>0</v>
      </c>
      <c r="CH23" s="286">
        <f>'Data-temp_employment'!CH23-last_qrtr_tempemp!CI23</f>
        <v>0</v>
      </c>
      <c r="CI23" s="286">
        <f>'Data-temp_employment'!CI23-last_qrtr_tempemp!CJ23</f>
        <v>0</v>
      </c>
      <c r="CJ23" s="286">
        <f>'Data-temp_employment'!CJ23-last_qrtr_tempemp!CK23</f>
        <v>0</v>
      </c>
      <c r="CK23" s="286">
        <f>'Data-temp_employment'!CK23</f>
        <v>0</v>
      </c>
      <c r="CL23" s="285" t="s">
        <v>44</v>
      </c>
      <c r="CM23" s="286">
        <f>'Data-temp_employment'!CM23-last_qrtr_tempemp!CN23</f>
        <v>-4.5999999999999996</v>
      </c>
      <c r="CN23" s="286">
        <f>'Data-temp_employment'!CN23-last_qrtr_tempemp!CO23</f>
        <v>-2.2999999999999998</v>
      </c>
      <c r="CO23" s="286">
        <f>'Data-temp_employment'!CO23-last_qrtr_tempemp!CP23</f>
        <v>2</v>
      </c>
      <c r="CP23" s="286">
        <f>'Data-temp_employment'!CP23-last_qrtr_tempemp!CQ23</f>
        <v>1</v>
      </c>
      <c r="CQ23" s="286">
        <f>'Data-temp_employment'!CQ23-last_qrtr_tempemp!CR23</f>
        <v>-4.0999999999999996</v>
      </c>
      <c r="CR23" s="286">
        <f>'Data-temp_employment'!CR23-last_qrtr_tempemp!CS23</f>
        <v>-0.80000000000000071</v>
      </c>
      <c r="CS23" s="286">
        <f>'Data-temp_employment'!CS23-last_qrtr_tempemp!CT23</f>
        <v>0.90000000000000036</v>
      </c>
      <c r="CT23" s="286">
        <f>'Data-temp_employment'!CT23-last_qrtr_tempemp!CU23</f>
        <v>-0.30000000000000027</v>
      </c>
      <c r="CU23" s="286">
        <f>'Data-temp_employment'!CU23-last_qrtr_tempemp!CV23</f>
        <v>-2.2999999999999998</v>
      </c>
      <c r="CV23" s="286">
        <f>'Data-temp_employment'!CV23</f>
        <v>6.1</v>
      </c>
      <c r="CW23" s="285" t="s">
        <v>44</v>
      </c>
      <c r="CX23" s="286">
        <f>'Data-temp_employment'!CX23-last_qrtr_tempemp!CY23</f>
        <v>-3.9000000000000004</v>
      </c>
      <c r="CY23" s="286">
        <f>'Data-temp_employment'!CY23-last_qrtr_tempemp!CZ23</f>
        <v>-1.4000000000000004</v>
      </c>
      <c r="CZ23" s="286">
        <f>'Data-temp_employment'!CZ23-last_qrtr_tempemp!DA23</f>
        <v>1.4000000000000004</v>
      </c>
      <c r="DA23" s="286">
        <f>'Data-temp_employment'!DA23-last_qrtr_tempemp!DB23</f>
        <v>1.2000000000000002</v>
      </c>
      <c r="DB23" s="286">
        <f>'Data-temp_employment'!DB23-last_qrtr_tempemp!DC23</f>
        <v>-2.3000000000000007</v>
      </c>
      <c r="DC23" s="286">
        <f>'Data-temp_employment'!DC23-last_qrtr_tempemp!DD23</f>
        <v>-0.20000000000000018</v>
      </c>
      <c r="DD23" s="286">
        <f>'Data-temp_employment'!DD23-last_qrtr_tempemp!DE23</f>
        <v>1.4000000000000004</v>
      </c>
      <c r="DE23" s="286">
        <f>'Data-temp_employment'!DE23-last_qrtr_tempemp!DF23</f>
        <v>-0.5</v>
      </c>
      <c r="DF23" s="286">
        <f>'Data-temp_employment'!DF23-last_qrtr_tempemp!DG23</f>
        <v>-3.9</v>
      </c>
      <c r="DG23" s="286">
        <f>'Data-temp_employment'!DG23</f>
        <v>6.4</v>
      </c>
      <c r="DH23" s="285" t="s">
        <v>44</v>
      </c>
      <c r="DI23" s="286">
        <f>'Data-temp_employment'!DI23-last_qrtr_tempemp!DJ23</f>
        <v>-1.1000000000000005</v>
      </c>
      <c r="DJ23" s="286">
        <f>'Data-temp_employment'!DJ23-last_qrtr_tempemp!DK23</f>
        <v>1.7000000000000002</v>
      </c>
      <c r="DK23" s="286">
        <f>'Data-temp_employment'!DK23-last_qrtr_tempemp!DL23</f>
        <v>3.0999999999999996</v>
      </c>
      <c r="DL23" s="286">
        <f>'Data-temp_employment'!DL23-last_qrtr_tempemp!DM23</f>
        <v>0.60000000000000053</v>
      </c>
      <c r="DM23" s="286">
        <f>'Data-temp_employment'!DM23-last_qrtr_tempemp!DN23</f>
        <v>-2.5</v>
      </c>
      <c r="DN23" s="286">
        <f>'Data-temp_employment'!DN23-last_qrtr_tempemp!DO23</f>
        <v>-0.79999999999999982</v>
      </c>
      <c r="DO23" s="286">
        <f>'Data-temp_employment'!DO23-last_qrtr_tempemp!DP23</f>
        <v>2.2999999999999989</v>
      </c>
      <c r="DP23" s="286">
        <f>'Data-temp_employment'!DP23-last_qrtr_tempemp!DQ23</f>
        <v>0.89999999999999947</v>
      </c>
      <c r="DQ23" s="286">
        <f>'Data-temp_employment'!DQ23-last_qrtr_tempemp!DR23</f>
        <v>-0.90000000000000036</v>
      </c>
      <c r="DR23" s="286">
        <f>'Data-temp_employment'!DR23</f>
        <v>6.6</v>
      </c>
      <c r="DS23" s="285" t="s">
        <v>44</v>
      </c>
      <c r="DT23" s="286">
        <f>'Data-temp_employment'!DT23-last_qrtr_tempemp!DU23</f>
        <v>0</v>
      </c>
      <c r="DU23" s="286">
        <f>'Data-temp_employment'!DU23-last_qrtr_tempemp!DV23</f>
        <v>0</v>
      </c>
      <c r="DV23" s="286">
        <f>'Data-temp_employment'!DV23-last_qrtr_tempemp!DW23</f>
        <v>0</v>
      </c>
      <c r="DW23" s="286">
        <f>'Data-temp_employment'!DW23-last_qrtr_tempemp!DX23</f>
        <v>0</v>
      </c>
      <c r="DX23" s="286">
        <f>'Data-temp_employment'!DX23-last_qrtr_tempemp!DY23</f>
        <v>0</v>
      </c>
      <c r="DY23" s="286">
        <f>'Data-temp_employment'!DY23-last_qrtr_tempemp!DZ23</f>
        <v>0</v>
      </c>
      <c r="DZ23" s="286">
        <f>'Data-temp_employment'!DZ23-last_qrtr_tempemp!EA23</f>
        <v>0</v>
      </c>
      <c r="EA23" s="286">
        <f>'Data-temp_employment'!EA23-last_qrtr_tempemp!EB23</f>
        <v>0</v>
      </c>
      <c r="EB23" s="286">
        <f>'Data-temp_employment'!EB23-last_qrtr_tempemp!EC23</f>
        <v>0</v>
      </c>
      <c r="EC23" s="286">
        <f>'Data-temp_employment'!EC23</f>
        <v>0</v>
      </c>
      <c r="ED23" s="285" t="s">
        <v>44</v>
      </c>
      <c r="EE23" s="286">
        <f>'Data-temp_employment'!EE23-last_qrtr_tempemp!EF23</f>
        <v>0</v>
      </c>
      <c r="EF23" s="286">
        <f>'Data-temp_employment'!EF23-last_qrtr_tempemp!EG23</f>
        <v>0</v>
      </c>
      <c r="EG23" s="286">
        <f>'Data-temp_employment'!EG23-last_qrtr_tempemp!EH23</f>
        <v>0</v>
      </c>
      <c r="EH23" s="286">
        <f>'Data-temp_employment'!EH23-last_qrtr_tempemp!EI23</f>
        <v>0</v>
      </c>
      <c r="EI23" s="286">
        <f>'Data-temp_employment'!EI23-last_qrtr_tempemp!EJ23</f>
        <v>0</v>
      </c>
      <c r="EJ23" s="286">
        <f>'Data-temp_employment'!EJ23-last_qrtr_tempemp!EK23</f>
        <v>0</v>
      </c>
      <c r="EK23" s="286">
        <f>'Data-temp_employment'!EK23-last_qrtr_tempemp!EL23</f>
        <v>0</v>
      </c>
      <c r="EL23" s="286">
        <f>'Data-temp_employment'!EL23-last_qrtr_tempemp!EM23</f>
        <v>0</v>
      </c>
      <c r="EM23" s="286">
        <f>'Data-temp_employment'!EM23-last_qrtr_tempemp!EN23</f>
        <v>0</v>
      </c>
      <c r="EN23" s="286">
        <f>'Data-temp_employment'!EN23</f>
        <v>0</v>
      </c>
      <c r="EO23" s="285" t="s">
        <v>44</v>
      </c>
      <c r="EP23" s="286">
        <f>'Data-temp_employment'!EP23-last_qrtr_tempemp!EQ23</f>
        <v>-1.7999999999999998</v>
      </c>
      <c r="EQ23" s="286">
        <f>'Data-temp_employment'!EQ23-last_qrtr_tempemp!ER23</f>
        <v>0.90000000000000036</v>
      </c>
      <c r="ER23" s="286">
        <f>'Data-temp_employment'!ER23-last_qrtr_tempemp!ES23</f>
        <v>0.20000000000000018</v>
      </c>
      <c r="ES23" s="286">
        <f>'Data-temp_employment'!ES23-last_qrtr_tempemp!ET23</f>
        <v>-0.5</v>
      </c>
      <c r="ET23" s="286">
        <f>'Data-temp_employment'!ET23-last_qrtr_tempemp!EU23</f>
        <v>-1.9000000000000004</v>
      </c>
      <c r="EU23" s="286">
        <f>'Data-temp_employment'!EU23-last_qrtr_tempemp!EV23</f>
        <v>0</v>
      </c>
      <c r="EV23" s="286">
        <f>'Data-temp_employment'!EV23-last_qrtr_tempemp!EW23</f>
        <v>0.79999999999999982</v>
      </c>
      <c r="EW23" s="286">
        <f>'Data-temp_employment'!EW23-last_qrtr_tempemp!EX23</f>
        <v>0.60000000000000009</v>
      </c>
      <c r="EX23" s="286">
        <f>'Data-temp_employment'!EX23-last_qrtr_tempemp!EY23</f>
        <v>9.9999999999999645E-2</v>
      </c>
      <c r="EY23" s="286">
        <f>'Data-temp_employment'!EY23</f>
        <v>4.4000000000000004</v>
      </c>
      <c r="EZ23" s="285" t="s">
        <v>44</v>
      </c>
      <c r="FA23" s="286">
        <f>'Data-temp_employment'!FA23-last_qrtr_tempemp!FB23</f>
        <v>-0.20000000000000018</v>
      </c>
      <c r="FB23" s="286">
        <f>'Data-temp_employment'!FB23-last_qrtr_tempemp!FC23</f>
        <v>-0.19999999999999973</v>
      </c>
      <c r="FC23" s="286">
        <f>'Data-temp_employment'!FC23-last_qrtr_tempemp!FD23</f>
        <v>0.10000000000000009</v>
      </c>
      <c r="FD23" s="286">
        <f>'Data-temp_employment'!FD23-last_qrtr_tempemp!FE23</f>
        <v>0.39999999999999991</v>
      </c>
      <c r="FE23" s="286">
        <f>'Data-temp_employment'!FE23-last_qrtr_tempemp!FF23</f>
        <v>-0.10000000000000009</v>
      </c>
      <c r="FF23" s="286">
        <f>'Data-temp_employment'!FF23-last_qrtr_tempemp!FG23</f>
        <v>0.10000000000000009</v>
      </c>
      <c r="FG23" s="286">
        <f>'Data-temp_employment'!FG23-last_qrtr_tempemp!FH23</f>
        <v>-0.60000000000000009</v>
      </c>
      <c r="FH23" s="286">
        <f>'Data-temp_employment'!FH23-last_qrtr_tempemp!FI23</f>
        <v>-0.8</v>
      </c>
      <c r="FI23" s="286">
        <f>'Data-temp_employment'!FI23-last_qrtr_tempemp!FJ23</f>
        <v>-1</v>
      </c>
      <c r="FJ23" s="286">
        <f>'Data-temp_employment'!FJ23</f>
        <v>2</v>
      </c>
      <c r="FK23" s="285" t="s">
        <v>44</v>
      </c>
      <c r="FL23" s="286">
        <f>'Data-temp_employment'!FL23-last_qrtr_tempemp!FM23</f>
        <v>0</v>
      </c>
      <c r="FM23" s="286">
        <f>'Data-temp_employment'!FM23-last_qrtr_tempemp!FN23</f>
        <v>1.5</v>
      </c>
      <c r="FN23" s="286">
        <f>'Data-temp_employment'!FN23-last_qrtr_tempemp!FO23</f>
        <v>1.4</v>
      </c>
      <c r="FO23" s="286">
        <f>'Data-temp_employment'!FO23-last_qrtr_tempemp!FP23</f>
        <v>0</v>
      </c>
      <c r="FP23" s="286">
        <f>'Data-temp_employment'!FP23-last_qrtr_tempemp!FQ23</f>
        <v>0</v>
      </c>
      <c r="FQ23" s="286">
        <f>'Data-temp_employment'!FQ23-last_qrtr_tempemp!FR23</f>
        <v>1.6</v>
      </c>
      <c r="FR23" s="286">
        <f>'Data-temp_employment'!FR23-last_qrtr_tempemp!FS23</f>
        <v>1.7</v>
      </c>
      <c r="FS23" s="286">
        <f>'Data-temp_employment'!FS23-last_qrtr_tempemp!FT23</f>
        <v>1.1000000000000001</v>
      </c>
      <c r="FT23" s="286">
        <f>'Data-temp_employment'!FT23-last_qrtr_tempemp!FU23</f>
        <v>0</v>
      </c>
      <c r="FU23" s="286">
        <f>'Data-temp_employment'!FU23</f>
        <v>1.1000000000000001</v>
      </c>
      <c r="FV23" s="285" t="s">
        <v>44</v>
      </c>
      <c r="FW23" s="286">
        <f>'Data-temp_employment'!FW23-last_qrtr_tempemp!FX23</f>
        <v>-3.3</v>
      </c>
      <c r="FX23" s="286">
        <f>'Data-temp_employment'!FX23-last_qrtr_tempemp!FY23</f>
        <v>-1.4000000000000004</v>
      </c>
      <c r="FY23" s="286">
        <f>'Data-temp_employment'!FY23-last_qrtr_tempemp!FZ23</f>
        <v>2.4000000000000004</v>
      </c>
      <c r="FZ23" s="286">
        <f>'Data-temp_employment'!FZ23-last_qrtr_tempemp!GA23</f>
        <v>2</v>
      </c>
      <c r="GA23" s="286">
        <f>'Data-temp_employment'!GA23-last_qrtr_tempemp!GB23</f>
        <v>-1.7000000000000002</v>
      </c>
      <c r="GB23" s="286">
        <f>'Data-temp_employment'!GB23-last_qrtr_tempemp!GC23</f>
        <v>-0.40000000000000036</v>
      </c>
      <c r="GC23" s="286">
        <f>'Data-temp_employment'!GC23-last_qrtr_tempemp!GD23</f>
        <v>1</v>
      </c>
      <c r="GD23" s="286">
        <f>'Data-temp_employment'!GD23-last_qrtr_tempemp!GE23</f>
        <v>-9.9999999999999645E-2</v>
      </c>
      <c r="GE23" s="286">
        <f>'Data-temp_employment'!GE23-last_qrtr_tempemp!GF23</f>
        <v>-2</v>
      </c>
      <c r="GF23" s="286">
        <f>'Data-temp_employment'!GF23</f>
        <v>7.3</v>
      </c>
      <c r="GG23" s="285" t="s">
        <v>44</v>
      </c>
      <c r="GH23" s="286">
        <f>'Data-temp_employment'!GH23-last_qrtr_tempemp!GI23</f>
        <v>0</v>
      </c>
      <c r="GI23" s="286">
        <f>'Data-temp_employment'!GI23-last_qrtr_tempemp!GJ23</f>
        <v>0</v>
      </c>
      <c r="GJ23" s="286">
        <f>'Data-temp_employment'!GJ23-last_qrtr_tempemp!GK23</f>
        <v>0</v>
      </c>
      <c r="GK23" s="286">
        <f>'Data-temp_employment'!GK23-last_qrtr_tempemp!GL23</f>
        <v>0</v>
      </c>
      <c r="GL23" s="286">
        <f>'Data-temp_employment'!GL23-last_qrtr_tempemp!GM23</f>
        <v>0</v>
      </c>
      <c r="GM23" s="286">
        <f>'Data-temp_employment'!GM23-last_qrtr_tempemp!GN23</f>
        <v>0</v>
      </c>
      <c r="GN23" s="286">
        <f>'Data-temp_employment'!GN23-last_qrtr_tempemp!GO23</f>
        <v>0</v>
      </c>
      <c r="GO23" s="286">
        <f>'Data-temp_employment'!GO23-last_qrtr_tempemp!GP23</f>
        <v>0</v>
      </c>
      <c r="GP23" s="286">
        <f>'Data-temp_employment'!GP23-last_qrtr_tempemp!GQ23</f>
        <v>0</v>
      </c>
      <c r="GQ23" s="286">
        <f>'Data-temp_employment'!GQ23</f>
        <v>0</v>
      </c>
      <c r="GR23" s="285" t="s">
        <v>44</v>
      </c>
      <c r="GS23" s="286">
        <f>'Data-temp_employment'!GS23-last_qrtr_tempemp!GT23</f>
        <v>-1.3</v>
      </c>
      <c r="GT23" s="286">
        <f>'Data-temp_employment'!GT23-last_qrtr_tempemp!GU23</f>
        <v>-1.7</v>
      </c>
      <c r="GU23" s="286">
        <f>'Data-temp_employment'!GU23-last_qrtr_tempemp!GV23</f>
        <v>-1</v>
      </c>
      <c r="GV23" s="286">
        <f>'Data-temp_employment'!GV23-last_qrtr_tempemp!GW23</f>
        <v>0</v>
      </c>
      <c r="GW23" s="286">
        <f>'Data-temp_employment'!GW23-last_qrtr_tempemp!GX23</f>
        <v>-1.1000000000000001</v>
      </c>
      <c r="GX23" s="286">
        <f>'Data-temp_employment'!GX23-last_qrtr_tempemp!GY23</f>
        <v>0</v>
      </c>
      <c r="GY23" s="286">
        <f>'Data-temp_employment'!GY23-last_qrtr_tempemp!GZ23</f>
        <v>0</v>
      </c>
      <c r="GZ23" s="286">
        <f>'Data-temp_employment'!GZ23-last_qrtr_tempemp!HA23</f>
        <v>0</v>
      </c>
      <c r="HA23" s="286">
        <f>'Data-temp_employment'!HA23-last_qrtr_tempemp!HB23</f>
        <v>0</v>
      </c>
      <c r="HB23" s="286">
        <f>'Data-temp_employment'!HB23</f>
        <v>0</v>
      </c>
      <c r="HC23" s="285" t="s">
        <v>44</v>
      </c>
      <c r="HD23" s="286">
        <f>'Data-temp_employment'!HD23-last_qrtr_tempemp!HE23</f>
        <v>0</v>
      </c>
      <c r="HE23" s="286">
        <f>'Data-temp_employment'!HE23-last_qrtr_tempemp!HF23</f>
        <v>0</v>
      </c>
      <c r="HF23" s="286">
        <f>'Data-temp_employment'!HF23-last_qrtr_tempemp!HG23</f>
        <v>0</v>
      </c>
      <c r="HG23" s="286">
        <f>'Data-temp_employment'!HG23-last_qrtr_tempemp!HH23</f>
        <v>0</v>
      </c>
      <c r="HH23" s="286">
        <f>'Data-temp_employment'!HH23-last_qrtr_tempemp!HI23</f>
        <v>0</v>
      </c>
      <c r="HI23" s="286">
        <f>'Data-temp_employment'!HI23-last_qrtr_tempemp!HJ23</f>
        <v>0</v>
      </c>
      <c r="HJ23" s="286">
        <f>'Data-temp_employment'!HJ23-last_qrtr_tempemp!HK23</f>
        <v>0</v>
      </c>
      <c r="HK23" s="286">
        <f>'Data-temp_employment'!HK23-last_qrtr_tempemp!HL23</f>
        <v>0</v>
      </c>
      <c r="HL23" s="286">
        <f>'Data-temp_employment'!HL23-last_qrtr_tempemp!HM23</f>
        <v>0</v>
      </c>
      <c r="HM23" s="286">
        <f>'Data-temp_employment'!HM23</f>
        <v>0</v>
      </c>
      <c r="HN23" s="285" t="s">
        <v>44</v>
      </c>
      <c r="HO23" s="286">
        <f>'Data-temp_employment'!HO23-last_qrtr_tempemp!HP23</f>
        <v>-4.8</v>
      </c>
      <c r="HP23" s="286">
        <f>'Data-temp_employment'!HP23-last_qrtr_tempemp!HQ23</f>
        <v>-0.29999999999999982</v>
      </c>
      <c r="HQ23" s="286">
        <f>'Data-temp_employment'!HQ23-last_qrtr_tempemp!HR23</f>
        <v>2.2000000000000002</v>
      </c>
      <c r="HR23" s="286">
        <f>'Data-temp_employment'!HR23-last_qrtr_tempemp!HS23</f>
        <v>1.7</v>
      </c>
      <c r="HS23" s="286">
        <f>'Data-temp_employment'!HS23-last_qrtr_tempemp!HT23</f>
        <v>-4.3</v>
      </c>
      <c r="HT23" s="286">
        <f>'Data-temp_employment'!HT23-last_qrtr_tempemp!HU23</f>
        <v>-1.1999999999999997</v>
      </c>
      <c r="HU23" s="286">
        <f>'Data-temp_employment'!HU23-last_qrtr_tempemp!HV23</f>
        <v>1.3</v>
      </c>
      <c r="HV23" s="286">
        <f>'Data-temp_employment'!HV23-last_qrtr_tempemp!HW23</f>
        <v>1.1000000000000001</v>
      </c>
      <c r="HW23" s="286">
        <f>'Data-temp_employment'!HW23-last_qrtr_tempemp!HX23</f>
        <v>-2.7</v>
      </c>
      <c r="HX23" s="286">
        <f>'Data-temp_employment'!HX23</f>
        <v>1.9</v>
      </c>
      <c r="HY23" s="285" t="s">
        <v>44</v>
      </c>
      <c r="HZ23" s="286">
        <f>'Data-temp_employment'!HZ23-last_qrtr_tempemp!IA23</f>
        <v>0</v>
      </c>
      <c r="IA23" s="286">
        <f>'Data-temp_employment'!IA23-last_qrtr_tempemp!IB23</f>
        <v>0</v>
      </c>
      <c r="IB23" s="286">
        <f>'Data-temp_employment'!IB23-last_qrtr_tempemp!IC23</f>
        <v>0</v>
      </c>
      <c r="IC23" s="286">
        <f>'Data-temp_employment'!IC23-last_qrtr_tempemp!ID23</f>
        <v>0</v>
      </c>
      <c r="ID23" s="286">
        <f>'Data-temp_employment'!ID23-last_qrtr_tempemp!IE23</f>
        <v>0</v>
      </c>
      <c r="IE23" s="286">
        <f>'Data-temp_employment'!IE23-last_qrtr_tempemp!IF23</f>
        <v>0</v>
      </c>
      <c r="IF23" s="286">
        <f>'Data-temp_employment'!IF23-last_qrtr_tempemp!IG23</f>
        <v>0</v>
      </c>
      <c r="IG23" s="286">
        <f>'Data-temp_employment'!IG23-last_qrtr_tempemp!IH23</f>
        <v>0</v>
      </c>
      <c r="IH23" s="286">
        <f>'Data-temp_employment'!IH23-last_qrtr_tempemp!II23</f>
        <v>0</v>
      </c>
      <c r="II23" s="286">
        <f>'Data-temp_employment'!II23</f>
        <v>0</v>
      </c>
      <c r="IJ23" s="285" t="s">
        <v>44</v>
      </c>
      <c r="IK23" s="286">
        <f>'Data-temp_employment'!IK23-last_qrtr_tempemp!IL23</f>
        <v>0</v>
      </c>
      <c r="IL23" s="286">
        <f>'Data-temp_employment'!IL23-last_qrtr_tempemp!IM23</f>
        <v>0</v>
      </c>
      <c r="IM23" s="286">
        <f>'Data-temp_employment'!IM23-last_qrtr_tempemp!IN23</f>
        <v>0</v>
      </c>
      <c r="IN23" s="286">
        <f>'Data-temp_employment'!IN23-last_qrtr_tempemp!IO23</f>
        <v>0</v>
      </c>
      <c r="IO23" s="286">
        <f>'Data-temp_employment'!IO23-last_qrtr_tempemp!IP23</f>
        <v>0</v>
      </c>
      <c r="IP23" s="286">
        <f>'Data-temp_employment'!IP23-last_qrtr_tempemp!IQ23</f>
        <v>0</v>
      </c>
      <c r="IQ23" s="286">
        <f>'Data-temp_employment'!IQ23-last_qrtr_tempemp!IR23</f>
        <v>0</v>
      </c>
      <c r="IR23" s="286">
        <f>'Data-temp_employment'!IR23-last_qrtr_tempemp!IS23</f>
        <v>0</v>
      </c>
      <c r="IS23" s="286">
        <f>'Data-temp_employment'!IS23-last_qrtr_tempemp!IT23</f>
        <v>0</v>
      </c>
      <c r="IT23" s="286">
        <f>'Data-temp_employment'!IT23</f>
        <v>0</v>
      </c>
      <c r="IU23" s="285" t="s">
        <v>44</v>
      </c>
      <c r="IV23" s="286">
        <f>'Data-temp_employment'!IV23-last_qrtr_tempemp!IW23</f>
        <v>0</v>
      </c>
      <c r="IW23" s="286">
        <f>'Data-temp_employment'!IW23-last_qrtr_tempemp!IX23</f>
        <v>0</v>
      </c>
      <c r="IX23" s="286">
        <f>'Data-temp_employment'!IX23-last_qrtr_tempemp!IY23</f>
        <v>0</v>
      </c>
      <c r="IY23" s="286">
        <f>'Data-temp_employment'!IY23-last_qrtr_tempemp!IZ23</f>
        <v>0</v>
      </c>
      <c r="IZ23" s="286">
        <f>'Data-temp_employment'!IZ23-last_qrtr_tempemp!JA23</f>
        <v>0</v>
      </c>
      <c r="JA23" s="286">
        <f>'Data-temp_employment'!JA23-last_qrtr_tempemp!JB23</f>
        <v>0</v>
      </c>
      <c r="JB23" s="286">
        <f>'Data-temp_employment'!JB23-last_qrtr_tempemp!JC23</f>
        <v>0</v>
      </c>
      <c r="JC23" s="286">
        <f>'Data-temp_employment'!JC23-last_qrtr_tempemp!JD23</f>
        <v>0</v>
      </c>
      <c r="JD23" s="286">
        <f>'Data-temp_employment'!JD23-last_qrtr_tempemp!JE23</f>
        <v>0</v>
      </c>
      <c r="JE23" s="286">
        <f>'Data-temp_employment'!JE23</f>
        <v>0</v>
      </c>
      <c r="JF23" s="285" t="s">
        <v>44</v>
      </c>
      <c r="JG23" s="286">
        <f>'Data-temp_employment'!JG23-last_qrtr_tempemp!JH23</f>
        <v>-0.60000000000000009</v>
      </c>
      <c r="JH23" s="286">
        <f>'Data-temp_employment'!JH23-last_qrtr_tempemp!JI23</f>
        <v>-0.30000000000000004</v>
      </c>
      <c r="JI23" s="286">
        <f>'Data-temp_employment'!JI23-last_qrtr_tempemp!JJ23</f>
        <v>0.7</v>
      </c>
      <c r="JJ23" s="286">
        <f>'Data-temp_employment'!JJ23-last_qrtr_tempemp!JK23</f>
        <v>0.5</v>
      </c>
      <c r="JK23" s="286">
        <f>'Data-temp_employment'!JK23-last_qrtr_tempemp!JL23</f>
        <v>-0.7</v>
      </c>
      <c r="JL23" s="286">
        <f>'Data-temp_employment'!JL23-last_qrtr_tempemp!JM23</f>
        <v>-1.9</v>
      </c>
      <c r="JM23" s="286">
        <f>'Data-temp_employment'!JM23-last_qrtr_tempemp!JN23</f>
        <v>0.20000000000000018</v>
      </c>
      <c r="JN23" s="286">
        <f>'Data-temp_employment'!JN23-last_qrtr_tempemp!JO23</f>
        <v>-1.1000000000000001</v>
      </c>
      <c r="JO23" s="286">
        <f>'Data-temp_employment'!JO23-last_qrtr_tempemp!JP23</f>
        <v>0</v>
      </c>
      <c r="JP23" s="286">
        <f>'Data-temp_employment'!JP23</f>
        <v>0</v>
      </c>
      <c r="JQ23" s="285" t="s">
        <v>44</v>
      </c>
      <c r="JR23" s="286">
        <f>'Data-temp_employment'!JR23-last_qrtr_tempemp!JS23</f>
        <v>0</v>
      </c>
      <c r="JS23" s="286">
        <f>'Data-temp_employment'!JS23-last_qrtr_tempemp!JT23</f>
        <v>-1.5</v>
      </c>
      <c r="JT23" s="286">
        <f>'Data-temp_employment'!JT23-last_qrtr_tempemp!JU23</f>
        <v>0</v>
      </c>
      <c r="JU23" s="286">
        <f>'Data-temp_employment'!JU23-last_qrtr_tempemp!JV23</f>
        <v>0</v>
      </c>
      <c r="JV23" s="286">
        <f>'Data-temp_employment'!JV23-last_qrtr_tempemp!JW23</f>
        <v>-1.1000000000000001</v>
      </c>
      <c r="JW23" s="286">
        <f>'Data-temp_employment'!JW23-last_qrtr_tempemp!JX23</f>
        <v>-1</v>
      </c>
      <c r="JX23" s="286">
        <f>'Data-temp_employment'!JX23-last_qrtr_tempemp!JY23</f>
        <v>0</v>
      </c>
      <c r="JY23" s="286">
        <f>'Data-temp_employment'!JY23-last_qrtr_tempemp!JZ23</f>
        <v>0</v>
      </c>
      <c r="JZ23" s="286">
        <f>'Data-temp_employment'!JZ23-last_qrtr_tempemp!KA23</f>
        <v>0</v>
      </c>
      <c r="KA23" s="286">
        <f>'Data-temp_employment'!KA23</f>
        <v>0</v>
      </c>
      <c r="KB23" s="285" t="s">
        <v>44</v>
      </c>
      <c r="KC23" s="286">
        <f>'Data-temp_employment'!KC23-last_qrtr_tempemp!KD23</f>
        <v>0</v>
      </c>
      <c r="KD23" s="286">
        <f>'Data-temp_employment'!KD23-last_qrtr_tempemp!KE23</f>
        <v>-0.60000000000000009</v>
      </c>
      <c r="KE23" s="286">
        <f>'Data-temp_employment'!KE23-last_qrtr_tempemp!KF23</f>
        <v>0.79999999999999982</v>
      </c>
      <c r="KF23" s="286">
        <f>'Data-temp_employment'!KF23-last_qrtr_tempemp!KG23</f>
        <v>0.5</v>
      </c>
      <c r="KG23" s="286">
        <f>'Data-temp_employment'!KG23-last_qrtr_tempemp!KH23</f>
        <v>-0.90000000000000013</v>
      </c>
      <c r="KH23" s="286">
        <f>'Data-temp_employment'!KH23-last_qrtr_tempemp!KI23</f>
        <v>-1.2</v>
      </c>
      <c r="KI23" s="286">
        <f>'Data-temp_employment'!KI23-last_qrtr_tempemp!KJ23</f>
        <v>-0.59999999999999987</v>
      </c>
      <c r="KJ23" s="286">
        <f>'Data-temp_employment'!KJ23-last_qrtr_tempemp!KK23</f>
        <v>-0.19999999999999996</v>
      </c>
      <c r="KK23" s="286">
        <f>'Data-temp_employment'!KK23-last_qrtr_tempemp!KL23</f>
        <v>-0.5</v>
      </c>
      <c r="KL23" s="286">
        <f>'Data-temp_employment'!KL23</f>
        <v>2</v>
      </c>
      <c r="KM23" s="285" t="s">
        <v>44</v>
      </c>
      <c r="KN23" s="286">
        <f>'Data-temp_employment'!KN23-last_qrtr_tempemp!KO23</f>
        <v>0</v>
      </c>
      <c r="KO23" s="286">
        <f>'Data-temp_employment'!KO23-last_qrtr_tempemp!KP23</f>
        <v>0.10000000000000009</v>
      </c>
      <c r="KP23" s="286">
        <f>'Data-temp_employment'!KP23-last_qrtr_tempemp!KQ23</f>
        <v>2.2000000000000002</v>
      </c>
      <c r="KQ23" s="286">
        <f>'Data-temp_employment'!KQ23-last_qrtr_tempemp!KR23</f>
        <v>1.1000000000000001</v>
      </c>
      <c r="KR23" s="286">
        <f>'Data-temp_employment'!KR23-last_qrtr_tempemp!KS23</f>
        <v>-0.30000000000000004</v>
      </c>
      <c r="KS23" s="286">
        <f>'Data-temp_employment'!KS23-last_qrtr_tempemp!KT23</f>
        <v>-0.70000000000000018</v>
      </c>
      <c r="KT23" s="286">
        <f>'Data-temp_employment'!KT23-last_qrtr_tempemp!KU23</f>
        <v>0.7</v>
      </c>
      <c r="KU23" s="286">
        <f>'Data-temp_employment'!KU23-last_qrtr_tempemp!KV23</f>
        <v>0</v>
      </c>
      <c r="KV23" s="286">
        <f>'Data-temp_employment'!KV23-last_qrtr_tempemp!KW23</f>
        <v>-0.39999999999999991</v>
      </c>
      <c r="KW23" s="286">
        <f>'Data-temp_employment'!KW23</f>
        <v>1.3</v>
      </c>
      <c r="KX23" s="285" t="s">
        <v>44</v>
      </c>
      <c r="KY23" s="286">
        <f>'Data-temp_employment'!KY23-last_qrtr_tempemp!KZ23</f>
        <v>-0.30000000000000004</v>
      </c>
      <c r="KZ23" s="286">
        <f>'Data-temp_employment'!KZ23-last_qrtr_tempemp!LA23</f>
        <v>0.20000000000000018</v>
      </c>
      <c r="LA23" s="286">
        <f>'Data-temp_employment'!LA23-last_qrtr_tempemp!LB23</f>
        <v>2.2999999999999998</v>
      </c>
      <c r="LB23" s="286">
        <f>'Data-temp_employment'!LB23-last_qrtr_tempemp!LC23</f>
        <v>-1.3</v>
      </c>
      <c r="LC23" s="286">
        <f>'Data-temp_employment'!LC23-last_qrtr_tempemp!LD23</f>
        <v>-2.5</v>
      </c>
      <c r="LD23" s="286">
        <f>'Data-temp_employment'!LD23-last_qrtr_tempemp!LE23</f>
        <v>-0.79999999999999982</v>
      </c>
      <c r="LE23" s="286">
        <f>'Data-temp_employment'!LE23-last_qrtr_tempemp!LF23</f>
        <v>1.7</v>
      </c>
      <c r="LF23" s="286">
        <f>'Data-temp_employment'!LF23-last_qrtr_tempemp!LG23</f>
        <v>0</v>
      </c>
      <c r="LG23" s="286">
        <f>'Data-temp_employment'!LG23-last_qrtr_tempemp!LH23</f>
        <v>-1.5</v>
      </c>
      <c r="LH23" s="286">
        <f>'Data-temp_employment'!LH23</f>
        <v>1.1000000000000001</v>
      </c>
      <c r="LI23" s="285" t="s">
        <v>44</v>
      </c>
      <c r="LJ23" s="286">
        <f>'Data-temp_employment'!LJ23-last_qrtr_tempemp!LK23</f>
        <v>0</v>
      </c>
      <c r="LK23" s="286">
        <f>'Data-temp_employment'!LK23-last_qrtr_tempemp!LL23</f>
        <v>0</v>
      </c>
      <c r="LL23" s="286">
        <f>'Data-temp_employment'!LL23-last_qrtr_tempemp!LM23</f>
        <v>0</v>
      </c>
      <c r="LM23" s="286">
        <f>'Data-temp_employment'!LM23-last_qrtr_tempemp!LN23</f>
        <v>0</v>
      </c>
      <c r="LN23" s="286">
        <f>'Data-temp_employment'!LN23-last_qrtr_tempemp!LO23</f>
        <v>0</v>
      </c>
      <c r="LO23" s="286">
        <f>'Data-temp_employment'!LO23-last_qrtr_tempemp!LP23</f>
        <v>0</v>
      </c>
      <c r="LP23" s="286">
        <f>'Data-temp_employment'!LP23-last_qrtr_tempemp!LQ23</f>
        <v>0</v>
      </c>
      <c r="LQ23" s="286">
        <f>'Data-temp_employment'!LQ23-last_qrtr_tempemp!LR23</f>
        <v>0</v>
      </c>
      <c r="LR23" s="286">
        <f>'Data-temp_employment'!LR23-last_qrtr_tempemp!LS23</f>
        <v>0</v>
      </c>
      <c r="LS23" s="286">
        <f>'Data-temp_employment'!LS23</f>
        <v>0</v>
      </c>
      <c r="LT23" s="285" t="s">
        <v>44</v>
      </c>
      <c r="LU23" s="286">
        <f>'Data-temp_employment'!LU23-last_qrtr_tempemp!LV23</f>
        <v>0</v>
      </c>
      <c r="LV23" s="286">
        <f>'Data-temp_employment'!LV23-last_qrtr_tempemp!LW23</f>
        <v>0</v>
      </c>
      <c r="LW23" s="286">
        <f>'Data-temp_employment'!LW23-last_qrtr_tempemp!LX23</f>
        <v>0</v>
      </c>
      <c r="LX23" s="286">
        <f>'Data-temp_employment'!LX23-last_qrtr_tempemp!LY23</f>
        <v>0</v>
      </c>
      <c r="LY23" s="286">
        <f>'Data-temp_employment'!LY23-last_qrtr_tempemp!LZ23</f>
        <v>0</v>
      </c>
      <c r="LZ23" s="286">
        <f>'Data-temp_employment'!LZ23-last_qrtr_tempemp!MA23</f>
        <v>0</v>
      </c>
      <c r="MA23" s="286">
        <f>'Data-temp_employment'!MA23-last_qrtr_tempemp!MB23</f>
        <v>0</v>
      </c>
      <c r="MB23" s="286">
        <f>'Data-temp_employment'!MB23-last_qrtr_tempemp!MC23</f>
        <v>0</v>
      </c>
      <c r="MC23" s="286">
        <f>'Data-temp_employment'!MC23-last_qrtr_tempemp!MD23</f>
        <v>0</v>
      </c>
      <c r="MD23" s="286">
        <f>'Data-temp_employment'!MD23</f>
        <v>0</v>
      </c>
      <c r="ME23" s="285" t="s">
        <v>44</v>
      </c>
      <c r="MF23" s="286">
        <f>'Data-temp_employment'!MF23-last_qrtr_tempemp!MG23</f>
        <v>0</v>
      </c>
      <c r="MG23" s="286">
        <f>'Data-temp_employment'!MG23-last_qrtr_tempemp!MH23</f>
        <v>0</v>
      </c>
      <c r="MH23" s="286">
        <f>'Data-temp_employment'!MH23-last_qrtr_tempemp!MI23</f>
        <v>0</v>
      </c>
      <c r="MI23" s="286">
        <f>'Data-temp_employment'!MI23-last_qrtr_tempemp!MJ23</f>
        <v>0</v>
      </c>
      <c r="MJ23" s="286">
        <f>'Data-temp_employment'!MJ23-last_qrtr_tempemp!MK23</f>
        <v>0</v>
      </c>
      <c r="MK23" s="286">
        <f>'Data-temp_employment'!MK23-last_qrtr_tempemp!ML23</f>
        <v>0</v>
      </c>
      <c r="ML23" s="286">
        <f>'Data-temp_employment'!ML23-last_qrtr_tempemp!MM23</f>
        <v>0</v>
      </c>
      <c r="MM23" s="286">
        <f>'Data-temp_employment'!MM23-last_qrtr_tempemp!MN23</f>
        <v>0</v>
      </c>
      <c r="MN23" s="286">
        <f>'Data-temp_employment'!MN23-last_qrtr_tempemp!MO23</f>
        <v>0</v>
      </c>
      <c r="MO23" s="286">
        <f>'Data-temp_employment'!MO23</f>
        <v>0</v>
      </c>
      <c r="MP23" s="285" t="s">
        <v>44</v>
      </c>
      <c r="MQ23" s="286">
        <f>'Data-temp_employment'!MQ23-last_qrtr_tempemp!MR23</f>
        <v>0</v>
      </c>
      <c r="MR23" s="286">
        <f>'Data-temp_employment'!MR23-last_qrtr_tempemp!MS23</f>
        <v>0</v>
      </c>
      <c r="MS23" s="286">
        <f>'Data-temp_employment'!MS23-last_qrtr_tempemp!MT23</f>
        <v>0</v>
      </c>
      <c r="MT23" s="286">
        <f>'Data-temp_employment'!MT23-last_qrtr_tempemp!MU23</f>
        <v>0</v>
      </c>
      <c r="MU23" s="286">
        <f>'Data-temp_employment'!MU23-last_qrtr_tempemp!MV23</f>
        <v>0</v>
      </c>
      <c r="MV23" s="286">
        <f>'Data-temp_employment'!MV23-last_qrtr_tempemp!MW23</f>
        <v>0</v>
      </c>
      <c r="MW23" s="286">
        <f>'Data-temp_employment'!MW23-last_qrtr_tempemp!MX23</f>
        <v>0</v>
      </c>
      <c r="MX23" s="286">
        <f>'Data-temp_employment'!MX23-last_qrtr_tempemp!MY23</f>
        <v>0</v>
      </c>
      <c r="MY23" s="286">
        <f>'Data-temp_employment'!MY23-last_qrtr_tempemp!MZ23</f>
        <v>0</v>
      </c>
      <c r="MZ23" s="286">
        <f>'Data-temp_employment'!MZ23</f>
        <v>0</v>
      </c>
      <c r="NA23" s="285" t="s">
        <v>44</v>
      </c>
      <c r="NB23" s="286">
        <f>'Data-temp_employment'!NB23-last_qrtr_tempemp!NC23</f>
        <v>0</v>
      </c>
      <c r="NC23" s="286">
        <f>'Data-temp_employment'!NC23-last_qrtr_tempemp!ND23</f>
        <v>1.4</v>
      </c>
      <c r="ND23" s="286">
        <f>'Data-temp_employment'!ND23-last_qrtr_tempemp!NE23</f>
        <v>0</v>
      </c>
      <c r="NE23" s="286">
        <f>'Data-temp_employment'!NE23-last_qrtr_tempemp!NF23</f>
        <v>0</v>
      </c>
      <c r="NF23" s="286">
        <f>'Data-temp_employment'!NF23-last_qrtr_tempemp!NG23</f>
        <v>0</v>
      </c>
      <c r="NG23" s="286">
        <f>'Data-temp_employment'!NG23-last_qrtr_tempemp!NH23</f>
        <v>1.7</v>
      </c>
      <c r="NH23" s="286">
        <f>'Data-temp_employment'!NH23-last_qrtr_tempemp!NI23</f>
        <v>1.7</v>
      </c>
      <c r="NI23" s="286">
        <f>'Data-temp_employment'!NI23-last_qrtr_tempemp!NJ23</f>
        <v>0</v>
      </c>
      <c r="NJ23" s="286">
        <f>'Data-temp_employment'!NJ23-last_qrtr_tempemp!NK23</f>
        <v>1.2</v>
      </c>
      <c r="NK23" s="286">
        <f>'Data-temp_employment'!NK23</f>
        <v>1.8</v>
      </c>
      <c r="NL23" s="285" t="s">
        <v>44</v>
      </c>
      <c r="NM23" s="286">
        <f>'Data-temp_employment'!NM23-last_qrtr_tempemp!NN23</f>
        <v>-0.80000000000000027</v>
      </c>
      <c r="NN23" s="286">
        <f>'Data-temp_employment'!NN23-last_qrtr_tempemp!NO23</f>
        <v>1.1000000000000001</v>
      </c>
      <c r="NO23" s="286">
        <f>'Data-temp_employment'!NO23-last_qrtr_tempemp!NP23</f>
        <v>-9.9999999999999645E-2</v>
      </c>
      <c r="NP23" s="286">
        <f>'Data-temp_employment'!NP23-last_qrtr_tempemp!NQ23</f>
        <v>-0.20000000000000018</v>
      </c>
      <c r="NQ23" s="286">
        <f>'Data-temp_employment'!NQ23-last_qrtr_tempemp!NR23</f>
        <v>-0.5</v>
      </c>
      <c r="NR23" s="286">
        <f>'Data-temp_employment'!NR23-last_qrtr_tempemp!NS23</f>
        <v>0.89999999999999947</v>
      </c>
      <c r="NS23" s="286">
        <f>'Data-temp_employment'!NS23-last_qrtr_tempemp!NT23</f>
        <v>0.60000000000000009</v>
      </c>
      <c r="NT23" s="286">
        <f>'Data-temp_employment'!NT23-last_qrtr_tempemp!NU23</f>
        <v>0.5</v>
      </c>
      <c r="NU23" s="286">
        <f>'Data-temp_employment'!NU23-last_qrtr_tempemp!NV23</f>
        <v>-0.29999999999999982</v>
      </c>
      <c r="NV23" s="286">
        <f>'Data-temp_employment'!NV23</f>
        <v>3.1</v>
      </c>
      <c r="NW23" s="285" t="s">
        <v>44</v>
      </c>
      <c r="NX23" s="286">
        <f>'Data-temp_employment'!NX23-last_qrtr_tempemp!NY23</f>
        <v>-1.5999999999999999</v>
      </c>
      <c r="NY23" s="286">
        <f>'Data-temp_employment'!NY23-last_qrtr_tempemp!NZ23</f>
        <v>-1.2999999999999998</v>
      </c>
      <c r="NZ23" s="286">
        <f>'Data-temp_employment'!NZ23-last_qrtr_tempemp!OA23</f>
        <v>0</v>
      </c>
      <c r="OA23" s="286">
        <f>'Data-temp_employment'!OA23-last_qrtr_tempemp!OB23</f>
        <v>-0.40000000000000013</v>
      </c>
      <c r="OB23" s="286">
        <f>'Data-temp_employment'!OB23-last_qrtr_tempemp!OC23</f>
        <v>-1.2</v>
      </c>
      <c r="OC23" s="286">
        <f>'Data-temp_employment'!OC23-last_qrtr_tempemp!OD23</f>
        <v>-0.40000000000000036</v>
      </c>
      <c r="OD23" s="286">
        <f>'Data-temp_employment'!OD23-last_qrtr_tempemp!OE23</f>
        <v>1.3000000000000003</v>
      </c>
      <c r="OE23" s="286">
        <f>'Data-temp_employment'!OE23-last_qrtr_tempemp!OF23</f>
        <v>0.7</v>
      </c>
      <c r="OF23" s="286">
        <f>'Data-temp_employment'!OF23-last_qrtr_tempemp!OG23</f>
        <v>-0.39999999999999991</v>
      </c>
      <c r="OG23" s="286">
        <f>'Data-temp_employment'!OG23</f>
        <v>3.3</v>
      </c>
      <c r="OH23" s="287" t="s">
        <v>44</v>
      </c>
      <c r="OI23" s="286"/>
      <c r="OJ23" s="286"/>
      <c r="OK23" s="286"/>
      <c r="OL23" s="286"/>
      <c r="OM23" s="286"/>
      <c r="ON23" s="286"/>
      <c r="OO23" s="286"/>
      <c r="OP23" s="286"/>
      <c r="OQ23" s="286"/>
      <c r="OR23" s="286"/>
      <c r="OS23" s="285" t="s">
        <v>44</v>
      </c>
      <c r="OT23" s="286" t="e">
        <f>'Data-temp_employment'!#REF!-last_qrtr_tempemp!OU23</f>
        <v>#REF!</v>
      </c>
      <c r="OU23" s="286">
        <f>'Data-temp_employment'!OT23-last_qrtr_tempemp!OV23</f>
        <v>-4.7</v>
      </c>
      <c r="OV23" s="286">
        <f>'Data-temp_employment'!OU23-last_qrtr_tempemp!OW23</f>
        <v>-0.2</v>
      </c>
      <c r="OW23" s="286">
        <f>'Data-temp_employment'!OV23-last_qrtr_tempemp!OX23</f>
        <v>0.5</v>
      </c>
      <c r="OX23" s="286">
        <f>'Data-temp_employment'!OW23-last_qrtr_tempemp!OY23</f>
        <v>-1.2</v>
      </c>
      <c r="OY23" s="286">
        <f>'Data-temp_employment'!OX23-last_qrtr_tempemp!OZ23</f>
        <v>-2.2000000000000002</v>
      </c>
      <c r="OZ23" s="286">
        <f>'Data-temp_employment'!OY23-last_qrtr_tempemp!PA23</f>
        <v>-5.8</v>
      </c>
      <c r="PA23" s="286">
        <f>'Data-temp_employment'!OZ23-last_qrtr_tempemp!PB23</f>
        <v>3.5</v>
      </c>
      <c r="PB23" s="286">
        <f>'Data-temp_employment'!PA23-last_qrtr_tempemp!PC23</f>
        <v>-1.4</v>
      </c>
      <c r="PC23" s="286">
        <f>'Data-temp_employment'!PB23</f>
        <v>0</v>
      </c>
      <c r="PE23" s="319"/>
      <c r="PF23" s="319"/>
      <c r="PG23" s="319"/>
      <c r="PH23" s="319"/>
      <c r="PI23" s="319"/>
      <c r="PJ23" s="319"/>
      <c r="PK23" s="319"/>
      <c r="PL23" s="319"/>
      <c r="PM23" s="319"/>
      <c r="PN23" s="319"/>
      <c r="PO23" s="319"/>
      <c r="PP23" s="319"/>
      <c r="PQ23" s="319"/>
      <c r="PR23" s="319"/>
      <c r="PS23" s="319"/>
      <c r="PT23" s="319"/>
      <c r="PU23" s="319"/>
      <c r="PV23" s="319"/>
      <c r="PW23" s="319"/>
      <c r="PX23" s="319"/>
      <c r="PY23" s="319"/>
      <c r="PZ23" s="319"/>
      <c r="QA23" s="319"/>
      <c r="QB23" s="319"/>
      <c r="QC23" s="319"/>
      <c r="QD23" s="319"/>
      <c r="QE23" s="319"/>
      <c r="QF23" s="319"/>
      <c r="QG23" s="319"/>
      <c r="QH23" s="319"/>
      <c r="QI23" s="319"/>
      <c r="QJ23" s="319"/>
      <c r="QK23" s="319"/>
      <c r="QL23" s="319"/>
      <c r="QM23" s="319"/>
      <c r="QN23" s="319"/>
      <c r="QO23" s="319"/>
      <c r="QP23" s="319"/>
      <c r="QQ23" s="319"/>
      <c r="QR23" s="319"/>
      <c r="QS23" s="319"/>
      <c r="QT23" s="319"/>
      <c r="QU23" s="319"/>
      <c r="QV23" s="319"/>
      <c r="QW23" s="319"/>
      <c r="QX23" s="319"/>
      <c r="QY23" s="319"/>
      <c r="QZ23" s="319"/>
      <c r="RA23" s="319"/>
      <c r="RB23" s="319"/>
      <c r="RC23" s="319"/>
      <c r="RD23" s="319"/>
      <c r="RE23" s="319"/>
      <c r="RF23" s="319"/>
      <c r="RG23" s="319"/>
      <c r="RH23" s="319"/>
      <c r="RI23" s="319"/>
      <c r="RJ23" s="319"/>
      <c r="RK23" s="319"/>
      <c r="RL23" s="319"/>
      <c r="RM23" s="319"/>
      <c r="RN23" s="319"/>
      <c r="RO23" s="319"/>
      <c r="RP23" s="319"/>
    </row>
    <row r="24" spans="1:485">
      <c r="A24" s="272">
        <v>21</v>
      </c>
      <c r="B24" s="285" t="s">
        <v>22</v>
      </c>
      <c r="C24" s="286">
        <f>'Data-temp_employment'!C24-last_qrtr_tempemp!D24</f>
        <v>-0.5</v>
      </c>
      <c r="D24" s="286">
        <f>'Data-temp_employment'!D24-last_qrtr_tempemp!E24</f>
        <v>0.30000000000000071</v>
      </c>
      <c r="E24" s="286">
        <f>'Data-temp_employment'!E24-last_qrtr_tempemp!F24</f>
        <v>1.4000000000000004</v>
      </c>
      <c r="F24" s="286">
        <f>'Data-temp_employment'!F24-last_qrtr_tempemp!G24</f>
        <v>0.59999999999999964</v>
      </c>
      <c r="G24" s="286">
        <f>'Data-temp_employment'!G24-last_qrtr_tempemp!H24</f>
        <v>-0.89999999999999947</v>
      </c>
      <c r="H24" s="286">
        <f>'Data-temp_employment'!H24-last_qrtr_tempemp!I24</f>
        <v>-0.79999999999999893</v>
      </c>
      <c r="I24" s="286">
        <f>'Data-temp_employment'!I24-last_qrtr_tempemp!J24</f>
        <v>3.0000000000000009</v>
      </c>
      <c r="J24" s="286">
        <f>'Data-temp_employment'!J24-last_qrtr_tempemp!K24</f>
        <v>2.8000000000000007</v>
      </c>
      <c r="K24" s="286">
        <f>'Data-temp_employment'!K24-last_qrtr_tempemp!L24</f>
        <v>2</v>
      </c>
      <c r="L24" s="286">
        <f>'Data-temp_employment'!L24</f>
        <v>10.1</v>
      </c>
      <c r="M24" s="285" t="s">
        <v>22</v>
      </c>
      <c r="N24" s="286">
        <f>'Data-temp_employment'!N24-last_qrtr_tempemp!O24</f>
        <v>1.0999999999999943</v>
      </c>
      <c r="O24" s="286">
        <f>'Data-temp_employment'!O24-last_qrtr_tempemp!P24</f>
        <v>16.399999999999977</v>
      </c>
      <c r="P24" s="286">
        <f>'Data-temp_employment'!P24-last_qrtr_tempemp!Q24</f>
        <v>38.700000000000017</v>
      </c>
      <c r="Q24" s="286">
        <f>'Data-temp_employment'!Q24-last_qrtr_tempemp!R24</f>
        <v>25.899999999999991</v>
      </c>
      <c r="R24" s="286">
        <f>'Data-temp_employment'!R24-last_qrtr_tempemp!S24</f>
        <v>-2.5999999999999943</v>
      </c>
      <c r="S24" s="286">
        <f>'Data-temp_employment'!S24-last_qrtr_tempemp!T24</f>
        <v>-0.19999999999998863</v>
      </c>
      <c r="T24" s="286">
        <f>'Data-temp_employment'!T24-last_qrtr_tempemp!U24</f>
        <v>67.900000000000006</v>
      </c>
      <c r="U24" s="286">
        <f>'Data-temp_employment'!U24-last_qrtr_tempemp!V24</f>
        <v>64.5</v>
      </c>
      <c r="V24" s="286">
        <f>'Data-temp_employment'!V24-last_qrtr_tempemp!W24</f>
        <v>48.099999999999994</v>
      </c>
      <c r="W24" s="286">
        <f>'Data-temp_employment'!W24</f>
        <v>188.6</v>
      </c>
      <c r="X24" s="285" t="s">
        <v>22</v>
      </c>
      <c r="Y24" s="286">
        <f>'Data-temp_employment'!Y24-last_qrtr_tempemp!Z24</f>
        <v>-4.0999999999999996</v>
      </c>
      <c r="Z24" s="286">
        <f>'Data-temp_employment'!Z24-last_qrtr_tempemp!AA24</f>
        <v>-1.1000000000000001</v>
      </c>
      <c r="AA24" s="286">
        <f>'Data-temp_employment'!AA24-last_qrtr_tempemp!AB24</f>
        <v>0.20000000000000018</v>
      </c>
      <c r="AB24" s="286">
        <f>'Data-temp_employment'!AB24-last_qrtr_tempemp!AC24</f>
        <v>2.9</v>
      </c>
      <c r="AC24" s="286">
        <f>'Data-temp_employment'!AC24-last_qrtr_tempemp!AD24</f>
        <v>0</v>
      </c>
      <c r="AD24" s="286">
        <f>'Data-temp_employment'!AD24-last_qrtr_tempemp!AE24</f>
        <v>-0.70000000000000018</v>
      </c>
      <c r="AE24" s="286">
        <f>'Data-temp_employment'!AE24-last_qrtr_tempemp!AF24</f>
        <v>8.6000000000000014</v>
      </c>
      <c r="AF24" s="286">
        <f>'Data-temp_employment'!AF24-last_qrtr_tempemp!AG24</f>
        <v>7.9</v>
      </c>
      <c r="AG24" s="286">
        <f>'Data-temp_employment'!AG24-last_qrtr_tempemp!AH24</f>
        <v>5.6</v>
      </c>
      <c r="AH24" s="286">
        <f>'Data-temp_employment'!AH24</f>
        <v>8.3000000000000007</v>
      </c>
      <c r="AI24" s="285" t="s">
        <v>22</v>
      </c>
      <c r="AJ24" s="286">
        <f>'Data-temp_employment'!AJ24-last_qrtr_tempemp!AK24</f>
        <v>-2</v>
      </c>
      <c r="AK24" s="286">
        <f>'Data-temp_employment'!AK24-last_qrtr_tempemp!AL24</f>
        <v>-5.7999999999999989</v>
      </c>
      <c r="AL24" s="286">
        <f>'Data-temp_employment'!AL24-last_qrtr_tempemp!AM24</f>
        <v>12</v>
      </c>
      <c r="AM24" s="286">
        <f>'Data-temp_employment'!AM24-last_qrtr_tempemp!AN24</f>
        <v>6</v>
      </c>
      <c r="AN24" s="286">
        <f>'Data-temp_employment'!AN24-last_qrtr_tempemp!AO24</f>
        <v>-3</v>
      </c>
      <c r="AO24" s="286">
        <f>'Data-temp_employment'!AO24-last_qrtr_tempemp!AP24</f>
        <v>-5.5</v>
      </c>
      <c r="AP24" s="286">
        <f>'Data-temp_employment'!AP24-last_qrtr_tempemp!AQ24</f>
        <v>23.699999999999996</v>
      </c>
      <c r="AQ24" s="286">
        <f>'Data-temp_employment'!AQ24-last_qrtr_tempemp!AR24</f>
        <v>15.100000000000001</v>
      </c>
      <c r="AR24" s="286">
        <f>'Data-temp_employment'!AR24-last_qrtr_tempemp!AS24</f>
        <v>5.0999999999999996</v>
      </c>
      <c r="AS24" s="286">
        <f>'Data-temp_employment'!AS24</f>
        <v>26.3</v>
      </c>
      <c r="AT24" s="285" t="s">
        <v>22</v>
      </c>
      <c r="AU24" s="286">
        <f>'Data-temp_employment'!AU24-last_qrtr_tempemp!AV24</f>
        <v>-4.6999999999999993</v>
      </c>
      <c r="AV24" s="286">
        <f>'Data-temp_employment'!AV24-last_qrtr_tempemp!AW24</f>
        <v>1.2999999999999989</v>
      </c>
      <c r="AW24" s="286">
        <f>'Data-temp_employment'!AW24-last_qrtr_tempemp!AX24</f>
        <v>5</v>
      </c>
      <c r="AX24" s="286">
        <f>'Data-temp_employment'!AX24-last_qrtr_tempemp!AY24</f>
        <v>5.8999999999999995</v>
      </c>
      <c r="AY24" s="286">
        <f>'Data-temp_employment'!AY24-last_qrtr_tempemp!AZ24</f>
        <v>-2.3999999999999995</v>
      </c>
      <c r="AZ24" s="286">
        <f>'Data-temp_employment'!AZ24-last_qrtr_tempemp!BA24</f>
        <v>-0.30000000000000071</v>
      </c>
      <c r="BA24" s="286">
        <f>'Data-temp_employment'!BA24-last_qrtr_tempemp!BB24</f>
        <v>15.799999999999999</v>
      </c>
      <c r="BB24" s="286">
        <f>'Data-temp_employment'!BB24-last_qrtr_tempemp!BC24</f>
        <v>18.3</v>
      </c>
      <c r="BC24" s="286">
        <f>'Data-temp_employment'!BC24-last_qrtr_tempemp!BD24</f>
        <v>14.9</v>
      </c>
      <c r="BD24" s="286">
        <f>'Data-temp_employment'!BD24</f>
        <v>25.1</v>
      </c>
      <c r="BE24" s="285" t="s">
        <v>22</v>
      </c>
      <c r="BF24" s="286">
        <f>'Data-temp_employment'!BF24-last_qrtr_tempemp!BG24</f>
        <v>-0.90000000000000213</v>
      </c>
      <c r="BG24" s="286">
        <f>'Data-temp_employment'!BG24-last_qrtr_tempemp!BH24</f>
        <v>-0.59999999999999787</v>
      </c>
      <c r="BH24" s="286">
        <f>'Data-temp_employment'!BH24-last_qrtr_tempemp!BI24</f>
        <v>4.5</v>
      </c>
      <c r="BI24" s="286">
        <f>'Data-temp_employment'!BI24-last_qrtr_tempemp!BJ24</f>
        <v>2.8999999999999986</v>
      </c>
      <c r="BJ24" s="286">
        <f>'Data-temp_employment'!BJ24-last_qrtr_tempemp!BK24</f>
        <v>0.5</v>
      </c>
      <c r="BK24" s="286">
        <f>'Data-temp_employment'!BK24-last_qrtr_tempemp!BL24</f>
        <v>0.60000000000000142</v>
      </c>
      <c r="BL24" s="286">
        <f>'Data-temp_employment'!BL24-last_qrtr_tempemp!BM24</f>
        <v>27.400000000000002</v>
      </c>
      <c r="BM24" s="286">
        <f>'Data-temp_employment'!BM24-last_qrtr_tempemp!BN24</f>
        <v>26</v>
      </c>
      <c r="BN24" s="286">
        <f>'Data-temp_employment'!BN24-last_qrtr_tempemp!BO24</f>
        <v>25</v>
      </c>
      <c r="BO24" s="286">
        <f>'Data-temp_employment'!BO24</f>
        <v>44</v>
      </c>
      <c r="BP24" s="285" t="s">
        <v>22</v>
      </c>
      <c r="BQ24" s="286">
        <f>'Data-temp_employment'!BQ24-last_qrtr_tempemp!BR24</f>
        <v>-0.19999999999999929</v>
      </c>
      <c r="BR24" s="286">
        <f>'Data-temp_employment'!BR24-last_qrtr_tempemp!BS24</f>
        <v>9.9999999999997868E-2</v>
      </c>
      <c r="BS24" s="286">
        <f>'Data-temp_employment'!BS24-last_qrtr_tempemp!BT24</f>
        <v>0.10000000000000142</v>
      </c>
      <c r="BT24" s="286">
        <f>'Data-temp_employment'!BT24-last_qrtr_tempemp!BU24</f>
        <v>3.9999999999999982</v>
      </c>
      <c r="BU24" s="286">
        <f>'Data-temp_employment'!BU24-last_qrtr_tempemp!BV24</f>
        <v>-1.2999999999999989</v>
      </c>
      <c r="BV24" s="286">
        <f>'Data-temp_employment'!BV24-last_qrtr_tempemp!BW24</f>
        <v>-9.9999999999999645E-2</v>
      </c>
      <c r="BW24" s="286">
        <f>'Data-temp_employment'!BW24-last_qrtr_tempemp!BX24</f>
        <v>7.0000000000000018</v>
      </c>
      <c r="BX24" s="286">
        <f>'Data-temp_employment'!BX24-last_qrtr_tempemp!BY24</f>
        <v>7.2000000000000011</v>
      </c>
      <c r="BY24" s="286">
        <f>'Data-temp_employment'!BY24-last_qrtr_tempemp!BZ24</f>
        <v>4.3000000000000007</v>
      </c>
      <c r="BZ24" s="286">
        <f>'Data-temp_employment'!BZ24</f>
        <v>17.399999999999999</v>
      </c>
      <c r="CA24" s="285" t="s">
        <v>22</v>
      </c>
      <c r="CB24" s="286">
        <f>'Data-temp_employment'!CB24-last_qrtr_tempemp!CC24</f>
        <v>-3.8000000000000007</v>
      </c>
      <c r="CC24" s="286">
        <f>'Data-temp_employment'!CC24-last_qrtr_tempemp!CD24</f>
        <v>1.1000000000000014</v>
      </c>
      <c r="CD24" s="286">
        <f>'Data-temp_employment'!CD24-last_qrtr_tempemp!CE24</f>
        <v>1</v>
      </c>
      <c r="CE24" s="286">
        <f>'Data-temp_employment'!CE24-last_qrtr_tempemp!CF24</f>
        <v>4</v>
      </c>
      <c r="CF24" s="286">
        <f>'Data-temp_employment'!CF24-last_qrtr_tempemp!CG24</f>
        <v>-3.4000000000000004</v>
      </c>
      <c r="CG24" s="286">
        <f>'Data-temp_employment'!CG24-last_qrtr_tempemp!CH24</f>
        <v>-2.8999999999999986</v>
      </c>
      <c r="CH24" s="286">
        <f>'Data-temp_employment'!CH24-last_qrtr_tempemp!CI24</f>
        <v>10.3</v>
      </c>
      <c r="CI24" s="286">
        <f>'Data-temp_employment'!CI24-last_qrtr_tempemp!CJ24</f>
        <v>13.899999999999999</v>
      </c>
      <c r="CJ24" s="286">
        <f>'Data-temp_employment'!CJ24-last_qrtr_tempemp!CK24</f>
        <v>15.799999999999997</v>
      </c>
      <c r="CK24" s="286">
        <f>'Data-temp_employment'!CK24</f>
        <v>31.9</v>
      </c>
      <c r="CL24" s="285" t="s">
        <v>22</v>
      </c>
      <c r="CM24" s="286">
        <f>'Data-temp_employment'!CM24-last_qrtr_tempemp!CN24</f>
        <v>0.5</v>
      </c>
      <c r="CN24" s="286">
        <f>'Data-temp_employment'!CN24-last_qrtr_tempemp!CO24</f>
        <v>1.1999999999999993</v>
      </c>
      <c r="CO24" s="286">
        <f>'Data-temp_employment'!CO24-last_qrtr_tempemp!CP24</f>
        <v>14.799999999999997</v>
      </c>
      <c r="CP24" s="286">
        <f>'Data-temp_employment'!CP24-last_qrtr_tempemp!CQ24</f>
        <v>4.3000000000000007</v>
      </c>
      <c r="CQ24" s="286">
        <f>'Data-temp_employment'!CQ24-last_qrtr_tempemp!CR24</f>
        <v>-3.6999999999999993</v>
      </c>
      <c r="CR24" s="286">
        <f>'Data-temp_employment'!CR24-last_qrtr_tempemp!CS24</f>
        <v>-1.6000000000000014</v>
      </c>
      <c r="CS24" s="286">
        <f>'Data-temp_employment'!CS24-last_qrtr_tempemp!CT24</f>
        <v>10.7</v>
      </c>
      <c r="CT24" s="286">
        <f>'Data-temp_employment'!CT24-last_qrtr_tempemp!CU24</f>
        <v>6.3000000000000007</v>
      </c>
      <c r="CU24" s="286">
        <f>'Data-temp_employment'!CU24-last_qrtr_tempemp!CV24</f>
        <v>3.0999999999999979</v>
      </c>
      <c r="CV24" s="286">
        <f>'Data-temp_employment'!CV24</f>
        <v>30.9</v>
      </c>
      <c r="CW24" s="285" t="s">
        <v>22</v>
      </c>
      <c r="CX24" s="286">
        <f>'Data-temp_employment'!CX24-last_qrtr_tempemp!CY24</f>
        <v>0.5</v>
      </c>
      <c r="CY24" s="286">
        <f>'Data-temp_employment'!CY24-last_qrtr_tempemp!CZ24</f>
        <v>14.399999999999999</v>
      </c>
      <c r="CZ24" s="286">
        <f>'Data-temp_employment'!CZ24-last_qrtr_tempemp!DA24</f>
        <v>16.700000000000003</v>
      </c>
      <c r="DA24" s="286">
        <f>'Data-temp_employment'!DA24-last_qrtr_tempemp!DB24</f>
        <v>14</v>
      </c>
      <c r="DB24" s="286">
        <f>'Data-temp_employment'!DB24-last_qrtr_tempemp!DC24</f>
        <v>0.5</v>
      </c>
      <c r="DC24" s="286">
        <f>'Data-temp_employment'!DC24-last_qrtr_tempemp!DD24</f>
        <v>6.4000000000000057</v>
      </c>
      <c r="DD24" s="286">
        <f>'Data-temp_employment'!DD24-last_qrtr_tempemp!DE24</f>
        <v>38.499999999999993</v>
      </c>
      <c r="DE24" s="286">
        <f>'Data-temp_employment'!DE24-last_qrtr_tempemp!DF24</f>
        <v>34.4</v>
      </c>
      <c r="DF24" s="286">
        <f>'Data-temp_employment'!DF24-last_qrtr_tempemp!DG24</f>
        <v>28</v>
      </c>
      <c r="DG24" s="286">
        <f>'Data-temp_employment'!DG24</f>
        <v>85.3</v>
      </c>
      <c r="DH24" s="285" t="s">
        <v>22</v>
      </c>
      <c r="DI24" s="286">
        <f>'Data-temp_employment'!DI24-last_qrtr_tempemp!DJ24</f>
        <v>2.2000000000000028</v>
      </c>
      <c r="DJ24" s="286">
        <f>'Data-temp_employment'!DJ24-last_qrtr_tempemp!DK24</f>
        <v>3.2000000000000028</v>
      </c>
      <c r="DK24" s="286">
        <f>'Data-temp_employment'!DK24-last_qrtr_tempemp!DL24</f>
        <v>7.3000000000000043</v>
      </c>
      <c r="DL24" s="286">
        <f>'Data-temp_employment'!DL24-last_qrtr_tempemp!DM24</f>
        <v>8.1000000000000014</v>
      </c>
      <c r="DM24" s="286">
        <f>'Data-temp_employment'!DM24-last_qrtr_tempemp!DN24</f>
        <v>1.2999999999999972</v>
      </c>
      <c r="DN24" s="286">
        <f>'Data-temp_employment'!DN24-last_qrtr_tempemp!DO24</f>
        <v>-4.5</v>
      </c>
      <c r="DO24" s="286">
        <f>'Data-temp_employment'!DO24-last_qrtr_tempemp!DP24</f>
        <v>13.999999999999993</v>
      </c>
      <c r="DP24" s="286">
        <f>'Data-temp_employment'!DP24-last_qrtr_tempemp!DQ24</f>
        <v>17.600000000000009</v>
      </c>
      <c r="DQ24" s="286">
        <f>'Data-temp_employment'!DQ24-last_qrtr_tempemp!DR24</f>
        <v>18.399999999999999</v>
      </c>
      <c r="DR24" s="286">
        <f>'Data-temp_employment'!DR24</f>
        <v>70.099999999999994</v>
      </c>
      <c r="DS24" s="285" t="s">
        <v>22</v>
      </c>
      <c r="DT24" s="286">
        <f>'Data-temp_employment'!DT24-last_qrtr_tempemp!DU24</f>
        <v>-2.1999999999999997</v>
      </c>
      <c r="DU24" s="286">
        <f>'Data-temp_employment'!DU24-last_qrtr_tempemp!DV24</f>
        <v>-2.2999999999999998</v>
      </c>
      <c r="DV24" s="286">
        <f>'Data-temp_employment'!DV24-last_qrtr_tempemp!DW24</f>
        <v>-0.20000000000000018</v>
      </c>
      <c r="DW24" s="286">
        <f>'Data-temp_employment'!DW24-last_qrtr_tempemp!DX24</f>
        <v>-0.5</v>
      </c>
      <c r="DX24" s="286">
        <f>'Data-temp_employment'!DX24-last_qrtr_tempemp!DY24</f>
        <v>-2.8</v>
      </c>
      <c r="DY24" s="286">
        <f>'Data-temp_employment'!DY24-last_qrtr_tempemp!DZ24</f>
        <v>-0.5</v>
      </c>
      <c r="DZ24" s="286">
        <f>'Data-temp_employment'!DZ24-last_qrtr_tempemp!EA24</f>
        <v>4.9000000000000004</v>
      </c>
      <c r="EA24" s="286">
        <f>'Data-temp_employment'!EA24-last_qrtr_tempemp!EB24</f>
        <v>7.8</v>
      </c>
      <c r="EB24" s="286">
        <f>'Data-temp_employment'!EB24-last_qrtr_tempemp!EC24</f>
        <v>-2.9</v>
      </c>
      <c r="EC24" s="286">
        <f>'Data-temp_employment'!EC24</f>
        <v>0</v>
      </c>
      <c r="ED24" s="285" t="s">
        <v>22</v>
      </c>
      <c r="EE24" s="286">
        <f>'Data-temp_employment'!EE24-last_qrtr_tempemp!EF24</f>
        <v>0</v>
      </c>
      <c r="EF24" s="286">
        <f>'Data-temp_employment'!EF24-last_qrtr_tempemp!EG24</f>
        <v>0</v>
      </c>
      <c r="EG24" s="286">
        <f>'Data-temp_employment'!EG24-last_qrtr_tempemp!EH24</f>
        <v>3.3</v>
      </c>
      <c r="EH24" s="286">
        <f>'Data-temp_employment'!EH24-last_qrtr_tempemp!EI24</f>
        <v>3</v>
      </c>
      <c r="EI24" s="286">
        <f>'Data-temp_employment'!EI24-last_qrtr_tempemp!EJ24</f>
        <v>2.5</v>
      </c>
      <c r="EJ24" s="286">
        <f>'Data-temp_employment'!EJ24-last_qrtr_tempemp!EK24</f>
        <v>0</v>
      </c>
      <c r="EK24" s="286">
        <f>'Data-temp_employment'!EK24-last_qrtr_tempemp!EL24</f>
        <v>0</v>
      </c>
      <c r="EL24" s="286">
        <f>'Data-temp_employment'!EL24-last_qrtr_tempemp!EM24</f>
        <v>3.6</v>
      </c>
      <c r="EM24" s="286">
        <f>'Data-temp_employment'!EM24-last_qrtr_tempemp!EN24</f>
        <v>3.1</v>
      </c>
      <c r="EN24" s="286">
        <f>'Data-temp_employment'!EN24</f>
        <v>0</v>
      </c>
      <c r="EO24" s="285" t="s">
        <v>22</v>
      </c>
      <c r="EP24" s="286">
        <f>'Data-temp_employment'!EP24-last_qrtr_tempemp!EQ24</f>
        <v>0.89999999999999858</v>
      </c>
      <c r="EQ24" s="286">
        <f>'Data-temp_employment'!EQ24-last_qrtr_tempemp!ER24</f>
        <v>3.6999999999999993</v>
      </c>
      <c r="ER24" s="286">
        <f>'Data-temp_employment'!ER24-last_qrtr_tempemp!ES24</f>
        <v>3.8000000000000007</v>
      </c>
      <c r="ES24" s="286">
        <f>'Data-temp_employment'!ES24-last_qrtr_tempemp!ET24</f>
        <v>3.8999999999999986</v>
      </c>
      <c r="ET24" s="286">
        <f>'Data-temp_employment'!ET24-last_qrtr_tempemp!EU24</f>
        <v>0.5</v>
      </c>
      <c r="EU24" s="286">
        <f>'Data-temp_employment'!EU24-last_qrtr_tempemp!EV24</f>
        <v>0.60000000000000142</v>
      </c>
      <c r="EV24" s="286">
        <f>'Data-temp_employment'!EV24-last_qrtr_tempemp!EW24</f>
        <v>8.8000000000000043</v>
      </c>
      <c r="EW24" s="286">
        <f>'Data-temp_employment'!EW24-last_qrtr_tempemp!EX24</f>
        <v>12.7</v>
      </c>
      <c r="EX24" s="286">
        <f>'Data-temp_employment'!EX24-last_qrtr_tempemp!EY24</f>
        <v>10.600000000000001</v>
      </c>
      <c r="EY24" s="286">
        <f>'Data-temp_employment'!EY24</f>
        <v>37.9</v>
      </c>
      <c r="EZ24" s="285" t="s">
        <v>22</v>
      </c>
      <c r="FA24" s="286">
        <f>'Data-temp_employment'!FA24-last_qrtr_tempemp!FB24</f>
        <v>-1.5</v>
      </c>
      <c r="FB24" s="286">
        <f>'Data-temp_employment'!FB24-last_qrtr_tempemp!FC24</f>
        <v>0.90000000000000036</v>
      </c>
      <c r="FC24" s="286">
        <f>'Data-temp_employment'!FC24-last_qrtr_tempemp!FD24</f>
        <v>2</v>
      </c>
      <c r="FD24" s="286">
        <f>'Data-temp_employment'!FD24-last_qrtr_tempemp!FE24</f>
        <v>4.7000000000000011</v>
      </c>
      <c r="FE24" s="286">
        <f>'Data-temp_employment'!FE24-last_qrtr_tempemp!FF24</f>
        <v>-0.79999999999999893</v>
      </c>
      <c r="FF24" s="286">
        <f>'Data-temp_employment'!FF24-last_qrtr_tempemp!FG24</f>
        <v>-1.8000000000000007</v>
      </c>
      <c r="FG24" s="286">
        <f>'Data-temp_employment'!FG24-last_qrtr_tempemp!FH24</f>
        <v>5.2999999999999989</v>
      </c>
      <c r="FH24" s="286">
        <f>'Data-temp_employment'!FH24-last_qrtr_tempemp!FI24</f>
        <v>4.5</v>
      </c>
      <c r="FI24" s="286">
        <f>'Data-temp_employment'!FI24-last_qrtr_tempemp!FJ24</f>
        <v>3.4000000000000004</v>
      </c>
      <c r="FJ24" s="286">
        <f>'Data-temp_employment'!FJ24</f>
        <v>13.6</v>
      </c>
      <c r="FK24" s="285" t="s">
        <v>22</v>
      </c>
      <c r="FL24" s="286">
        <f>'Data-temp_employment'!FL24-last_qrtr_tempemp!FM24</f>
        <v>1</v>
      </c>
      <c r="FM24" s="286">
        <f>'Data-temp_employment'!FM24-last_qrtr_tempemp!FN24</f>
        <v>2.7000000000000011</v>
      </c>
      <c r="FN24" s="286">
        <f>'Data-temp_employment'!FN24-last_qrtr_tempemp!FO24</f>
        <v>4.4000000000000004</v>
      </c>
      <c r="FO24" s="286">
        <f>'Data-temp_employment'!FO24-last_qrtr_tempemp!FP24</f>
        <v>3.9999999999999982</v>
      </c>
      <c r="FP24" s="286">
        <f>'Data-temp_employment'!FP24-last_qrtr_tempemp!FQ24</f>
        <v>-9.9999999999999645E-2</v>
      </c>
      <c r="FQ24" s="286">
        <f>'Data-temp_employment'!FQ24-last_qrtr_tempemp!FR24</f>
        <v>0.90000000000000036</v>
      </c>
      <c r="FR24" s="286">
        <f>'Data-temp_employment'!FR24-last_qrtr_tempemp!FS24</f>
        <v>5.7000000000000011</v>
      </c>
      <c r="FS24" s="286">
        <f>'Data-temp_employment'!FS24-last_qrtr_tempemp!FT24</f>
        <v>3.4000000000000021</v>
      </c>
      <c r="FT24" s="286">
        <f>'Data-temp_employment'!FT24-last_qrtr_tempemp!FU24</f>
        <v>3</v>
      </c>
      <c r="FU24" s="286">
        <f>'Data-temp_employment'!FU24</f>
        <v>20</v>
      </c>
      <c r="FV24" s="285" t="s">
        <v>22</v>
      </c>
      <c r="FW24" s="286">
        <f>'Data-temp_employment'!FW24-last_qrtr_tempemp!FX24</f>
        <v>4.1000000000000014</v>
      </c>
      <c r="FX24" s="286">
        <f>'Data-temp_employment'!FX24-last_qrtr_tempemp!FY24</f>
        <v>10.899999999999999</v>
      </c>
      <c r="FY24" s="286">
        <f>'Data-temp_employment'!FY24-last_qrtr_tempemp!FZ24</f>
        <v>16.100000000000001</v>
      </c>
      <c r="FZ24" s="286">
        <f>'Data-temp_employment'!FZ24-last_qrtr_tempemp!GA24</f>
        <v>10.899999999999999</v>
      </c>
      <c r="GA24" s="286">
        <f>'Data-temp_employment'!GA24-last_qrtr_tempemp!GB24</f>
        <v>2.2999999999999972</v>
      </c>
      <c r="GB24" s="286">
        <f>'Data-temp_employment'!GB24-last_qrtr_tempemp!GC24</f>
        <v>10.399999999999999</v>
      </c>
      <c r="GC24" s="286">
        <f>'Data-temp_employment'!GC24-last_qrtr_tempemp!GD24</f>
        <v>30.5</v>
      </c>
      <c r="GD24" s="286">
        <f>'Data-temp_employment'!GD24-last_qrtr_tempemp!GE24</f>
        <v>30.500000000000007</v>
      </c>
      <c r="GE24" s="286">
        <f>'Data-temp_employment'!GE24-last_qrtr_tempemp!GF24</f>
        <v>17.800000000000004</v>
      </c>
      <c r="GF24" s="286">
        <f>'Data-temp_employment'!GF24</f>
        <v>59.3</v>
      </c>
      <c r="GG24" s="285" t="s">
        <v>22</v>
      </c>
      <c r="GH24" s="286">
        <f>'Data-temp_employment'!GH24-last_qrtr_tempemp!GI24</f>
        <v>2.6</v>
      </c>
      <c r="GI24" s="286">
        <f>'Data-temp_employment'!GI24-last_qrtr_tempemp!GJ24</f>
        <v>3.4</v>
      </c>
      <c r="GJ24" s="286">
        <f>'Data-temp_employment'!GJ24-last_qrtr_tempemp!GK24</f>
        <v>2.6</v>
      </c>
      <c r="GK24" s="286">
        <f>'Data-temp_employment'!GK24-last_qrtr_tempemp!GL24</f>
        <v>0</v>
      </c>
      <c r="GL24" s="286">
        <f>'Data-temp_employment'!GL24-last_qrtr_tempemp!GM24</f>
        <v>3</v>
      </c>
      <c r="GM24" s="286">
        <f>'Data-temp_employment'!GM24-last_qrtr_tempemp!GN24</f>
        <v>2.8</v>
      </c>
      <c r="GN24" s="286">
        <f>'Data-temp_employment'!GN24-last_qrtr_tempemp!GO24</f>
        <v>0</v>
      </c>
      <c r="GO24" s="286">
        <f>'Data-temp_employment'!GO24-last_qrtr_tempemp!GP24</f>
        <v>0</v>
      </c>
      <c r="GP24" s="286">
        <f>'Data-temp_employment'!GP24-last_qrtr_tempemp!GQ24</f>
        <v>0</v>
      </c>
      <c r="GQ24" s="286">
        <f>'Data-temp_employment'!GQ24</f>
        <v>3.6</v>
      </c>
      <c r="GR24" s="285" t="s">
        <v>22</v>
      </c>
      <c r="GS24" s="286">
        <f>'Data-temp_employment'!GS24-last_qrtr_tempemp!GT24</f>
        <v>-1.9000000000000004</v>
      </c>
      <c r="GT24" s="286">
        <f>'Data-temp_employment'!GT24-last_qrtr_tempemp!GU24</f>
        <v>-1.9000000000000004</v>
      </c>
      <c r="GU24" s="286">
        <f>'Data-temp_employment'!GU24-last_qrtr_tempemp!GV24</f>
        <v>2.2000000000000011</v>
      </c>
      <c r="GV24" s="286">
        <f>'Data-temp_employment'!GV24-last_qrtr_tempemp!GW24</f>
        <v>-0.90000000000000036</v>
      </c>
      <c r="GW24" s="286">
        <f>'Data-temp_employment'!GW24-last_qrtr_tempemp!GX24</f>
        <v>-2.5999999999999996</v>
      </c>
      <c r="GX24" s="286">
        <f>'Data-temp_employment'!GX24-last_qrtr_tempemp!GY24</f>
        <v>-4.7</v>
      </c>
      <c r="GY24" s="286">
        <f>'Data-temp_employment'!GY24-last_qrtr_tempemp!GZ24</f>
        <v>5.4</v>
      </c>
      <c r="GZ24" s="286">
        <f>'Data-temp_employment'!GZ24-last_qrtr_tempemp!HA24</f>
        <v>4.8000000000000007</v>
      </c>
      <c r="HA24" s="286">
        <f>'Data-temp_employment'!HA24-last_qrtr_tempemp!HB24</f>
        <v>3.2000000000000011</v>
      </c>
      <c r="HB24" s="286">
        <f>'Data-temp_employment'!HB24</f>
        <v>11.9</v>
      </c>
      <c r="HC24" s="285" t="s">
        <v>22</v>
      </c>
      <c r="HD24" s="286">
        <f>'Data-temp_employment'!HD24-last_qrtr_tempemp!HE24</f>
        <v>-0.29999999999999982</v>
      </c>
      <c r="HE24" s="286">
        <f>'Data-temp_employment'!HE24-last_qrtr_tempemp!HF24</f>
        <v>-1.8999999999999995</v>
      </c>
      <c r="HF24" s="286">
        <f>'Data-temp_employment'!HF24-last_qrtr_tempemp!HG24</f>
        <v>0.29999999999999982</v>
      </c>
      <c r="HG24" s="286">
        <f>'Data-temp_employment'!HG24-last_qrtr_tempemp!HH24</f>
        <v>-0.20000000000000018</v>
      </c>
      <c r="HH24" s="286">
        <f>'Data-temp_employment'!HH24-last_qrtr_tempemp!HI24</f>
        <v>-1.6000000000000005</v>
      </c>
      <c r="HI24" s="286">
        <f>'Data-temp_employment'!HI24-last_qrtr_tempemp!HJ24</f>
        <v>0.20000000000000018</v>
      </c>
      <c r="HJ24" s="286">
        <f>'Data-temp_employment'!HJ24-last_qrtr_tempemp!HK24</f>
        <v>3.2999999999999989</v>
      </c>
      <c r="HK24" s="286">
        <f>'Data-temp_employment'!HK24-last_qrtr_tempemp!HL24</f>
        <v>2.8999999999999995</v>
      </c>
      <c r="HL24" s="286">
        <f>'Data-temp_employment'!HL24-last_qrtr_tempemp!HM24</f>
        <v>2.5000000000000009</v>
      </c>
      <c r="HM24" s="286">
        <f>'Data-temp_employment'!HM24</f>
        <v>10.7</v>
      </c>
      <c r="HN24" s="285" t="s">
        <v>22</v>
      </c>
      <c r="HO24" s="286">
        <f>'Data-temp_employment'!HO24-last_qrtr_tempemp!HP24</f>
        <v>-2.8000000000000007</v>
      </c>
      <c r="HP24" s="286">
        <f>'Data-temp_employment'!HP24-last_qrtr_tempemp!HQ24</f>
        <v>0</v>
      </c>
      <c r="HQ24" s="286">
        <f>'Data-temp_employment'!HQ24-last_qrtr_tempemp!HR24</f>
        <v>6.6999999999999993</v>
      </c>
      <c r="HR24" s="286">
        <f>'Data-temp_employment'!HR24-last_qrtr_tempemp!HS24</f>
        <v>2</v>
      </c>
      <c r="HS24" s="286">
        <f>'Data-temp_employment'!HS24-last_qrtr_tempemp!HT24</f>
        <v>-2.0999999999999979</v>
      </c>
      <c r="HT24" s="286">
        <f>'Data-temp_employment'!HT24-last_qrtr_tempemp!HU24</f>
        <v>-4.0999999999999979</v>
      </c>
      <c r="HU24" s="286">
        <f>'Data-temp_employment'!HU24-last_qrtr_tempemp!HV24</f>
        <v>10.100000000000001</v>
      </c>
      <c r="HV24" s="286">
        <f>'Data-temp_employment'!HV24-last_qrtr_tempemp!HW24</f>
        <v>5.1999999999999993</v>
      </c>
      <c r="HW24" s="286">
        <f>'Data-temp_employment'!HW24-last_qrtr_tempemp!HX24</f>
        <v>6.3000000000000007</v>
      </c>
      <c r="HX24" s="286">
        <f>'Data-temp_employment'!HX24</f>
        <v>27.7</v>
      </c>
      <c r="HY24" s="285" t="s">
        <v>22</v>
      </c>
      <c r="HZ24" s="286">
        <f>'Data-temp_employment'!HZ24-last_qrtr_tempemp!IA24</f>
        <v>0</v>
      </c>
      <c r="IA24" s="286">
        <f>'Data-temp_employment'!IA24-last_qrtr_tempemp!IB24</f>
        <v>0</v>
      </c>
      <c r="IB24" s="286">
        <f>'Data-temp_employment'!IB24-last_qrtr_tempemp!IC24</f>
        <v>0</v>
      </c>
      <c r="IC24" s="286">
        <f>'Data-temp_employment'!IC24-last_qrtr_tempemp!ID24</f>
        <v>0</v>
      </c>
      <c r="ID24" s="286">
        <f>'Data-temp_employment'!ID24-last_qrtr_tempemp!IE24</f>
        <v>0</v>
      </c>
      <c r="IE24" s="286">
        <f>'Data-temp_employment'!IE24-last_qrtr_tempemp!IF24</f>
        <v>0</v>
      </c>
      <c r="IF24" s="286">
        <f>'Data-temp_employment'!IF24-last_qrtr_tempemp!IG24</f>
        <v>0</v>
      </c>
      <c r="IG24" s="286">
        <f>'Data-temp_employment'!IG24-last_qrtr_tempemp!IH24</f>
        <v>0</v>
      </c>
      <c r="IH24" s="286">
        <f>'Data-temp_employment'!IH24-last_qrtr_tempemp!II24</f>
        <v>0</v>
      </c>
      <c r="II24" s="286">
        <f>'Data-temp_employment'!II24</f>
        <v>0</v>
      </c>
      <c r="IJ24" s="285" t="s">
        <v>22</v>
      </c>
      <c r="IK24" s="286">
        <f>'Data-temp_employment'!IK24-last_qrtr_tempemp!IL24</f>
        <v>0</v>
      </c>
      <c r="IL24" s="286">
        <f>'Data-temp_employment'!IL24-last_qrtr_tempemp!IM24</f>
        <v>0</v>
      </c>
      <c r="IM24" s="286">
        <f>'Data-temp_employment'!IM24-last_qrtr_tempemp!IN24</f>
        <v>0</v>
      </c>
      <c r="IN24" s="286">
        <f>'Data-temp_employment'!IN24-last_qrtr_tempemp!IO24</f>
        <v>0</v>
      </c>
      <c r="IO24" s="286">
        <f>'Data-temp_employment'!IO24-last_qrtr_tempemp!IP24</f>
        <v>0</v>
      </c>
      <c r="IP24" s="286">
        <f>'Data-temp_employment'!IP24-last_qrtr_tempemp!IQ24</f>
        <v>0</v>
      </c>
      <c r="IQ24" s="286">
        <f>'Data-temp_employment'!IQ24-last_qrtr_tempemp!IR24</f>
        <v>0</v>
      </c>
      <c r="IR24" s="286">
        <f>'Data-temp_employment'!IR24-last_qrtr_tempemp!IS24</f>
        <v>0</v>
      </c>
      <c r="IS24" s="286">
        <f>'Data-temp_employment'!IS24-last_qrtr_tempemp!IT24</f>
        <v>0</v>
      </c>
      <c r="IT24" s="286">
        <f>'Data-temp_employment'!IT24</f>
        <v>0</v>
      </c>
      <c r="IU24" s="285" t="s">
        <v>22</v>
      </c>
      <c r="IV24" s="286">
        <f>'Data-temp_employment'!IV24-last_qrtr_tempemp!IW24</f>
        <v>-0.20000000000000018</v>
      </c>
      <c r="IW24" s="286">
        <f>'Data-temp_employment'!IW24-last_qrtr_tempemp!IX24</f>
        <v>-0.89999999999999947</v>
      </c>
      <c r="IX24" s="286">
        <f>'Data-temp_employment'!IX24-last_qrtr_tempemp!IY24</f>
        <v>3.7</v>
      </c>
      <c r="IY24" s="286">
        <f>'Data-temp_employment'!IY24-last_qrtr_tempemp!IZ24</f>
        <v>-2.5</v>
      </c>
      <c r="IZ24" s="286">
        <f>'Data-temp_employment'!IZ24-last_qrtr_tempemp!JA24</f>
        <v>0.10000000000000009</v>
      </c>
      <c r="JA24" s="286">
        <f>'Data-temp_employment'!JA24-last_qrtr_tempemp!JB24</f>
        <v>-3.3</v>
      </c>
      <c r="JB24" s="286">
        <f>'Data-temp_employment'!JB24-last_qrtr_tempemp!JC24</f>
        <v>4.3</v>
      </c>
      <c r="JC24" s="286">
        <f>'Data-temp_employment'!JC24-last_qrtr_tempemp!JD24</f>
        <v>0.30000000000000027</v>
      </c>
      <c r="JD24" s="286">
        <f>'Data-temp_employment'!JD24-last_qrtr_tempemp!JE24</f>
        <v>3.1</v>
      </c>
      <c r="JE24" s="286">
        <f>'Data-temp_employment'!JE24</f>
        <v>6.8</v>
      </c>
      <c r="JF24" s="285" t="s">
        <v>22</v>
      </c>
      <c r="JG24" s="286">
        <f>'Data-temp_employment'!JG24-last_qrtr_tempemp!JH24</f>
        <v>-0.59999999999999964</v>
      </c>
      <c r="JH24" s="286">
        <f>'Data-temp_employment'!JH24-last_qrtr_tempemp!JI24</f>
        <v>-2.5</v>
      </c>
      <c r="JI24" s="286">
        <f>'Data-temp_employment'!JI24-last_qrtr_tempemp!JJ24</f>
        <v>4.1999999999999993</v>
      </c>
      <c r="JJ24" s="286">
        <f>'Data-temp_employment'!JJ24-last_qrtr_tempemp!JK24</f>
        <v>1.7000000000000011</v>
      </c>
      <c r="JK24" s="286">
        <f>'Data-temp_employment'!JK24-last_qrtr_tempemp!JL24</f>
        <v>-1</v>
      </c>
      <c r="JL24" s="286">
        <f>'Data-temp_employment'!JL24-last_qrtr_tempemp!JM24</f>
        <v>-3.1999999999999993</v>
      </c>
      <c r="JM24" s="286">
        <f>'Data-temp_employment'!JM24-last_qrtr_tempemp!JN24</f>
        <v>7.2000000000000011</v>
      </c>
      <c r="JN24" s="286">
        <f>'Data-temp_employment'!JN24-last_qrtr_tempemp!JO24</f>
        <v>3.9000000000000004</v>
      </c>
      <c r="JO24" s="286">
        <f>'Data-temp_employment'!JO24-last_qrtr_tempemp!JP24</f>
        <v>3.5999999999999996</v>
      </c>
      <c r="JP24" s="286">
        <f>'Data-temp_employment'!JP24</f>
        <v>14.5</v>
      </c>
      <c r="JQ24" s="285" t="s">
        <v>22</v>
      </c>
      <c r="JR24" s="286">
        <f>'Data-temp_employment'!JR24-last_qrtr_tempemp!JS24</f>
        <v>-1.7000000000000011</v>
      </c>
      <c r="JS24" s="286">
        <f>'Data-temp_employment'!JS24-last_qrtr_tempemp!JT24</f>
        <v>-3</v>
      </c>
      <c r="JT24" s="286">
        <f>'Data-temp_employment'!JT24-last_qrtr_tempemp!JU24</f>
        <v>-1.3000000000000007</v>
      </c>
      <c r="JU24" s="286">
        <f>'Data-temp_employment'!JU24-last_qrtr_tempemp!JV24</f>
        <v>-3.0000000000000009</v>
      </c>
      <c r="JV24" s="286">
        <f>'Data-temp_employment'!JV24-last_qrtr_tempemp!JW24</f>
        <v>-2.0999999999999996</v>
      </c>
      <c r="JW24" s="286">
        <f>'Data-temp_employment'!JW24-last_qrtr_tempemp!JX24</f>
        <v>-1.3999999999999995</v>
      </c>
      <c r="JX24" s="286">
        <f>'Data-temp_employment'!JX24-last_qrtr_tempemp!JY24</f>
        <v>2.5999999999999996</v>
      </c>
      <c r="JY24" s="286">
        <f>'Data-temp_employment'!JY24-last_qrtr_tempemp!JZ24</f>
        <v>1</v>
      </c>
      <c r="JZ24" s="286">
        <f>'Data-temp_employment'!JZ24-last_qrtr_tempemp!KA24</f>
        <v>-0.5</v>
      </c>
      <c r="KA24" s="286">
        <f>'Data-temp_employment'!KA24</f>
        <v>9.3000000000000007</v>
      </c>
      <c r="KB24" s="285" t="s">
        <v>22</v>
      </c>
      <c r="KC24" s="286">
        <f>'Data-temp_employment'!KC24-last_qrtr_tempemp!KD24</f>
        <v>1.3999999999999986</v>
      </c>
      <c r="KD24" s="286">
        <f>'Data-temp_employment'!KD24-last_qrtr_tempemp!KE24</f>
        <v>4.3000000000000007</v>
      </c>
      <c r="KE24" s="286">
        <f>'Data-temp_employment'!KE24-last_qrtr_tempemp!KF24</f>
        <v>5.9000000000000021</v>
      </c>
      <c r="KF24" s="286">
        <f>'Data-temp_employment'!KF24-last_qrtr_tempemp!KG24</f>
        <v>7</v>
      </c>
      <c r="KG24" s="286">
        <f>'Data-temp_employment'!KG24-last_qrtr_tempemp!KH24</f>
        <v>-1.3999999999999986</v>
      </c>
      <c r="KH24" s="286">
        <f>'Data-temp_employment'!KH24-last_qrtr_tempemp!KI24</f>
        <v>3.3000000000000007</v>
      </c>
      <c r="KI24" s="286">
        <f>'Data-temp_employment'!KI24-last_qrtr_tempemp!KJ24</f>
        <v>11.399999999999999</v>
      </c>
      <c r="KJ24" s="286">
        <f>'Data-temp_employment'!KJ24-last_qrtr_tempemp!KK24</f>
        <v>17.499999999999996</v>
      </c>
      <c r="KK24" s="286">
        <f>'Data-temp_employment'!KK24-last_qrtr_tempemp!KL24</f>
        <v>5</v>
      </c>
      <c r="KL24" s="286">
        <f>'Data-temp_employment'!KL24</f>
        <v>26</v>
      </c>
      <c r="KM24" s="285" t="s">
        <v>22</v>
      </c>
      <c r="KN24" s="286">
        <f>'Data-temp_employment'!KN24-last_qrtr_tempemp!KO24</f>
        <v>-0.5</v>
      </c>
      <c r="KO24" s="286">
        <f>'Data-temp_employment'!KO24-last_qrtr_tempemp!KP24</f>
        <v>-0.29999999999999982</v>
      </c>
      <c r="KP24" s="286">
        <f>'Data-temp_employment'!KP24-last_qrtr_tempemp!KQ24</f>
        <v>0.79999999999999982</v>
      </c>
      <c r="KQ24" s="286">
        <f>'Data-temp_employment'!KQ24-last_qrtr_tempemp!KR24</f>
        <v>0.19999999999999973</v>
      </c>
      <c r="KR24" s="286">
        <f>'Data-temp_employment'!KR24-last_qrtr_tempemp!KS24</f>
        <v>-0.69999999999999973</v>
      </c>
      <c r="KS24" s="286">
        <f>'Data-temp_employment'!KS24-last_qrtr_tempemp!KT24</f>
        <v>-1.6</v>
      </c>
      <c r="KT24" s="286">
        <f>'Data-temp_employment'!KT24-last_qrtr_tempemp!KU24</f>
        <v>1.1999999999999997</v>
      </c>
      <c r="KU24" s="286">
        <f>'Data-temp_employment'!KU24-last_qrtr_tempemp!KV24</f>
        <v>3.2</v>
      </c>
      <c r="KV24" s="286">
        <f>'Data-temp_employment'!KV24-last_qrtr_tempemp!KW24</f>
        <v>4.7</v>
      </c>
      <c r="KW24" s="286">
        <f>'Data-temp_employment'!KW24</f>
        <v>6.7</v>
      </c>
      <c r="KX24" s="285" t="s">
        <v>22</v>
      </c>
      <c r="KY24" s="286">
        <f>'Data-temp_employment'!KY24-last_qrtr_tempemp!KZ24</f>
        <v>-0.59999999999999787</v>
      </c>
      <c r="KZ24" s="286">
        <f>'Data-temp_employment'!KZ24-last_qrtr_tempemp!LA24</f>
        <v>6.2999999999999972</v>
      </c>
      <c r="LA24" s="286">
        <f>'Data-temp_employment'!LA24-last_qrtr_tempemp!LB24</f>
        <v>8.9999999999999982</v>
      </c>
      <c r="LB24" s="286">
        <f>'Data-temp_employment'!LB24-last_qrtr_tempemp!LC24</f>
        <v>6.1</v>
      </c>
      <c r="LC24" s="286">
        <f>'Data-temp_employment'!LC24-last_qrtr_tempemp!LD24</f>
        <v>0.39999999999999858</v>
      </c>
      <c r="LD24" s="286">
        <f>'Data-temp_employment'!LD24-last_qrtr_tempemp!LE24</f>
        <v>2.3999999999999986</v>
      </c>
      <c r="LE24" s="286">
        <f>'Data-temp_employment'!LE24-last_qrtr_tempemp!LF24</f>
        <v>14.400000000000002</v>
      </c>
      <c r="LF24" s="286">
        <f>'Data-temp_employment'!LF24-last_qrtr_tempemp!LG24</f>
        <v>10.200000000000003</v>
      </c>
      <c r="LG24" s="286">
        <f>'Data-temp_employment'!LG24-last_qrtr_tempemp!LH24</f>
        <v>7.8999999999999986</v>
      </c>
      <c r="LH24" s="286">
        <f>'Data-temp_employment'!LH24</f>
        <v>27.2</v>
      </c>
      <c r="LI24" s="285" t="s">
        <v>22</v>
      </c>
      <c r="LJ24" s="286">
        <f>'Data-temp_employment'!LJ24-last_qrtr_tempemp!LK24</f>
        <v>1.4000000000000004</v>
      </c>
      <c r="LK24" s="286">
        <f>'Data-temp_employment'!LK24-last_qrtr_tempemp!LL24</f>
        <v>1.5999999999999996</v>
      </c>
      <c r="LL24" s="286">
        <f>'Data-temp_employment'!LL24-last_qrtr_tempemp!LM24</f>
        <v>0.5</v>
      </c>
      <c r="LM24" s="286">
        <f>'Data-temp_employment'!LM24-last_qrtr_tempemp!LN24</f>
        <v>-0.30000000000000071</v>
      </c>
      <c r="LN24" s="286">
        <f>'Data-temp_employment'!LN24-last_qrtr_tempemp!LO24</f>
        <v>-0.70000000000000018</v>
      </c>
      <c r="LO24" s="286">
        <f>'Data-temp_employment'!LO24-last_qrtr_tempemp!LP24</f>
        <v>0</v>
      </c>
      <c r="LP24" s="286">
        <f>'Data-temp_employment'!LP24-last_qrtr_tempemp!LQ24</f>
        <v>3</v>
      </c>
      <c r="LQ24" s="286">
        <f>'Data-temp_employment'!LQ24-last_qrtr_tempemp!LR24</f>
        <v>2.5</v>
      </c>
      <c r="LR24" s="286">
        <f>'Data-temp_employment'!LR24-last_qrtr_tempemp!LS24</f>
        <v>3.0999999999999996</v>
      </c>
      <c r="LS24" s="286">
        <f>'Data-temp_employment'!LS24</f>
        <v>6.6</v>
      </c>
      <c r="LT24" s="285" t="s">
        <v>22</v>
      </c>
      <c r="LU24" s="286">
        <f>'Data-temp_employment'!LU24-last_qrtr_tempemp!LV24</f>
        <v>-0.29999999999999982</v>
      </c>
      <c r="LV24" s="286">
        <f>'Data-temp_employment'!LV24-last_qrtr_tempemp!LW24</f>
        <v>-0.40000000000000036</v>
      </c>
      <c r="LW24" s="286">
        <f>'Data-temp_employment'!LW24-last_qrtr_tempemp!LX24</f>
        <v>0.79999999999999982</v>
      </c>
      <c r="LX24" s="286">
        <f>'Data-temp_employment'!LX24-last_qrtr_tempemp!LY24</f>
        <v>1</v>
      </c>
      <c r="LY24" s="286">
        <f>'Data-temp_employment'!LY24-last_qrtr_tempemp!LZ24</f>
        <v>0.60000000000000009</v>
      </c>
      <c r="LZ24" s="286">
        <f>'Data-temp_employment'!LZ24-last_qrtr_tempemp!MA24</f>
        <v>-0.19999999999999973</v>
      </c>
      <c r="MA24" s="286">
        <f>'Data-temp_employment'!MA24-last_qrtr_tempemp!MB24</f>
        <v>1.3000000000000003</v>
      </c>
      <c r="MB24" s="286">
        <f>'Data-temp_employment'!MB24-last_qrtr_tempemp!MC24</f>
        <v>0.10000000000000009</v>
      </c>
      <c r="MC24" s="286">
        <f>'Data-temp_employment'!MC24-last_qrtr_tempemp!MD24</f>
        <v>1.7999999999999998</v>
      </c>
      <c r="MD24" s="286">
        <f>'Data-temp_employment'!MD24</f>
        <v>4.7</v>
      </c>
      <c r="ME24" s="285" t="s">
        <v>22</v>
      </c>
      <c r="MF24" s="286">
        <f>'Data-temp_employment'!MF24-last_qrtr_tempemp!MG24</f>
        <v>0.10000000000000053</v>
      </c>
      <c r="MG24" s="286">
        <f>'Data-temp_employment'!MG24-last_qrtr_tempemp!MH24</f>
        <v>1.8999999999999995</v>
      </c>
      <c r="MH24" s="286">
        <f>'Data-temp_employment'!MH24-last_qrtr_tempemp!MI24</f>
        <v>3.8999999999999995</v>
      </c>
      <c r="MI24" s="286">
        <f>'Data-temp_employment'!MI24-last_qrtr_tempemp!MJ24</f>
        <v>2.5000000000000004</v>
      </c>
      <c r="MJ24" s="286">
        <f>'Data-temp_employment'!MJ24-last_qrtr_tempemp!MK24</f>
        <v>0.29999999999999982</v>
      </c>
      <c r="MK24" s="286">
        <f>'Data-temp_employment'!MK24-last_qrtr_tempemp!ML24</f>
        <v>-0.60000000000000053</v>
      </c>
      <c r="ML24" s="286">
        <f>'Data-temp_employment'!ML24-last_qrtr_tempemp!MM24</f>
        <v>0.90000000000000036</v>
      </c>
      <c r="MM24" s="286">
        <f>'Data-temp_employment'!MM24-last_qrtr_tempemp!MN24</f>
        <v>0.29999999999999982</v>
      </c>
      <c r="MN24" s="286">
        <f>'Data-temp_employment'!MN24-last_qrtr_tempemp!MO24</f>
        <v>0.39999999999999947</v>
      </c>
      <c r="MO24" s="286">
        <f>'Data-temp_employment'!MO24</f>
        <v>7.5</v>
      </c>
      <c r="MP24" s="285" t="s">
        <v>22</v>
      </c>
      <c r="MQ24" s="286">
        <f>'Data-temp_employment'!MQ24-last_qrtr_tempemp!MR24</f>
        <v>1.7000000000000002</v>
      </c>
      <c r="MR24" s="286">
        <f>'Data-temp_employment'!MR24-last_qrtr_tempemp!MS24</f>
        <v>5.5</v>
      </c>
      <c r="MS24" s="286">
        <f>'Data-temp_employment'!MS24-last_qrtr_tempemp!MT24</f>
        <v>3.7</v>
      </c>
      <c r="MT24" s="286">
        <f>'Data-temp_employment'!MT24-last_qrtr_tempemp!MU24</f>
        <v>2.2999999999999998</v>
      </c>
      <c r="MU24" s="286">
        <f>'Data-temp_employment'!MU24-last_qrtr_tempemp!MV24</f>
        <v>-0.40000000000000036</v>
      </c>
      <c r="MV24" s="286">
        <f>'Data-temp_employment'!MV24-last_qrtr_tempemp!MW24</f>
        <v>0.5</v>
      </c>
      <c r="MW24" s="286">
        <f>'Data-temp_employment'!MW24-last_qrtr_tempemp!MX24</f>
        <v>5.0999999999999996</v>
      </c>
      <c r="MX24" s="286">
        <f>'Data-temp_employment'!MX24-last_qrtr_tempemp!MY24</f>
        <v>2.8</v>
      </c>
      <c r="MY24" s="286">
        <f>'Data-temp_employment'!MY24-last_qrtr_tempemp!MZ24</f>
        <v>3.8</v>
      </c>
      <c r="MZ24" s="286">
        <f>'Data-temp_employment'!MZ24</f>
        <v>11.4</v>
      </c>
      <c r="NA24" s="285" t="s">
        <v>22</v>
      </c>
      <c r="NB24" s="286">
        <f>'Data-temp_employment'!NB24-last_qrtr_tempemp!NC24</f>
        <v>-0.39999999999999991</v>
      </c>
      <c r="NC24" s="286">
        <f>'Data-temp_employment'!NC24-last_qrtr_tempemp!ND24</f>
        <v>1.2000000000000002</v>
      </c>
      <c r="ND24" s="286">
        <f>'Data-temp_employment'!ND24-last_qrtr_tempemp!NE24</f>
        <v>1.1000000000000005</v>
      </c>
      <c r="NE24" s="286">
        <f>'Data-temp_employment'!NE24-last_qrtr_tempemp!NF24</f>
        <v>0.70000000000000018</v>
      </c>
      <c r="NF24" s="286">
        <f>'Data-temp_employment'!NF24-last_qrtr_tempemp!NG24</f>
        <v>-1.9999999999999996</v>
      </c>
      <c r="NG24" s="286">
        <f>'Data-temp_employment'!NG24-last_qrtr_tempemp!NH24</f>
        <v>-1.9000000000000004</v>
      </c>
      <c r="NH24" s="286">
        <f>'Data-temp_employment'!NH24-last_qrtr_tempemp!NI24</f>
        <v>1.0999999999999996</v>
      </c>
      <c r="NI24" s="286">
        <f>'Data-temp_employment'!NI24-last_qrtr_tempemp!NJ24</f>
        <v>1.2000000000000002</v>
      </c>
      <c r="NJ24" s="286">
        <f>'Data-temp_employment'!NJ24-last_qrtr_tempemp!NK24</f>
        <v>2.8999999999999995</v>
      </c>
      <c r="NK24" s="286">
        <f>'Data-temp_employment'!NK24</f>
        <v>5</v>
      </c>
      <c r="NL24" s="285" t="s">
        <v>22</v>
      </c>
      <c r="NM24" s="286">
        <f>'Data-temp_employment'!NM24-last_qrtr_tempemp!NN24</f>
        <v>2.0999999999999979</v>
      </c>
      <c r="NN24" s="286">
        <f>'Data-temp_employment'!NN24-last_qrtr_tempemp!NO24</f>
        <v>2</v>
      </c>
      <c r="NO24" s="286">
        <f>'Data-temp_employment'!NO24-last_qrtr_tempemp!NP24</f>
        <v>1.8000000000000007</v>
      </c>
      <c r="NP24" s="286">
        <f>'Data-temp_employment'!NP24-last_qrtr_tempemp!NQ24</f>
        <v>1.8999999999999986</v>
      </c>
      <c r="NQ24" s="286">
        <f>'Data-temp_employment'!NQ24-last_qrtr_tempemp!NR24</f>
        <v>2.1999999999999993</v>
      </c>
      <c r="NR24" s="286">
        <f>'Data-temp_employment'!NR24-last_qrtr_tempemp!NS24</f>
        <v>1.5</v>
      </c>
      <c r="NS24" s="286">
        <f>'Data-temp_employment'!NS24-last_qrtr_tempemp!NT24</f>
        <v>-0.5</v>
      </c>
      <c r="NT24" s="286">
        <f>'Data-temp_employment'!NT24-last_qrtr_tempemp!NU24</f>
        <v>8</v>
      </c>
      <c r="NU24" s="286">
        <f>'Data-temp_employment'!NU24-last_qrtr_tempemp!NV24</f>
        <v>5.8999999999999986</v>
      </c>
      <c r="NV24" s="286">
        <f>'Data-temp_employment'!NV24</f>
        <v>23.3</v>
      </c>
      <c r="NW24" s="285" t="s">
        <v>22</v>
      </c>
      <c r="NX24" s="286">
        <f>'Data-temp_employment'!NX24-last_qrtr_tempemp!NY24</f>
        <v>0.30000000000000071</v>
      </c>
      <c r="NY24" s="286">
        <f>'Data-temp_employment'!NY24-last_qrtr_tempemp!NZ24</f>
        <v>-0.5</v>
      </c>
      <c r="NZ24" s="286">
        <f>'Data-temp_employment'!NZ24-last_qrtr_tempemp!OA24</f>
        <v>1.5</v>
      </c>
      <c r="OA24" s="286">
        <f>'Data-temp_employment'!OA24-last_qrtr_tempemp!OB24</f>
        <v>1.3999999999999986</v>
      </c>
      <c r="OB24" s="286">
        <f>'Data-temp_employment'!OB24-last_qrtr_tempemp!OC24</f>
        <v>0.99999999999999822</v>
      </c>
      <c r="OC24" s="286">
        <f>'Data-temp_employment'!OC24-last_qrtr_tempemp!OD24</f>
        <v>0.90000000000000213</v>
      </c>
      <c r="OD24" s="286">
        <f>'Data-temp_employment'!OD24-last_qrtr_tempemp!OE24</f>
        <v>7.2000000000000028</v>
      </c>
      <c r="OE24" s="286">
        <f>'Data-temp_employment'!OE24-last_qrtr_tempemp!OF24</f>
        <v>4</v>
      </c>
      <c r="OF24" s="286">
        <f>'Data-temp_employment'!OF24-last_qrtr_tempemp!OG24</f>
        <v>3.7000000000000011</v>
      </c>
      <c r="OG24" s="286">
        <f>'Data-temp_employment'!OG24</f>
        <v>24.7</v>
      </c>
      <c r="OH24" s="287" t="s">
        <v>22</v>
      </c>
      <c r="OI24" s="286"/>
      <c r="OJ24" s="286"/>
      <c r="OK24" s="286"/>
      <c r="OL24" s="286"/>
      <c r="OM24" s="286"/>
      <c r="ON24" s="286"/>
      <c r="OO24" s="286"/>
      <c r="OP24" s="286"/>
      <c r="OQ24" s="286"/>
      <c r="OR24" s="286"/>
      <c r="OS24" s="285" t="s">
        <v>22</v>
      </c>
      <c r="OT24" s="286" t="e">
        <f>'Data-temp_employment'!#REF!-last_qrtr_tempemp!OU24</f>
        <v>#REF!</v>
      </c>
      <c r="OU24" s="286">
        <f>'Data-temp_employment'!OT24-last_qrtr_tempemp!OV24</f>
        <v>1.5999999999999999</v>
      </c>
      <c r="OV24" s="286">
        <f>'Data-temp_employment'!OU24-last_qrtr_tempemp!OW24</f>
        <v>0.3</v>
      </c>
      <c r="OW24" s="286">
        <f>'Data-temp_employment'!OV24-last_qrtr_tempemp!OX24</f>
        <v>-1.8</v>
      </c>
      <c r="OX24" s="286">
        <f>'Data-temp_employment'!OW24-last_qrtr_tempemp!OY24</f>
        <v>9.9</v>
      </c>
      <c r="OY24" s="286">
        <f>'Data-temp_employment'!OX24-last_qrtr_tempemp!OZ24</f>
        <v>-5</v>
      </c>
      <c r="OZ24" s="286">
        <f>'Data-temp_employment'!OY24-last_qrtr_tempemp!PA24</f>
        <v>3.2</v>
      </c>
      <c r="PA24" s="286">
        <f>'Data-temp_employment'!OZ24-last_qrtr_tempemp!PB24</f>
        <v>3.7</v>
      </c>
      <c r="PB24" s="286">
        <f>'Data-temp_employment'!PA24-last_qrtr_tempemp!PC24</f>
        <v>2.3000000000000003</v>
      </c>
      <c r="PC24" s="286">
        <f>'Data-temp_employment'!PB24</f>
        <v>-0.4</v>
      </c>
      <c r="PE24" s="319"/>
      <c r="PF24" s="319"/>
      <c r="PG24" s="319"/>
      <c r="PH24" s="319"/>
      <c r="PI24" s="319"/>
      <c r="PJ24" s="319"/>
      <c r="PK24" s="319"/>
      <c r="PL24" s="319"/>
      <c r="PM24" s="319"/>
      <c r="PN24" s="319"/>
      <c r="PO24" s="319"/>
      <c r="PP24" s="319"/>
      <c r="PQ24" s="319"/>
      <c r="PR24" s="319"/>
      <c r="PS24" s="319"/>
      <c r="PT24" s="319"/>
      <c r="PU24" s="319"/>
      <c r="PV24" s="319"/>
      <c r="PW24" s="319"/>
      <c r="PX24" s="319"/>
      <c r="PY24" s="319"/>
      <c r="PZ24" s="319"/>
      <c r="QA24" s="319"/>
      <c r="QB24" s="319"/>
      <c r="QC24" s="319"/>
      <c r="QD24" s="319"/>
      <c r="QE24" s="319"/>
      <c r="QF24" s="319"/>
      <c r="QG24" s="319"/>
      <c r="QH24" s="319"/>
      <c r="QI24" s="319"/>
      <c r="QJ24" s="319"/>
      <c r="QK24" s="319"/>
      <c r="QL24" s="319"/>
      <c r="QM24" s="319"/>
      <c r="QN24" s="319"/>
      <c r="QO24" s="319"/>
      <c r="QP24" s="319"/>
      <c r="QQ24" s="319"/>
      <c r="QR24" s="319"/>
      <c r="QS24" s="319"/>
      <c r="QT24" s="319"/>
      <c r="QU24" s="319"/>
      <c r="QV24" s="319"/>
      <c r="QW24" s="319"/>
      <c r="QX24" s="319"/>
      <c r="QY24" s="319"/>
      <c r="QZ24" s="319"/>
      <c r="RA24" s="319"/>
      <c r="RB24" s="319"/>
      <c r="RC24" s="319"/>
      <c r="RD24" s="319"/>
      <c r="RE24" s="319"/>
      <c r="RF24" s="319"/>
      <c r="RG24" s="319"/>
      <c r="RH24" s="319"/>
      <c r="RI24" s="319"/>
      <c r="RJ24" s="319"/>
      <c r="RK24" s="319"/>
      <c r="RL24" s="319"/>
      <c r="RM24" s="319"/>
      <c r="RN24" s="319"/>
      <c r="RO24" s="319"/>
      <c r="RP24" s="319"/>
    </row>
    <row r="25" spans="1:485">
      <c r="A25" s="269">
        <v>22</v>
      </c>
      <c r="B25" s="285" t="s">
        <v>27</v>
      </c>
      <c r="C25" s="286">
        <f>'Data-temp_employment'!C25-last_qrtr_tempemp!D25</f>
        <v>-1.5</v>
      </c>
      <c r="D25" s="286">
        <f>'Data-temp_employment'!D25-last_qrtr_tempemp!E25</f>
        <v>-0.59999999999999964</v>
      </c>
      <c r="E25" s="286">
        <f>'Data-temp_employment'!E25-last_qrtr_tempemp!F25</f>
        <v>0.59999999999999964</v>
      </c>
      <c r="F25" s="286">
        <f>'Data-temp_employment'!F25-last_qrtr_tempemp!G25</f>
        <v>1.8000000000000007</v>
      </c>
      <c r="G25" s="286">
        <f>'Data-temp_employment'!G25-last_qrtr_tempemp!H25</f>
        <v>-0.5</v>
      </c>
      <c r="H25" s="286">
        <f>'Data-temp_employment'!H25-last_qrtr_tempemp!I25</f>
        <v>0.90000000000000036</v>
      </c>
      <c r="I25" s="286">
        <f>'Data-temp_employment'!I25-last_qrtr_tempemp!J25</f>
        <v>1.8000000000000007</v>
      </c>
      <c r="J25" s="286">
        <f>'Data-temp_employment'!J25-last_qrtr_tempemp!K25</f>
        <v>2.3999999999999986</v>
      </c>
      <c r="K25" s="286">
        <f>'Data-temp_employment'!K25-last_qrtr_tempemp!L25</f>
        <v>9.9999999999999645E-2</v>
      </c>
      <c r="L25" s="286">
        <f>'Data-temp_employment'!L25</f>
        <v>17.5</v>
      </c>
      <c r="M25" s="285" t="s">
        <v>27</v>
      </c>
      <c r="N25" s="286">
        <f>'Data-temp_employment'!N25-last_qrtr_tempemp!O25</f>
        <v>-256.60000000000036</v>
      </c>
      <c r="O25" s="286">
        <f>'Data-temp_employment'!O25-last_qrtr_tempemp!P25</f>
        <v>-87.599999999999909</v>
      </c>
      <c r="P25" s="286">
        <f>'Data-temp_employment'!P25-last_qrtr_tempemp!Q25</f>
        <v>138.40000000000009</v>
      </c>
      <c r="Q25" s="286">
        <f>'Data-temp_employment'!Q25-last_qrtr_tempemp!R25</f>
        <v>372.20000000000027</v>
      </c>
      <c r="R25" s="286">
        <f>'Data-temp_employment'!R25-last_qrtr_tempemp!S25</f>
        <v>-103.59999999999991</v>
      </c>
      <c r="S25" s="286">
        <f>'Data-temp_employment'!S25-last_qrtr_tempemp!T25</f>
        <v>190.90000000000009</v>
      </c>
      <c r="T25" s="286">
        <f>'Data-temp_employment'!T25-last_qrtr_tempemp!U25</f>
        <v>384.09999999999991</v>
      </c>
      <c r="U25" s="286">
        <f>'Data-temp_employment'!U25-last_qrtr_tempemp!V25</f>
        <v>482.40000000000009</v>
      </c>
      <c r="V25" s="286">
        <f>'Data-temp_employment'!V25-last_qrtr_tempemp!W25</f>
        <v>6.8000000000001819</v>
      </c>
      <c r="W25" s="286">
        <f>'Data-temp_employment'!W25</f>
        <v>3124</v>
      </c>
      <c r="X25" s="285" t="s">
        <v>27</v>
      </c>
      <c r="Y25" s="286">
        <f>'Data-temp_employment'!Y25-last_qrtr_tempemp!Z25</f>
        <v>-8.5999999999999943</v>
      </c>
      <c r="Z25" s="286">
        <f>'Data-temp_employment'!Z25-last_qrtr_tempemp!AA25</f>
        <v>8.2999999999999972</v>
      </c>
      <c r="AA25" s="286">
        <f>'Data-temp_employment'!AA25-last_qrtr_tempemp!AB25</f>
        <v>-0.70000000000000284</v>
      </c>
      <c r="AB25" s="286">
        <f>'Data-temp_employment'!AB25-last_qrtr_tempemp!AC25</f>
        <v>8.6999999999999886</v>
      </c>
      <c r="AC25" s="286">
        <f>'Data-temp_employment'!AC25-last_qrtr_tempemp!AD25</f>
        <v>-14.299999999999997</v>
      </c>
      <c r="AD25" s="286">
        <f>'Data-temp_employment'!AD25-last_qrtr_tempemp!AE25</f>
        <v>14.600000000000009</v>
      </c>
      <c r="AE25" s="286">
        <f>'Data-temp_employment'!AE25-last_qrtr_tempemp!AF25</f>
        <v>9</v>
      </c>
      <c r="AF25" s="286">
        <f>'Data-temp_employment'!AF25-last_qrtr_tempemp!AG25</f>
        <v>19</v>
      </c>
      <c r="AG25" s="286">
        <f>'Data-temp_employment'!AG25-last_qrtr_tempemp!AH25</f>
        <v>-22.600000000000009</v>
      </c>
      <c r="AH25" s="286">
        <f>'Data-temp_employment'!AH25</f>
        <v>88.2</v>
      </c>
      <c r="AI25" s="285" t="s">
        <v>27</v>
      </c>
      <c r="AJ25" s="286">
        <f>'Data-temp_employment'!AJ25-last_qrtr_tempemp!AK25</f>
        <v>-27.399999999999977</v>
      </c>
      <c r="AK25" s="286">
        <f>'Data-temp_employment'!AK25-last_qrtr_tempemp!AL25</f>
        <v>-107.89999999999998</v>
      </c>
      <c r="AL25" s="286">
        <f>'Data-temp_employment'!AL25-last_qrtr_tempemp!AM25</f>
        <v>142.39999999999998</v>
      </c>
      <c r="AM25" s="286">
        <f>'Data-temp_employment'!AM25-last_qrtr_tempemp!AN25</f>
        <v>176.29999999999995</v>
      </c>
      <c r="AN25" s="286">
        <f>'Data-temp_employment'!AN25-last_qrtr_tempemp!AO25</f>
        <v>-7.5</v>
      </c>
      <c r="AO25" s="286">
        <f>'Data-temp_employment'!AO25-last_qrtr_tempemp!AP25</f>
        <v>-63.699999999999989</v>
      </c>
      <c r="AP25" s="286">
        <f>'Data-temp_employment'!AP25-last_qrtr_tempemp!AQ25</f>
        <v>115.39999999999998</v>
      </c>
      <c r="AQ25" s="286">
        <f>'Data-temp_employment'!AQ25-last_qrtr_tempemp!AR25</f>
        <v>160.10000000000002</v>
      </c>
      <c r="AR25" s="286">
        <f>'Data-temp_employment'!AR25-last_qrtr_tempemp!AS25</f>
        <v>9.6000000000000227</v>
      </c>
      <c r="AS25" s="286">
        <f>'Data-temp_employment'!AS25</f>
        <v>595.9</v>
      </c>
      <c r="AT25" s="285" t="s">
        <v>27</v>
      </c>
      <c r="AU25" s="286">
        <f>'Data-temp_employment'!AU25-last_qrtr_tempemp!AV25</f>
        <v>-92.300000000000011</v>
      </c>
      <c r="AV25" s="286">
        <f>'Data-temp_employment'!AV25-last_qrtr_tempemp!AW25</f>
        <v>-32.5</v>
      </c>
      <c r="AW25" s="286">
        <f>'Data-temp_employment'!AW25-last_qrtr_tempemp!AX25</f>
        <v>91.199999999999932</v>
      </c>
      <c r="AX25" s="286">
        <f>'Data-temp_employment'!AX25-last_qrtr_tempemp!AY25</f>
        <v>59.300000000000011</v>
      </c>
      <c r="AY25" s="286">
        <f>'Data-temp_employment'!AY25-last_qrtr_tempemp!AZ25</f>
        <v>-140.5</v>
      </c>
      <c r="AZ25" s="286">
        <f>'Data-temp_employment'!AZ25-last_qrtr_tempemp!BA25</f>
        <v>17.800000000000068</v>
      </c>
      <c r="BA25" s="286">
        <f>'Data-temp_employment'!BA25-last_qrtr_tempemp!BB25</f>
        <v>289</v>
      </c>
      <c r="BB25" s="286">
        <f>'Data-temp_employment'!BB25-last_qrtr_tempemp!BC25</f>
        <v>207.5</v>
      </c>
      <c r="BC25" s="286">
        <f>'Data-temp_employment'!BC25-last_qrtr_tempemp!BD25</f>
        <v>-36.300000000000068</v>
      </c>
      <c r="BD25" s="286">
        <f>'Data-temp_employment'!BD25</f>
        <v>807.6</v>
      </c>
      <c r="BE25" s="285" t="s">
        <v>27</v>
      </c>
      <c r="BF25" s="286">
        <f>'Data-temp_employment'!BF25-last_qrtr_tempemp!BG25</f>
        <v>-101.29999999999995</v>
      </c>
      <c r="BG25" s="286">
        <f>'Data-temp_employment'!BG25-last_qrtr_tempemp!BH25</f>
        <v>53.5</v>
      </c>
      <c r="BH25" s="286">
        <f>'Data-temp_employment'!BH25-last_qrtr_tempemp!BI25</f>
        <v>-80.600000000000023</v>
      </c>
      <c r="BI25" s="286">
        <f>'Data-temp_employment'!BI25-last_qrtr_tempemp!BJ25</f>
        <v>63.399999999999977</v>
      </c>
      <c r="BJ25" s="286">
        <f>'Data-temp_employment'!BJ25-last_qrtr_tempemp!BK25</f>
        <v>51.400000000000091</v>
      </c>
      <c r="BK25" s="286">
        <f>'Data-temp_employment'!BK25-last_qrtr_tempemp!BL25</f>
        <v>215.60000000000002</v>
      </c>
      <c r="BL25" s="286">
        <f>'Data-temp_employment'!BL25-last_qrtr_tempemp!BM25</f>
        <v>-8.3999999999999773</v>
      </c>
      <c r="BM25" s="286">
        <f>'Data-temp_employment'!BM25-last_qrtr_tempemp!BN25</f>
        <v>116.59999999999991</v>
      </c>
      <c r="BN25" s="286">
        <f>'Data-temp_employment'!BN25-last_qrtr_tempemp!BO25</f>
        <v>68.5</v>
      </c>
      <c r="BO25" s="286">
        <f>'Data-temp_employment'!BO25</f>
        <v>1005.9</v>
      </c>
      <c r="BP25" s="285" t="s">
        <v>27</v>
      </c>
      <c r="BQ25" s="286">
        <f>'Data-temp_employment'!BQ25-last_qrtr_tempemp!BR25</f>
        <v>-14.700000000000003</v>
      </c>
      <c r="BR25" s="286">
        <f>'Data-temp_employment'!BR25-last_qrtr_tempemp!BS25</f>
        <v>-10.499999999999986</v>
      </c>
      <c r="BS25" s="286">
        <f>'Data-temp_employment'!BS25-last_qrtr_tempemp!BT25</f>
        <v>9.5</v>
      </c>
      <c r="BT25" s="286">
        <f>'Data-temp_employment'!BT25-last_qrtr_tempemp!BU25</f>
        <v>21.200000000000017</v>
      </c>
      <c r="BU25" s="286">
        <f>'Data-temp_employment'!BU25-last_qrtr_tempemp!BV25</f>
        <v>1.2000000000000028</v>
      </c>
      <c r="BV25" s="286">
        <f>'Data-temp_employment'!BV25-last_qrtr_tempemp!BW25</f>
        <v>-9.6000000000000085</v>
      </c>
      <c r="BW25" s="286">
        <f>'Data-temp_employment'!BW25-last_qrtr_tempemp!BX25</f>
        <v>2.8999999999999773</v>
      </c>
      <c r="BX25" s="286">
        <f>'Data-temp_employment'!BX25-last_qrtr_tempemp!BY25</f>
        <v>14.099999999999994</v>
      </c>
      <c r="BY25" s="286">
        <f>'Data-temp_employment'!BY25-last_qrtr_tempemp!BZ25</f>
        <v>18.599999999999994</v>
      </c>
      <c r="BZ25" s="286">
        <f>'Data-temp_employment'!BZ25</f>
        <v>99.800000000000011</v>
      </c>
      <c r="CA25" s="285" t="s">
        <v>27</v>
      </c>
      <c r="CB25" s="286">
        <f>'Data-temp_employment'!CB25-last_qrtr_tempemp!CC25</f>
        <v>-8</v>
      </c>
      <c r="CC25" s="286">
        <f>'Data-temp_employment'!CC25-last_qrtr_tempemp!CD25</f>
        <v>-44.700000000000045</v>
      </c>
      <c r="CD25" s="286">
        <f>'Data-temp_employment'!CD25-last_qrtr_tempemp!CE25</f>
        <v>-33.5</v>
      </c>
      <c r="CE25" s="286">
        <f>'Data-temp_employment'!CE25-last_qrtr_tempemp!CF25</f>
        <v>24.099999999999966</v>
      </c>
      <c r="CF25" s="286">
        <f>'Data-temp_employment'!CF25-last_qrtr_tempemp!CG25</f>
        <v>6.5</v>
      </c>
      <c r="CG25" s="286">
        <f>'Data-temp_employment'!CG25-last_qrtr_tempemp!CH25</f>
        <v>21.100000000000023</v>
      </c>
      <c r="CH25" s="286">
        <f>'Data-temp_employment'!CH25-last_qrtr_tempemp!CI25</f>
        <v>-11.300000000000011</v>
      </c>
      <c r="CI25" s="286">
        <f>'Data-temp_employment'!CI25-last_qrtr_tempemp!CJ25</f>
        <v>-3.3999999999999773</v>
      </c>
      <c r="CJ25" s="286">
        <f>'Data-temp_employment'!CJ25-last_qrtr_tempemp!CK25</f>
        <v>-4.4000000000000341</v>
      </c>
      <c r="CK25" s="286">
        <f>'Data-temp_employment'!CK25</f>
        <v>328</v>
      </c>
      <c r="CL25" s="285" t="s">
        <v>27</v>
      </c>
      <c r="CM25" s="286">
        <f>'Data-temp_employment'!CM25-last_qrtr_tempemp!CN25</f>
        <v>-84.600000000000023</v>
      </c>
      <c r="CN25" s="286">
        <f>'Data-temp_employment'!CN25-last_qrtr_tempemp!CO25</f>
        <v>-59.799999999999955</v>
      </c>
      <c r="CO25" s="286">
        <f>'Data-temp_employment'!CO25-last_qrtr_tempemp!CP25</f>
        <v>108.5</v>
      </c>
      <c r="CP25" s="286">
        <f>'Data-temp_employment'!CP25-last_qrtr_tempemp!CQ25</f>
        <v>150.89999999999998</v>
      </c>
      <c r="CQ25" s="286">
        <f>'Data-temp_employment'!CQ25-last_qrtr_tempemp!CR25</f>
        <v>-101.89999999999998</v>
      </c>
      <c r="CR25" s="286">
        <f>'Data-temp_employment'!CR25-last_qrtr_tempemp!CS25</f>
        <v>-20.800000000000068</v>
      </c>
      <c r="CS25" s="286">
        <f>'Data-temp_employment'!CS25-last_qrtr_tempemp!CT25</f>
        <v>182.20000000000005</v>
      </c>
      <c r="CT25" s="286">
        <f>'Data-temp_employment'!CT25-last_qrtr_tempemp!CU25</f>
        <v>222.29999999999995</v>
      </c>
      <c r="CU25" s="286">
        <f>'Data-temp_employment'!CU25-last_qrtr_tempemp!CV25</f>
        <v>-32.899999999999977</v>
      </c>
      <c r="CV25" s="286">
        <f>'Data-temp_employment'!CV25</f>
        <v>1024.3</v>
      </c>
      <c r="CW25" s="285" t="s">
        <v>27</v>
      </c>
      <c r="CX25" s="286">
        <f>'Data-temp_employment'!CX25-last_qrtr_tempemp!CY25</f>
        <v>-156.79999999999995</v>
      </c>
      <c r="CY25" s="286">
        <f>'Data-temp_employment'!CY25-last_qrtr_tempemp!CZ25</f>
        <v>-37.799999999999955</v>
      </c>
      <c r="CZ25" s="286">
        <f>'Data-temp_employment'!CZ25-last_qrtr_tempemp!DA25</f>
        <v>124.10000000000014</v>
      </c>
      <c r="DA25" s="286">
        <f>'Data-temp_employment'!DA25-last_qrtr_tempemp!DB25</f>
        <v>189.09999999999991</v>
      </c>
      <c r="DB25" s="286">
        <f>'Data-temp_employment'!DB25-last_qrtr_tempemp!DC25</f>
        <v>-52.399999999999864</v>
      </c>
      <c r="DC25" s="286">
        <f>'Data-temp_employment'!DC25-last_qrtr_tempemp!DD25</f>
        <v>53.700000000000045</v>
      </c>
      <c r="DD25" s="286">
        <f>'Data-temp_employment'!DD25-last_qrtr_tempemp!DE25</f>
        <v>212.40000000000009</v>
      </c>
      <c r="DE25" s="286">
        <f>'Data-temp_employment'!DE25-last_qrtr_tempemp!DF25</f>
        <v>195.09999999999991</v>
      </c>
      <c r="DF25" s="286">
        <f>'Data-temp_employment'!DF25-last_qrtr_tempemp!DG25</f>
        <v>-5.9000000000000909</v>
      </c>
      <c r="DG25" s="286">
        <f>'Data-temp_employment'!DG25</f>
        <v>1448.9</v>
      </c>
      <c r="DH25" s="285" t="s">
        <v>27</v>
      </c>
      <c r="DI25" s="286">
        <f>'Data-temp_employment'!DI25-last_qrtr_tempemp!DJ25</f>
        <v>-15.199999999999989</v>
      </c>
      <c r="DJ25" s="286">
        <f>'Data-temp_employment'!DJ25-last_qrtr_tempemp!DK25</f>
        <v>10</v>
      </c>
      <c r="DK25" s="286">
        <f>'Data-temp_employment'!DK25-last_qrtr_tempemp!DL25</f>
        <v>-94.100000000000023</v>
      </c>
      <c r="DL25" s="286">
        <f>'Data-temp_employment'!DL25-last_qrtr_tempemp!DM25</f>
        <v>32.200000000000045</v>
      </c>
      <c r="DM25" s="286">
        <f>'Data-temp_employment'!DM25-last_qrtr_tempemp!DN25</f>
        <v>50.599999999999966</v>
      </c>
      <c r="DN25" s="286">
        <f>'Data-temp_employment'!DN25-last_qrtr_tempemp!DO25</f>
        <v>158.09999999999997</v>
      </c>
      <c r="DO25" s="286">
        <f>'Data-temp_employment'!DO25-last_qrtr_tempemp!DP25</f>
        <v>-10.500000000000057</v>
      </c>
      <c r="DP25" s="286">
        <f>'Data-temp_employment'!DP25-last_qrtr_tempemp!DQ25</f>
        <v>65.100000000000023</v>
      </c>
      <c r="DQ25" s="286">
        <f>'Data-temp_employment'!DQ25-last_qrtr_tempemp!DR25</f>
        <v>45.5</v>
      </c>
      <c r="DR25" s="286">
        <f>'Data-temp_employment'!DR25</f>
        <v>650.79999999999995</v>
      </c>
      <c r="DS25" s="285" t="s">
        <v>27</v>
      </c>
      <c r="DT25" s="286">
        <f>'Data-temp_employment'!DT25-last_qrtr_tempemp!DU25</f>
        <v>0</v>
      </c>
      <c r="DU25" s="286">
        <f>'Data-temp_employment'!DU25-last_qrtr_tempemp!DV25</f>
        <v>0</v>
      </c>
      <c r="DV25" s="286">
        <f>'Data-temp_employment'!DV25-last_qrtr_tempemp!DW25</f>
        <v>0</v>
      </c>
      <c r="DW25" s="286">
        <f>'Data-temp_employment'!DW25-last_qrtr_tempemp!DX25</f>
        <v>0</v>
      </c>
      <c r="DX25" s="286">
        <f>'Data-temp_employment'!DX25-last_qrtr_tempemp!DY25</f>
        <v>0</v>
      </c>
      <c r="DY25" s="286">
        <f>'Data-temp_employment'!DY25-last_qrtr_tempemp!DZ25</f>
        <v>0</v>
      </c>
      <c r="DZ25" s="286">
        <f>'Data-temp_employment'!DZ25-last_qrtr_tempemp!EA25</f>
        <v>0</v>
      </c>
      <c r="EA25" s="286">
        <f>'Data-temp_employment'!EA25-last_qrtr_tempemp!EB25</f>
        <v>0</v>
      </c>
      <c r="EB25" s="286">
        <f>'Data-temp_employment'!EB25-last_qrtr_tempemp!EC25</f>
        <v>0</v>
      </c>
      <c r="EC25" s="286">
        <f>'Data-temp_employment'!EC25</f>
        <v>0</v>
      </c>
      <c r="ED25" s="285" t="s">
        <v>27</v>
      </c>
      <c r="EE25" s="286">
        <f>'Data-temp_employment'!EE25-last_qrtr_tempemp!EF25</f>
        <v>-1.4000000000000004</v>
      </c>
      <c r="EF25" s="286">
        <f>'Data-temp_employment'!EF25-last_qrtr_tempemp!EG25</f>
        <v>-2.0999999999999996</v>
      </c>
      <c r="EG25" s="286">
        <f>'Data-temp_employment'!EG25-last_qrtr_tempemp!EH25</f>
        <v>2.1999999999999993</v>
      </c>
      <c r="EH25" s="286">
        <f>'Data-temp_employment'!EH25-last_qrtr_tempemp!EI25</f>
        <v>-1.5</v>
      </c>
      <c r="EI25" s="286">
        <f>'Data-temp_employment'!EI25-last_qrtr_tempemp!EJ25</f>
        <v>1.1999999999999993</v>
      </c>
      <c r="EJ25" s="286">
        <f>'Data-temp_employment'!EJ25-last_qrtr_tempemp!EK25</f>
        <v>2.9000000000000004</v>
      </c>
      <c r="EK25" s="286">
        <f>'Data-temp_employment'!EK25-last_qrtr_tempemp!EL25</f>
        <v>4.4000000000000004</v>
      </c>
      <c r="EL25" s="286">
        <f>'Data-temp_employment'!EL25-last_qrtr_tempemp!EM25</f>
        <v>0.10000000000000142</v>
      </c>
      <c r="EM25" s="286">
        <f>'Data-temp_employment'!EM25-last_qrtr_tempemp!EN25</f>
        <v>-7.5</v>
      </c>
      <c r="EN25" s="286">
        <f>'Data-temp_employment'!EN25</f>
        <v>13.6</v>
      </c>
      <c r="EO25" s="285" t="s">
        <v>27</v>
      </c>
      <c r="EP25" s="286">
        <f>'Data-temp_employment'!EP25-last_qrtr_tempemp!EQ25</f>
        <v>20.200000000000045</v>
      </c>
      <c r="EQ25" s="286">
        <f>'Data-temp_employment'!EQ25-last_qrtr_tempemp!ER25</f>
        <v>89.799999999999983</v>
      </c>
      <c r="ER25" s="286">
        <f>'Data-temp_employment'!ER25-last_qrtr_tempemp!ES25</f>
        <v>-106.80000000000001</v>
      </c>
      <c r="ES25" s="286">
        <f>'Data-temp_employment'!ES25-last_qrtr_tempemp!ET25</f>
        <v>6</v>
      </c>
      <c r="ET25" s="286">
        <f>'Data-temp_employment'!ET25-last_qrtr_tempemp!EU25</f>
        <v>49.800000000000011</v>
      </c>
      <c r="EU25" s="286">
        <f>'Data-temp_employment'!EU25-last_qrtr_tempemp!EV25</f>
        <v>141.59999999999997</v>
      </c>
      <c r="EV25" s="286">
        <f>'Data-temp_employment'!EV25-last_qrtr_tempemp!EW25</f>
        <v>-113.30000000000001</v>
      </c>
      <c r="EW25" s="286">
        <f>'Data-temp_employment'!EW25-last_qrtr_tempemp!EX25</f>
        <v>20.100000000000023</v>
      </c>
      <c r="EX25" s="286">
        <f>'Data-temp_employment'!EX25-last_qrtr_tempemp!EY25</f>
        <v>30.100000000000023</v>
      </c>
      <c r="EY25" s="286">
        <f>'Data-temp_employment'!EY25</f>
        <v>366.5</v>
      </c>
      <c r="EZ25" s="285" t="s">
        <v>27</v>
      </c>
      <c r="FA25" s="286">
        <f>'Data-temp_employment'!FA25-last_qrtr_tempemp!FB25</f>
        <v>-15.5</v>
      </c>
      <c r="FB25" s="286">
        <f>'Data-temp_employment'!FB25-last_qrtr_tempemp!FC25</f>
        <v>2.8999999999999773</v>
      </c>
      <c r="FC25" s="286">
        <f>'Data-temp_employment'!FC25-last_qrtr_tempemp!FD25</f>
        <v>-3.0999999999999943</v>
      </c>
      <c r="FD25" s="286">
        <f>'Data-temp_employment'!FD25-last_qrtr_tempemp!FE25</f>
        <v>23.299999999999983</v>
      </c>
      <c r="FE25" s="286">
        <f>'Data-temp_employment'!FE25-last_qrtr_tempemp!FF25</f>
        <v>6.9000000000000341</v>
      </c>
      <c r="FF25" s="286">
        <f>'Data-temp_employment'!FF25-last_qrtr_tempemp!FG25</f>
        <v>37.599999999999994</v>
      </c>
      <c r="FG25" s="286">
        <f>'Data-temp_employment'!FG25-last_qrtr_tempemp!FH25</f>
        <v>37.299999999999983</v>
      </c>
      <c r="FH25" s="286">
        <f>'Data-temp_employment'!FH25-last_qrtr_tempemp!FI25</f>
        <v>42.699999999999989</v>
      </c>
      <c r="FI25" s="286">
        <f>'Data-temp_employment'!FI25-last_qrtr_tempemp!FJ25</f>
        <v>28.300000000000011</v>
      </c>
      <c r="FJ25" s="286">
        <f>'Data-temp_employment'!FJ25</f>
        <v>319.5</v>
      </c>
      <c r="FK25" s="285" t="s">
        <v>27</v>
      </c>
      <c r="FL25" s="286">
        <f>'Data-temp_employment'!FL25-last_qrtr_tempemp!FM25</f>
        <v>-34</v>
      </c>
      <c r="FM25" s="286">
        <f>'Data-temp_employment'!FM25-last_qrtr_tempemp!FN25</f>
        <v>-29.799999999999983</v>
      </c>
      <c r="FN25" s="286">
        <f>'Data-temp_employment'!FN25-last_qrtr_tempemp!FO25</f>
        <v>26.700000000000045</v>
      </c>
      <c r="FO25" s="286">
        <f>'Data-temp_employment'!FO25-last_qrtr_tempemp!FP25</f>
        <v>37.999999999999972</v>
      </c>
      <c r="FP25" s="286">
        <f>'Data-temp_employment'!FP25-last_qrtr_tempemp!FQ25</f>
        <v>6.5</v>
      </c>
      <c r="FQ25" s="286">
        <f>'Data-temp_employment'!FQ25-last_qrtr_tempemp!FR25</f>
        <v>8.5</v>
      </c>
      <c r="FR25" s="286">
        <f>'Data-temp_employment'!FR25-last_qrtr_tempemp!FS25</f>
        <v>54.900000000000034</v>
      </c>
      <c r="FS25" s="286">
        <f>'Data-temp_employment'!FS25-last_qrtr_tempemp!FT25</f>
        <v>33.299999999999983</v>
      </c>
      <c r="FT25" s="286">
        <f>'Data-temp_employment'!FT25-last_qrtr_tempemp!FU25</f>
        <v>28</v>
      </c>
      <c r="FU25" s="286">
        <f>'Data-temp_employment'!FU25</f>
        <v>385.8</v>
      </c>
      <c r="FV25" s="285" t="s">
        <v>27</v>
      </c>
      <c r="FW25" s="286">
        <f>'Data-temp_employment'!FW25-last_qrtr_tempemp!FX25</f>
        <v>-113.79999999999995</v>
      </c>
      <c r="FX25" s="286">
        <f>'Data-temp_employment'!FX25-last_qrtr_tempemp!FY25</f>
        <v>-43.399999999999977</v>
      </c>
      <c r="FY25" s="286">
        <f>'Data-temp_employment'!FY25-last_qrtr_tempemp!FZ25</f>
        <v>171.80000000000007</v>
      </c>
      <c r="FZ25" s="286">
        <f>'Data-temp_employment'!FZ25-last_qrtr_tempemp!GA25</f>
        <v>115.20000000000005</v>
      </c>
      <c r="GA25" s="286">
        <f>'Data-temp_employment'!GA25-last_qrtr_tempemp!GB25</f>
        <v>-119.30000000000007</v>
      </c>
      <c r="GB25" s="286">
        <f>'Data-temp_employment'!GB25-last_qrtr_tempemp!GC25</f>
        <v>-33.300000000000068</v>
      </c>
      <c r="GC25" s="286">
        <f>'Data-temp_employment'!GC25-last_qrtr_tempemp!GD25</f>
        <v>246.29999999999995</v>
      </c>
      <c r="GD25" s="286">
        <f>'Data-temp_employment'!GD25-last_qrtr_tempemp!GE25</f>
        <v>107.90000000000009</v>
      </c>
      <c r="GE25" s="286">
        <f>'Data-temp_employment'!GE25-last_qrtr_tempemp!GF25</f>
        <v>-69.199999999999932</v>
      </c>
      <c r="GF25" s="286">
        <f>'Data-temp_employment'!GF25</f>
        <v>709.7</v>
      </c>
      <c r="GG25" s="285" t="s">
        <v>27</v>
      </c>
      <c r="GH25" s="286">
        <f>'Data-temp_employment'!GH25-last_qrtr_tempemp!GI25</f>
        <v>-0.30000000000000426</v>
      </c>
      <c r="GI25" s="286">
        <f>'Data-temp_employment'!GI25-last_qrtr_tempemp!GJ25</f>
        <v>4.6999999999999957</v>
      </c>
      <c r="GJ25" s="286">
        <f>'Data-temp_employment'!GJ25-last_qrtr_tempemp!GK25</f>
        <v>-3.5</v>
      </c>
      <c r="GK25" s="286">
        <f>'Data-temp_employment'!GK25-last_qrtr_tempemp!GL25</f>
        <v>6.8999999999999986</v>
      </c>
      <c r="GL25" s="286">
        <f>'Data-temp_employment'!GL25-last_qrtr_tempemp!GM25</f>
        <v>-9.3999999999999986</v>
      </c>
      <c r="GM25" s="286">
        <f>'Data-temp_employment'!GM25-last_qrtr_tempemp!GN25</f>
        <v>8.5</v>
      </c>
      <c r="GN25" s="286">
        <f>'Data-temp_employment'!GN25-last_qrtr_tempemp!GO25</f>
        <v>0.60000000000000142</v>
      </c>
      <c r="GO25" s="286">
        <f>'Data-temp_employment'!GO25-last_qrtr_tempemp!GP25</f>
        <v>-4.7000000000000028</v>
      </c>
      <c r="GP25" s="286">
        <f>'Data-temp_employment'!GP25-last_qrtr_tempemp!GQ25</f>
        <v>-15.099999999999994</v>
      </c>
      <c r="GQ25" s="286">
        <f>'Data-temp_employment'!GQ25</f>
        <v>65</v>
      </c>
      <c r="GR25" s="285" t="s">
        <v>27</v>
      </c>
      <c r="GS25" s="286">
        <f>'Data-temp_employment'!GS25-last_qrtr_tempemp!GT25</f>
        <v>-20</v>
      </c>
      <c r="GT25" s="286">
        <f>'Data-temp_employment'!GT25-last_qrtr_tempemp!GU25</f>
        <v>-0.60000000000002274</v>
      </c>
      <c r="GU25" s="286">
        <f>'Data-temp_employment'!GU25-last_qrtr_tempemp!GV25</f>
        <v>8.4000000000000341</v>
      </c>
      <c r="GV25" s="286">
        <f>'Data-temp_employment'!GV25-last_qrtr_tempemp!GW25</f>
        <v>32.699999999999989</v>
      </c>
      <c r="GW25" s="286">
        <f>'Data-temp_employment'!GW25-last_qrtr_tempemp!GX25</f>
        <v>3.6999999999999886</v>
      </c>
      <c r="GX25" s="286">
        <f>'Data-temp_employment'!GX25-last_qrtr_tempemp!GY25</f>
        <v>28.300000000000011</v>
      </c>
      <c r="GY25" s="286">
        <f>'Data-temp_employment'!GY25-last_qrtr_tempemp!GZ25</f>
        <v>41.199999999999989</v>
      </c>
      <c r="GZ25" s="286">
        <f>'Data-temp_employment'!GZ25-last_qrtr_tempemp!HA25</f>
        <v>68.900000000000034</v>
      </c>
      <c r="HA25" s="286">
        <f>'Data-temp_employment'!HA25-last_qrtr_tempemp!HB25</f>
        <v>20.799999999999955</v>
      </c>
      <c r="HB25" s="286">
        <f>'Data-temp_employment'!HB25</f>
        <v>389.3</v>
      </c>
      <c r="HC25" s="285" t="s">
        <v>27</v>
      </c>
      <c r="HD25" s="286">
        <f>'Data-temp_employment'!HD25-last_qrtr_tempemp!HE25</f>
        <v>-35.699999999999989</v>
      </c>
      <c r="HE25" s="286">
        <f>'Data-temp_employment'!HE25-last_qrtr_tempemp!HF25</f>
        <v>-11.300000000000011</v>
      </c>
      <c r="HF25" s="286">
        <f>'Data-temp_employment'!HF25-last_qrtr_tempemp!HG25</f>
        <v>7.2999999999999829</v>
      </c>
      <c r="HG25" s="286">
        <f>'Data-temp_employment'!HG25-last_qrtr_tempemp!HH25</f>
        <v>34.099999999999994</v>
      </c>
      <c r="HH25" s="286">
        <f>'Data-temp_employment'!HH25-last_qrtr_tempemp!HI25</f>
        <v>-12</v>
      </c>
      <c r="HI25" s="286">
        <f>'Data-temp_employment'!HI25-last_qrtr_tempemp!HJ25</f>
        <v>23.200000000000017</v>
      </c>
      <c r="HJ25" s="286">
        <f>'Data-temp_employment'!HJ25-last_qrtr_tempemp!HK25</f>
        <v>46.5</v>
      </c>
      <c r="HK25" s="286">
        <f>'Data-temp_employment'!HK25-last_qrtr_tempemp!HL25</f>
        <v>48.700000000000017</v>
      </c>
      <c r="HL25" s="286">
        <f>'Data-temp_employment'!HL25-last_qrtr_tempemp!HM25</f>
        <v>-4.8000000000000114</v>
      </c>
      <c r="HM25" s="286">
        <f>'Data-temp_employment'!HM25</f>
        <v>244.3</v>
      </c>
      <c r="HN25" s="285" t="s">
        <v>27</v>
      </c>
      <c r="HO25" s="286">
        <f>'Data-temp_employment'!HO25-last_qrtr_tempemp!HP25</f>
        <v>-50.699999999999989</v>
      </c>
      <c r="HP25" s="286">
        <f>'Data-temp_employment'!HP25-last_qrtr_tempemp!HQ25</f>
        <v>-85.700000000000045</v>
      </c>
      <c r="HQ25" s="286">
        <f>'Data-temp_employment'!HQ25-last_qrtr_tempemp!HR25</f>
        <v>38</v>
      </c>
      <c r="HR25" s="286">
        <f>'Data-temp_employment'!HR25-last_qrtr_tempemp!HS25</f>
        <v>115.90000000000003</v>
      </c>
      <c r="HS25" s="286">
        <f>'Data-temp_employment'!HS25-last_qrtr_tempemp!HT25</f>
        <v>-36.099999999999966</v>
      </c>
      <c r="HT25" s="286">
        <f>'Data-temp_employment'!HT25-last_qrtr_tempemp!HU25</f>
        <v>-30.199999999999932</v>
      </c>
      <c r="HU25" s="286">
        <f>'Data-temp_employment'!HU25-last_qrtr_tempemp!HV25</f>
        <v>63.299999999999955</v>
      </c>
      <c r="HV25" s="286">
        <f>'Data-temp_employment'!HV25-last_qrtr_tempemp!HW25</f>
        <v>162.19999999999999</v>
      </c>
      <c r="HW25" s="286">
        <f>'Data-temp_employment'!HW25-last_qrtr_tempemp!HX25</f>
        <v>-7.5</v>
      </c>
      <c r="HX25" s="286">
        <f>'Data-temp_employment'!HX25</f>
        <v>620.79999999999995</v>
      </c>
      <c r="HY25" s="285" t="s">
        <v>27</v>
      </c>
      <c r="HZ25" s="286">
        <f>'Data-temp_employment'!HZ25-last_qrtr_tempemp!IA25</f>
        <v>-5.2999999999999989</v>
      </c>
      <c r="IA25" s="286">
        <f>'Data-temp_employment'!IA25-last_qrtr_tempemp!IB25</f>
        <v>-12.1</v>
      </c>
      <c r="IB25" s="286">
        <f>'Data-temp_employment'!IB25-last_qrtr_tempemp!IC25</f>
        <v>-2.2999999999999998</v>
      </c>
      <c r="IC25" s="286">
        <f>'Data-temp_employment'!IC25-last_qrtr_tempemp!ID25</f>
        <v>1.5</v>
      </c>
      <c r="ID25" s="286">
        <f>'Data-temp_employment'!ID25-last_qrtr_tempemp!IE25</f>
        <v>5.0999999999999996</v>
      </c>
      <c r="IE25" s="286">
        <f>'Data-temp_employment'!IE25-last_qrtr_tempemp!IF25</f>
        <v>3.8999999999999995</v>
      </c>
      <c r="IF25" s="286">
        <f>'Data-temp_employment'!IF25-last_qrtr_tempemp!IG25</f>
        <v>2.9000000000000004</v>
      </c>
      <c r="IG25" s="286">
        <f>'Data-temp_employment'!IG25-last_qrtr_tempemp!IH25</f>
        <v>3.3000000000000007</v>
      </c>
      <c r="IH25" s="286">
        <f>'Data-temp_employment'!IH25-last_qrtr_tempemp!II25</f>
        <v>3.5</v>
      </c>
      <c r="II25" s="286">
        <f>'Data-temp_employment'!II25</f>
        <v>9.5</v>
      </c>
      <c r="IJ25" s="285" t="s">
        <v>27</v>
      </c>
      <c r="IK25" s="286">
        <f>'Data-temp_employment'!IK25-last_qrtr_tempemp!IL25</f>
        <v>0</v>
      </c>
      <c r="IL25" s="286">
        <f>'Data-temp_employment'!IL25-last_qrtr_tempemp!IM25</f>
        <v>0</v>
      </c>
      <c r="IM25" s="286">
        <f>'Data-temp_employment'!IM25-last_qrtr_tempemp!IN25</f>
        <v>0</v>
      </c>
      <c r="IN25" s="286">
        <f>'Data-temp_employment'!IN25-last_qrtr_tempemp!IO25</f>
        <v>0</v>
      </c>
      <c r="IO25" s="286">
        <f>'Data-temp_employment'!IO25-last_qrtr_tempemp!IP25</f>
        <v>0</v>
      </c>
      <c r="IP25" s="286">
        <f>'Data-temp_employment'!IP25-last_qrtr_tempemp!IQ25</f>
        <v>0</v>
      </c>
      <c r="IQ25" s="286">
        <f>'Data-temp_employment'!IQ25-last_qrtr_tempemp!IR25</f>
        <v>0</v>
      </c>
      <c r="IR25" s="286">
        <f>'Data-temp_employment'!IR25-last_qrtr_tempemp!IS25</f>
        <v>0</v>
      </c>
      <c r="IS25" s="286">
        <f>'Data-temp_employment'!IS25-last_qrtr_tempemp!IT25</f>
        <v>0</v>
      </c>
      <c r="IT25" s="286">
        <f>'Data-temp_employment'!IT25</f>
        <v>0</v>
      </c>
      <c r="IU25" s="285" t="s">
        <v>27</v>
      </c>
      <c r="IV25" s="286">
        <f>'Data-temp_employment'!IV25-last_qrtr_tempemp!IW25</f>
        <v>-18.099999999999994</v>
      </c>
      <c r="IW25" s="286">
        <f>'Data-temp_employment'!IW25-last_qrtr_tempemp!IX25</f>
        <v>-31.300000000000011</v>
      </c>
      <c r="IX25" s="286">
        <f>'Data-temp_employment'!IX25-last_qrtr_tempemp!IY25</f>
        <v>-24.400000000000034</v>
      </c>
      <c r="IY25" s="286">
        <f>'Data-temp_employment'!IY25-last_qrtr_tempemp!IZ25</f>
        <v>82.1</v>
      </c>
      <c r="IZ25" s="286">
        <f>'Data-temp_employment'!IZ25-last_qrtr_tempemp!JA25</f>
        <v>-25.900000000000006</v>
      </c>
      <c r="JA25" s="286">
        <f>'Data-temp_employment'!JA25-last_qrtr_tempemp!JB25</f>
        <v>-24.099999999999966</v>
      </c>
      <c r="JB25" s="286">
        <f>'Data-temp_employment'!JB25-last_qrtr_tempemp!JC25</f>
        <v>-13.5</v>
      </c>
      <c r="JC25" s="286">
        <f>'Data-temp_employment'!JC25-last_qrtr_tempemp!JD25</f>
        <v>68.200000000000017</v>
      </c>
      <c r="JD25" s="286">
        <f>'Data-temp_employment'!JD25-last_qrtr_tempemp!JE25</f>
        <v>-27.900000000000034</v>
      </c>
      <c r="JE25" s="286">
        <f>'Data-temp_employment'!JE25</f>
        <v>307</v>
      </c>
      <c r="JF25" s="285" t="s">
        <v>27</v>
      </c>
      <c r="JG25" s="286">
        <f>'Data-temp_employment'!JG25-last_qrtr_tempemp!JH25</f>
        <v>-41.5</v>
      </c>
      <c r="JH25" s="286">
        <f>'Data-temp_employment'!JH25-last_qrtr_tempemp!JI25</f>
        <v>-25.699999999999989</v>
      </c>
      <c r="JI25" s="286">
        <f>'Data-temp_employment'!JI25-last_qrtr_tempemp!JJ25</f>
        <v>12.900000000000034</v>
      </c>
      <c r="JJ25" s="286">
        <f>'Data-temp_employment'!JJ25-last_qrtr_tempemp!JK25</f>
        <v>63.200000000000045</v>
      </c>
      <c r="JK25" s="286">
        <f>'Data-temp_employment'!JK25-last_qrtr_tempemp!JL25</f>
        <v>18.100000000000023</v>
      </c>
      <c r="JL25" s="286">
        <f>'Data-temp_employment'!JL25-last_qrtr_tempemp!JM25</f>
        <v>45</v>
      </c>
      <c r="JM25" s="286">
        <f>'Data-temp_employment'!JM25-last_qrtr_tempemp!JN25</f>
        <v>47.699999999999989</v>
      </c>
      <c r="JN25" s="286">
        <f>'Data-temp_employment'!JN25-last_qrtr_tempemp!JO25</f>
        <v>92.799999999999955</v>
      </c>
      <c r="JO25" s="286">
        <f>'Data-temp_employment'!JO25-last_qrtr_tempemp!JP25</f>
        <v>42.399999999999977</v>
      </c>
      <c r="JP25" s="286">
        <f>'Data-temp_employment'!JP25</f>
        <v>544.29999999999995</v>
      </c>
      <c r="JQ25" s="285" t="s">
        <v>27</v>
      </c>
      <c r="JR25" s="286">
        <f>'Data-temp_employment'!JR25-last_qrtr_tempemp!JS25</f>
        <v>-23.899999999999991</v>
      </c>
      <c r="JS25" s="286">
        <f>'Data-temp_employment'!JS25-last_qrtr_tempemp!JT25</f>
        <v>4.7999999999999829</v>
      </c>
      <c r="JT25" s="286">
        <f>'Data-temp_employment'!JT25-last_qrtr_tempemp!JU25</f>
        <v>4.9000000000000057</v>
      </c>
      <c r="JU25" s="286">
        <f>'Data-temp_employment'!JU25-last_qrtr_tempemp!JV25</f>
        <v>9.1000000000000085</v>
      </c>
      <c r="JV25" s="286">
        <f>'Data-temp_employment'!JV25-last_qrtr_tempemp!JW25</f>
        <v>-16</v>
      </c>
      <c r="JW25" s="286">
        <f>'Data-temp_employment'!JW25-last_qrtr_tempemp!JX25</f>
        <v>13.5</v>
      </c>
      <c r="JX25" s="286">
        <f>'Data-temp_employment'!JX25-last_qrtr_tempemp!JY25</f>
        <v>21.099999999999994</v>
      </c>
      <c r="JY25" s="286">
        <f>'Data-temp_employment'!JY25-last_qrtr_tempemp!JZ25</f>
        <v>13.800000000000011</v>
      </c>
      <c r="JZ25" s="286">
        <f>'Data-temp_employment'!JZ25-last_qrtr_tempemp!KA25</f>
        <v>0.90000000000000568</v>
      </c>
      <c r="KA25" s="286">
        <f>'Data-temp_employment'!KA25</f>
        <v>174.4</v>
      </c>
      <c r="KB25" s="285" t="s">
        <v>27</v>
      </c>
      <c r="KC25" s="286">
        <f>'Data-temp_employment'!KC25-last_qrtr_tempemp!KD25</f>
        <v>-29.600000000000023</v>
      </c>
      <c r="KD25" s="286">
        <f>'Data-temp_employment'!KD25-last_qrtr_tempemp!KE25</f>
        <v>-18.100000000000023</v>
      </c>
      <c r="KE25" s="286">
        <f>'Data-temp_employment'!KE25-last_qrtr_tempemp!KF25</f>
        <v>46.600000000000023</v>
      </c>
      <c r="KF25" s="286">
        <f>'Data-temp_employment'!KF25-last_qrtr_tempemp!KG25</f>
        <v>64.100000000000023</v>
      </c>
      <c r="KG25" s="286">
        <f>'Data-temp_employment'!KG25-last_qrtr_tempemp!KH25</f>
        <v>0.70000000000004547</v>
      </c>
      <c r="KH25" s="286">
        <f>'Data-temp_employment'!KH25-last_qrtr_tempemp!KI25</f>
        <v>18.599999999999966</v>
      </c>
      <c r="KI25" s="286">
        <f>'Data-temp_employment'!KI25-last_qrtr_tempemp!KJ25</f>
        <v>68.699999999999989</v>
      </c>
      <c r="KJ25" s="286">
        <f>'Data-temp_employment'!KJ25-last_qrtr_tempemp!KK25</f>
        <v>111.69999999999999</v>
      </c>
      <c r="KK25" s="286">
        <f>'Data-temp_employment'!KK25-last_qrtr_tempemp!KL25</f>
        <v>37.199999999999989</v>
      </c>
      <c r="KL25" s="286">
        <f>'Data-temp_employment'!KL25</f>
        <v>365.6</v>
      </c>
      <c r="KM25" s="285" t="s">
        <v>27</v>
      </c>
      <c r="KN25" s="286">
        <f>'Data-temp_employment'!KN25-last_qrtr_tempemp!KO25</f>
        <v>-7.2000000000000028</v>
      </c>
      <c r="KO25" s="286">
        <f>'Data-temp_employment'!KO25-last_qrtr_tempemp!KP25</f>
        <v>-8.5999999999999943</v>
      </c>
      <c r="KP25" s="286">
        <f>'Data-temp_employment'!KP25-last_qrtr_tempemp!KQ25</f>
        <v>4</v>
      </c>
      <c r="KQ25" s="286">
        <f>'Data-temp_employment'!KQ25-last_qrtr_tempemp!KR25</f>
        <v>21.400000000000006</v>
      </c>
      <c r="KR25" s="286">
        <f>'Data-temp_employment'!KR25-last_qrtr_tempemp!KS25</f>
        <v>10.799999999999997</v>
      </c>
      <c r="KS25" s="286">
        <f>'Data-temp_employment'!KS25-last_qrtr_tempemp!KT25</f>
        <v>8</v>
      </c>
      <c r="KT25" s="286">
        <f>'Data-temp_employment'!KT25-last_qrtr_tempemp!KU25</f>
        <v>19.900000000000006</v>
      </c>
      <c r="KU25" s="286">
        <f>'Data-temp_employment'!KU25-last_qrtr_tempemp!KV25</f>
        <v>41.099999999999994</v>
      </c>
      <c r="KV25" s="286">
        <f>'Data-temp_employment'!KV25-last_qrtr_tempemp!KW25</f>
        <v>27.199999999999989</v>
      </c>
      <c r="KW25" s="286">
        <f>'Data-temp_employment'!KW25</f>
        <v>118.4</v>
      </c>
      <c r="KX25" s="285" t="s">
        <v>27</v>
      </c>
      <c r="KY25" s="286">
        <f>'Data-temp_employment'!KY25-last_qrtr_tempemp!KZ25</f>
        <v>-100.90000000000003</v>
      </c>
      <c r="KZ25" s="286">
        <f>'Data-temp_employment'!KZ25-last_qrtr_tempemp!LA25</f>
        <v>-54.5</v>
      </c>
      <c r="LA25" s="286">
        <f>'Data-temp_employment'!LA25-last_qrtr_tempemp!LB25</f>
        <v>152.69999999999999</v>
      </c>
      <c r="LB25" s="286">
        <f>'Data-temp_employment'!LB25-last_qrtr_tempemp!LC25</f>
        <v>68.600000000000023</v>
      </c>
      <c r="LC25" s="286">
        <f>'Data-temp_employment'!LC25-last_qrtr_tempemp!LD25</f>
        <v>-109.50000000000003</v>
      </c>
      <c r="LD25" s="286">
        <f>'Data-temp_employment'!LD25-last_qrtr_tempemp!LE25</f>
        <v>-28</v>
      </c>
      <c r="LE25" s="286">
        <f>'Data-temp_employment'!LE25-last_qrtr_tempemp!LF25</f>
        <v>223.59999999999997</v>
      </c>
      <c r="LF25" s="286">
        <f>'Data-temp_employment'!LF25-last_qrtr_tempemp!LG25</f>
        <v>64.099999999999994</v>
      </c>
      <c r="LG25" s="286">
        <f>'Data-temp_employment'!LG25-last_qrtr_tempemp!LH25</f>
        <v>-89.099999999999966</v>
      </c>
      <c r="LH25" s="286">
        <f>'Data-temp_employment'!LH25</f>
        <v>408.9</v>
      </c>
      <c r="LI25" s="285" t="s">
        <v>27</v>
      </c>
      <c r="LJ25" s="286">
        <f>'Data-temp_employment'!LJ25-last_qrtr_tempemp!LK25</f>
        <v>-1.7999999999999972</v>
      </c>
      <c r="LK25" s="286">
        <f>'Data-temp_employment'!LK25-last_qrtr_tempemp!LL25</f>
        <v>-8.1999999999999957</v>
      </c>
      <c r="LL25" s="286">
        <f>'Data-temp_employment'!LL25-last_qrtr_tempemp!LM25</f>
        <v>-12.700000000000003</v>
      </c>
      <c r="LM25" s="286">
        <f>'Data-temp_employment'!LM25-last_qrtr_tempemp!LN25</f>
        <v>0.5</v>
      </c>
      <c r="LN25" s="286">
        <f>'Data-temp_employment'!LN25-last_qrtr_tempemp!LO25</f>
        <v>6.8999999999999986</v>
      </c>
      <c r="LO25" s="286">
        <f>'Data-temp_employment'!LO25-last_qrtr_tempemp!LP25</f>
        <v>11.799999999999997</v>
      </c>
      <c r="LP25" s="286">
        <f>'Data-temp_employment'!LP25-last_qrtr_tempemp!LQ25</f>
        <v>3</v>
      </c>
      <c r="LQ25" s="286">
        <f>'Data-temp_employment'!LQ25-last_qrtr_tempemp!LR25</f>
        <v>-5</v>
      </c>
      <c r="LR25" s="286">
        <f>'Data-temp_employment'!LR25-last_qrtr_tempemp!LS25</f>
        <v>2.7000000000000028</v>
      </c>
      <c r="LS25" s="286">
        <f>'Data-temp_employment'!LS25</f>
        <v>41.5</v>
      </c>
      <c r="LT25" s="285" t="s">
        <v>27</v>
      </c>
      <c r="LU25" s="286">
        <f>'Data-temp_employment'!LU25-last_qrtr_tempemp!LV25</f>
        <v>-5.0999999999999996</v>
      </c>
      <c r="LV25" s="286">
        <f>'Data-temp_employment'!LV25-last_qrtr_tempemp!LW25</f>
        <v>3.4000000000000004</v>
      </c>
      <c r="LW25" s="286">
        <f>'Data-temp_employment'!LW25-last_qrtr_tempemp!LX25</f>
        <v>0.60000000000000142</v>
      </c>
      <c r="LX25" s="286">
        <f>'Data-temp_employment'!LX25-last_qrtr_tempemp!LY25</f>
        <v>5.9</v>
      </c>
      <c r="LY25" s="286">
        <f>'Data-temp_employment'!LY25-last_qrtr_tempemp!LZ25</f>
        <v>-3.7000000000000011</v>
      </c>
      <c r="LZ25" s="286">
        <f>'Data-temp_employment'!LZ25-last_qrtr_tempemp!MA25</f>
        <v>0.29999999999999716</v>
      </c>
      <c r="MA25" s="286">
        <f>'Data-temp_employment'!MA25-last_qrtr_tempemp!MB25</f>
        <v>5</v>
      </c>
      <c r="MB25" s="286">
        <f>'Data-temp_employment'!MB25-last_qrtr_tempemp!MC25</f>
        <v>2.9000000000000004</v>
      </c>
      <c r="MC25" s="286">
        <f>'Data-temp_employment'!MC25-last_qrtr_tempemp!MD25</f>
        <v>-2.5999999999999979</v>
      </c>
      <c r="MD25" s="286">
        <f>'Data-temp_employment'!MD25</f>
        <v>28.9</v>
      </c>
      <c r="ME25" s="285" t="s">
        <v>27</v>
      </c>
      <c r="MF25" s="286">
        <f>'Data-temp_employment'!MF25-last_qrtr_tempemp!MG25</f>
        <v>7.7000000000000028</v>
      </c>
      <c r="MG25" s="286">
        <f>'Data-temp_employment'!MG25-last_qrtr_tempemp!MH25</f>
        <v>3.7999999999999972</v>
      </c>
      <c r="MH25" s="286">
        <f>'Data-temp_employment'!MH25-last_qrtr_tempemp!MI25</f>
        <v>-6.3999999999999915</v>
      </c>
      <c r="MI25" s="286">
        <f>'Data-temp_employment'!MI25-last_qrtr_tempemp!MJ25</f>
        <v>17.599999999999994</v>
      </c>
      <c r="MJ25" s="286">
        <f>'Data-temp_employment'!MJ25-last_qrtr_tempemp!MK25</f>
        <v>10.099999999999994</v>
      </c>
      <c r="MK25" s="286">
        <f>'Data-temp_employment'!MK25-last_qrtr_tempemp!ML25</f>
        <v>15.599999999999994</v>
      </c>
      <c r="ML25" s="286">
        <f>'Data-temp_employment'!ML25-last_qrtr_tempemp!MM25</f>
        <v>4.5</v>
      </c>
      <c r="MM25" s="286">
        <f>'Data-temp_employment'!MM25-last_qrtr_tempemp!MN25</f>
        <v>-11.799999999999997</v>
      </c>
      <c r="MN25" s="286">
        <f>'Data-temp_employment'!MN25-last_qrtr_tempemp!MO25</f>
        <v>-16.099999999999994</v>
      </c>
      <c r="MO25" s="286">
        <f>'Data-temp_employment'!MO25</f>
        <v>98.7</v>
      </c>
      <c r="MP25" s="285" t="s">
        <v>27</v>
      </c>
      <c r="MQ25" s="286">
        <f>'Data-temp_employment'!MQ25-last_qrtr_tempemp!MR25</f>
        <v>-29.999999999999986</v>
      </c>
      <c r="MR25" s="286">
        <f>'Data-temp_employment'!MR25-last_qrtr_tempemp!MS25</f>
        <v>-39</v>
      </c>
      <c r="MS25" s="286">
        <f>'Data-temp_employment'!MS25-last_qrtr_tempemp!MT25</f>
        <v>28.099999999999994</v>
      </c>
      <c r="MT25" s="286">
        <f>'Data-temp_employment'!MT25-last_qrtr_tempemp!MU25</f>
        <v>15.600000000000009</v>
      </c>
      <c r="MU25" s="286">
        <f>'Data-temp_employment'!MU25-last_qrtr_tempemp!MV25</f>
        <v>-12.700000000000017</v>
      </c>
      <c r="MV25" s="286">
        <f>'Data-temp_employment'!MV25-last_qrtr_tempemp!MW25</f>
        <v>-20.899999999999977</v>
      </c>
      <c r="MW25" s="286">
        <f>'Data-temp_employment'!MW25-last_qrtr_tempemp!MX25</f>
        <v>9.3999999999999773</v>
      </c>
      <c r="MX25" s="286">
        <f>'Data-temp_employment'!MX25-last_qrtr_tempemp!MY25</f>
        <v>18.200000000000017</v>
      </c>
      <c r="MY25" s="286">
        <f>'Data-temp_employment'!MY25-last_qrtr_tempemp!MZ25</f>
        <v>9.3999999999999773</v>
      </c>
      <c r="MZ25" s="286">
        <f>'Data-temp_employment'!MZ25</f>
        <v>189.2</v>
      </c>
      <c r="NA25" s="285" t="s">
        <v>27</v>
      </c>
      <c r="NB25" s="286">
        <f>'Data-temp_employment'!NB25-last_qrtr_tempemp!NC25</f>
        <v>-5.2999999999999972</v>
      </c>
      <c r="NC25" s="286">
        <f>'Data-temp_employment'!NC25-last_qrtr_tempemp!ND25</f>
        <v>-23.300000000000004</v>
      </c>
      <c r="ND25" s="286">
        <f>'Data-temp_employment'!ND25-last_qrtr_tempemp!NE25</f>
        <v>-1.2000000000000028</v>
      </c>
      <c r="NE25" s="286">
        <f>'Data-temp_employment'!NE25-last_qrtr_tempemp!NF25</f>
        <v>13</v>
      </c>
      <c r="NF25" s="286">
        <f>'Data-temp_employment'!NF25-last_qrtr_tempemp!NG25</f>
        <v>10.300000000000004</v>
      </c>
      <c r="NG25" s="286">
        <f>'Data-temp_employment'!NG25-last_qrtr_tempemp!NH25</f>
        <v>0.70000000000000284</v>
      </c>
      <c r="NH25" s="286">
        <f>'Data-temp_employment'!NH25-last_qrtr_tempemp!NI25</f>
        <v>-4.4000000000000057</v>
      </c>
      <c r="NI25" s="286">
        <f>'Data-temp_employment'!NI25-last_qrtr_tempemp!NJ25</f>
        <v>9.1999999999999886</v>
      </c>
      <c r="NJ25" s="286">
        <f>'Data-temp_employment'!NJ25-last_qrtr_tempemp!NK25</f>
        <v>-8.5999999999999943</v>
      </c>
      <c r="NK25" s="286">
        <f>'Data-temp_employment'!NK25</f>
        <v>59.8</v>
      </c>
      <c r="NL25" s="285" t="s">
        <v>27</v>
      </c>
      <c r="NM25" s="286">
        <f>'Data-temp_employment'!NM25-last_qrtr_tempemp!NN25</f>
        <v>36.099999999999994</v>
      </c>
      <c r="NN25" s="286">
        <f>'Data-temp_employment'!NN25-last_qrtr_tempemp!NO25</f>
        <v>129.9</v>
      </c>
      <c r="NO25" s="286">
        <f>'Data-temp_employment'!NO25-last_qrtr_tempemp!NP25</f>
        <v>-119.80000000000001</v>
      </c>
      <c r="NP25" s="286">
        <f>'Data-temp_employment'!NP25-last_qrtr_tempemp!NQ25</f>
        <v>-27.5</v>
      </c>
      <c r="NQ25" s="286">
        <f>'Data-temp_employment'!NQ25-last_qrtr_tempemp!NR25</f>
        <v>24.5</v>
      </c>
      <c r="NR25" s="286">
        <f>'Data-temp_employment'!NR25-last_qrtr_tempemp!NS25</f>
        <v>151.19999999999999</v>
      </c>
      <c r="NS25" s="286">
        <f>'Data-temp_employment'!NS25-last_qrtr_tempemp!NT25</f>
        <v>-102.69999999999999</v>
      </c>
      <c r="NT25" s="286">
        <f>'Data-temp_employment'!NT25-last_qrtr_tempemp!NU25</f>
        <v>22.899999999999977</v>
      </c>
      <c r="NU25" s="286">
        <f>'Data-temp_employment'!NU25-last_qrtr_tempemp!NV25</f>
        <v>16.699999999999989</v>
      </c>
      <c r="NV25" s="286">
        <f>'Data-temp_employment'!NV25</f>
        <v>289</v>
      </c>
      <c r="NW25" s="285" t="s">
        <v>27</v>
      </c>
      <c r="NX25" s="286">
        <f>'Data-temp_employment'!NX25-last_qrtr_tempemp!NY25</f>
        <v>5.8000000000000114</v>
      </c>
      <c r="NY25" s="286">
        <f>'Data-temp_employment'!NY25-last_qrtr_tempemp!NZ25</f>
        <v>21.099999999999994</v>
      </c>
      <c r="NZ25" s="286">
        <f>'Data-temp_employment'!NZ25-last_qrtr_tempemp!OA25</f>
        <v>8.9000000000000057</v>
      </c>
      <c r="OA25" s="286">
        <f>'Data-temp_employment'!OA25-last_qrtr_tempemp!OB25</f>
        <v>-2.8000000000000114</v>
      </c>
      <c r="OB25" s="286">
        <f>'Data-temp_employment'!OB25-last_qrtr_tempemp!OC25</f>
        <v>-14.900000000000006</v>
      </c>
      <c r="OC25" s="286">
        <f>'Data-temp_employment'!OC25-last_qrtr_tempemp!OD25</f>
        <v>-5.9000000000000057</v>
      </c>
      <c r="OD25" s="286">
        <f>'Data-temp_employment'!OD25-last_qrtr_tempemp!OE25</f>
        <v>12.599999999999994</v>
      </c>
      <c r="OE25" s="286">
        <f>'Data-temp_employment'!OE25-last_qrtr_tempemp!OF25</f>
        <v>29.099999999999994</v>
      </c>
      <c r="OF25" s="286">
        <f>'Data-temp_employment'!OF25-last_qrtr_tempemp!OG25</f>
        <v>44.900000000000006</v>
      </c>
      <c r="OG25" s="286">
        <f>'Data-temp_employment'!OG25</f>
        <v>194.7</v>
      </c>
      <c r="OH25" s="287" t="s">
        <v>27</v>
      </c>
      <c r="OI25" s="286"/>
      <c r="OJ25" s="286"/>
      <c r="OK25" s="286"/>
      <c r="OL25" s="286"/>
      <c r="OM25" s="286"/>
      <c r="ON25" s="286"/>
      <c r="OO25" s="286"/>
      <c r="OP25" s="286"/>
      <c r="OQ25" s="286"/>
      <c r="OR25" s="286"/>
      <c r="OS25" s="285" t="s">
        <v>27</v>
      </c>
      <c r="OT25" s="286" t="e">
        <f>'Data-temp_employment'!#REF!-last_qrtr_tempemp!OU25</f>
        <v>#REF!</v>
      </c>
      <c r="OU25" s="286">
        <f>'Data-temp_employment'!OT25-last_qrtr_tempemp!OV25</f>
        <v>-0.39999999999999997</v>
      </c>
      <c r="OV25" s="286">
        <f>'Data-temp_employment'!OU25-last_qrtr_tempemp!OW25</f>
        <v>0</v>
      </c>
      <c r="OW25" s="286">
        <f>'Data-temp_employment'!OV25-last_qrtr_tempemp!OX25</f>
        <v>0.2</v>
      </c>
      <c r="OX25" s="286">
        <f>'Data-temp_employment'!OW25-last_qrtr_tempemp!OY25</f>
        <v>-0.19999999999999996</v>
      </c>
      <c r="OY25" s="286">
        <f>'Data-temp_employment'!OX25-last_qrtr_tempemp!OZ25</f>
        <v>-0.30000000000000004</v>
      </c>
      <c r="OZ25" s="286">
        <f>'Data-temp_employment'!OY25-last_qrtr_tempemp!PA25</f>
        <v>-1.3</v>
      </c>
      <c r="PA25" s="286">
        <f>'Data-temp_employment'!OZ25-last_qrtr_tempemp!PB25</f>
        <v>-0.70000000000000007</v>
      </c>
      <c r="PB25" s="286">
        <f>'Data-temp_employment'!PA25-last_qrtr_tempemp!PC25</f>
        <v>-0.3</v>
      </c>
      <c r="PC25" s="286">
        <f>'Data-temp_employment'!PB25</f>
        <v>0.3</v>
      </c>
      <c r="PE25" s="319"/>
      <c r="PF25" s="319"/>
      <c r="PG25" s="319"/>
      <c r="PH25" s="319"/>
      <c r="PI25" s="319"/>
      <c r="PJ25" s="319"/>
      <c r="PK25" s="319"/>
      <c r="PL25" s="319"/>
      <c r="PM25" s="319"/>
      <c r="PN25" s="319"/>
      <c r="PO25" s="319"/>
      <c r="PP25" s="319"/>
      <c r="PQ25" s="319"/>
      <c r="PR25" s="319"/>
      <c r="PS25" s="319"/>
      <c r="PT25" s="319"/>
      <c r="PU25" s="319"/>
      <c r="PV25" s="319"/>
      <c r="PW25" s="319"/>
      <c r="PX25" s="319"/>
      <c r="PY25" s="319"/>
      <c r="PZ25" s="319"/>
      <c r="QA25" s="319"/>
      <c r="QB25" s="319"/>
      <c r="QC25" s="319"/>
      <c r="QD25" s="319"/>
      <c r="QE25" s="319"/>
      <c r="QF25" s="319"/>
      <c r="QG25" s="319"/>
      <c r="QH25" s="319"/>
      <c r="QI25" s="319"/>
      <c r="QJ25" s="319"/>
      <c r="QK25" s="319"/>
      <c r="QL25" s="319"/>
      <c r="QM25" s="319"/>
      <c r="QN25" s="319"/>
      <c r="QO25" s="319"/>
      <c r="QP25" s="319"/>
      <c r="QQ25" s="319"/>
      <c r="QR25" s="319"/>
      <c r="QS25" s="319"/>
      <c r="QT25" s="319"/>
      <c r="QU25" s="319"/>
      <c r="QV25" s="319"/>
      <c r="QW25" s="319"/>
      <c r="QX25" s="319"/>
      <c r="QY25" s="319"/>
      <c r="QZ25" s="319"/>
      <c r="RA25" s="319"/>
      <c r="RB25" s="319"/>
      <c r="RC25" s="319"/>
      <c r="RD25" s="319"/>
      <c r="RE25" s="319"/>
      <c r="RF25" s="319"/>
      <c r="RG25" s="319"/>
      <c r="RH25" s="319"/>
      <c r="RI25" s="319"/>
      <c r="RJ25" s="319"/>
      <c r="RK25" s="319"/>
      <c r="RL25" s="319"/>
      <c r="RM25" s="319"/>
      <c r="RN25" s="319"/>
      <c r="RO25" s="319"/>
      <c r="RP25" s="319"/>
    </row>
    <row r="26" spans="1:485" s="272" customFormat="1">
      <c r="A26" s="269">
        <v>23</v>
      </c>
      <c r="B26" s="303" t="s">
        <v>29</v>
      </c>
      <c r="C26" s="286">
        <f>'Data-temp_employment'!C26-last_qrtr_tempemp!D26</f>
        <v>0.29999999999999982</v>
      </c>
      <c r="D26" s="286">
        <f>'Data-temp_employment'!D26-last_qrtr_tempemp!E26</f>
        <v>-0.10000000000000009</v>
      </c>
      <c r="E26" s="286">
        <f>'Data-temp_employment'!E26-last_qrtr_tempemp!F26</f>
        <v>-0.89999999999999991</v>
      </c>
      <c r="F26" s="286">
        <f>'Data-temp_employment'!F26-last_qrtr_tempemp!G26</f>
        <v>-0.79999999999999982</v>
      </c>
      <c r="G26" s="286">
        <f>'Data-temp_employment'!G26-last_qrtr_tempemp!H26</f>
        <v>-1</v>
      </c>
      <c r="H26" s="286">
        <f>'Data-temp_employment'!H26-last_qrtr_tempemp!I26</f>
        <v>-0.60000000000000009</v>
      </c>
      <c r="I26" s="286">
        <f>'Data-temp_employment'!I26-last_qrtr_tempemp!J26</f>
        <v>0</v>
      </c>
      <c r="J26" s="286">
        <f>'Data-temp_employment'!J26-last_qrtr_tempemp!K26</f>
        <v>0</v>
      </c>
      <c r="K26" s="286">
        <f>'Data-temp_employment'!K26-last_qrtr_tempemp!L26</f>
        <v>-0.29999999999999982</v>
      </c>
      <c r="L26" s="286">
        <f>'Data-temp_employment'!L26</f>
        <v>3.1</v>
      </c>
      <c r="M26" s="303" t="s">
        <v>29</v>
      </c>
      <c r="N26" s="286">
        <f>'Data-temp_employment'!N26-last_qrtr_tempemp!O26</f>
        <v>1.6999999999999993</v>
      </c>
      <c r="O26" s="286">
        <f>'Data-temp_employment'!O26-last_qrtr_tempemp!P26</f>
        <v>-0.80000000000000071</v>
      </c>
      <c r="P26" s="286">
        <f>'Data-temp_employment'!P26-last_qrtr_tempemp!Q26</f>
        <v>-6.5999999999999979</v>
      </c>
      <c r="Q26" s="286">
        <f>'Data-temp_employment'!Q26-last_qrtr_tempemp!R26</f>
        <v>-6.3999999999999986</v>
      </c>
      <c r="R26" s="286">
        <f>'Data-temp_employment'!R26-last_qrtr_tempemp!S26</f>
        <v>-8.1999999999999993</v>
      </c>
      <c r="S26" s="286">
        <f>'Data-temp_employment'!S26-last_qrtr_tempemp!T26</f>
        <v>-4.5</v>
      </c>
      <c r="T26" s="286">
        <f>'Data-temp_employment'!T26-last_qrtr_tempemp!U26</f>
        <v>0.89999999999999858</v>
      </c>
      <c r="U26" s="286">
        <f>'Data-temp_employment'!U26-last_qrtr_tempemp!V26</f>
        <v>0.80000000000000071</v>
      </c>
      <c r="V26" s="286">
        <f>'Data-temp_employment'!V26-last_qrtr_tempemp!W26</f>
        <v>-2.1000000000000014</v>
      </c>
      <c r="W26" s="286">
        <f>'Data-temp_employment'!W26</f>
        <v>24</v>
      </c>
      <c r="X26" s="303" t="s">
        <v>29</v>
      </c>
      <c r="Y26" s="286">
        <f>'Data-temp_employment'!Y26-last_qrtr_tempemp!Z26</f>
        <v>0</v>
      </c>
      <c r="Z26" s="286">
        <f>'Data-temp_employment'!Z26-last_qrtr_tempemp!AA26</f>
        <v>0</v>
      </c>
      <c r="AA26" s="286">
        <f>'Data-temp_employment'!AA26-last_qrtr_tempemp!AB26</f>
        <v>0</v>
      </c>
      <c r="AB26" s="286">
        <f>'Data-temp_employment'!AB26-last_qrtr_tempemp!AC26</f>
        <v>0</v>
      </c>
      <c r="AC26" s="286">
        <f>'Data-temp_employment'!AC26-last_qrtr_tempemp!AD26</f>
        <v>0</v>
      </c>
      <c r="AD26" s="286">
        <f>'Data-temp_employment'!AD26-last_qrtr_tempemp!AE26</f>
        <v>0</v>
      </c>
      <c r="AE26" s="286">
        <f>'Data-temp_employment'!AE26-last_qrtr_tempemp!AF26</f>
        <v>0</v>
      </c>
      <c r="AF26" s="286">
        <f>'Data-temp_employment'!AF26-last_qrtr_tempemp!AG26</f>
        <v>0</v>
      </c>
      <c r="AG26" s="286">
        <f>'Data-temp_employment'!AG26-last_qrtr_tempemp!AH26</f>
        <v>0</v>
      </c>
      <c r="AH26" s="286">
        <f>'Data-temp_employment'!AH26</f>
        <v>0</v>
      </c>
      <c r="AI26" s="303" t="s">
        <v>29</v>
      </c>
      <c r="AJ26" s="286">
        <f>'Data-temp_employment'!AJ26-last_qrtr_tempemp!AK26</f>
        <v>-4.0999999999999996</v>
      </c>
      <c r="AK26" s="286">
        <f>'Data-temp_employment'!AK26-last_qrtr_tempemp!AL26</f>
        <v>-6.3000000000000007</v>
      </c>
      <c r="AL26" s="286">
        <f>'Data-temp_employment'!AL26-last_qrtr_tempemp!AM26</f>
        <v>-4.8000000000000007</v>
      </c>
      <c r="AM26" s="286">
        <f>'Data-temp_employment'!AM26-last_qrtr_tempemp!AN26</f>
        <v>3.8999999999999986</v>
      </c>
      <c r="AN26" s="286">
        <f>'Data-temp_employment'!AN26-last_qrtr_tempemp!AO26</f>
        <v>-2.1999999999999993</v>
      </c>
      <c r="AO26" s="286">
        <f>'Data-temp_employment'!AO26-last_qrtr_tempemp!AP26</f>
        <v>-2.3999999999999995</v>
      </c>
      <c r="AP26" s="286">
        <f>'Data-temp_employment'!AP26-last_qrtr_tempemp!AQ26</f>
        <v>-0.5</v>
      </c>
      <c r="AQ26" s="286">
        <f>'Data-temp_employment'!AQ26-last_qrtr_tempemp!AR26</f>
        <v>0.20000000000000018</v>
      </c>
      <c r="AR26" s="286">
        <f>'Data-temp_employment'!AR26-last_qrtr_tempemp!AS26</f>
        <v>-1.8999999999999995</v>
      </c>
      <c r="AS26" s="286">
        <f>'Data-temp_employment'!AS26</f>
        <v>10.3</v>
      </c>
      <c r="AT26" s="303" t="s">
        <v>29</v>
      </c>
      <c r="AU26" s="286">
        <f>'Data-temp_employment'!AU26-last_qrtr_tempemp!AV26</f>
        <v>-0.69999999999999929</v>
      </c>
      <c r="AV26" s="286">
        <f>'Data-temp_employment'!AV26-last_qrtr_tempemp!AW26</f>
        <v>0</v>
      </c>
      <c r="AW26" s="286">
        <f>'Data-temp_employment'!AW26-last_qrtr_tempemp!AX26</f>
        <v>-0.79999999999999982</v>
      </c>
      <c r="AX26" s="286">
        <f>'Data-temp_employment'!AX26-last_qrtr_tempemp!AY26</f>
        <v>-2.5</v>
      </c>
      <c r="AY26" s="286">
        <f>'Data-temp_employment'!AY26-last_qrtr_tempemp!AZ26</f>
        <v>-0.90000000000000036</v>
      </c>
      <c r="AZ26" s="286">
        <f>'Data-temp_employment'!AZ26-last_qrtr_tempemp!BA26</f>
        <v>-1.2999999999999998</v>
      </c>
      <c r="BA26" s="286">
        <f>'Data-temp_employment'!BA26-last_qrtr_tempemp!BB26</f>
        <v>-0.20000000000000018</v>
      </c>
      <c r="BB26" s="286">
        <f>'Data-temp_employment'!BB26-last_qrtr_tempemp!BC26</f>
        <v>0.70000000000000018</v>
      </c>
      <c r="BC26" s="286">
        <f>'Data-temp_employment'!BC26-last_qrtr_tempemp!BD26</f>
        <v>2.9999999999999991</v>
      </c>
      <c r="BD26" s="286">
        <f>'Data-temp_employment'!BD26</f>
        <v>4.7</v>
      </c>
      <c r="BE26" s="303" t="s">
        <v>29</v>
      </c>
      <c r="BF26" s="286">
        <f>'Data-temp_employment'!BF26-last_qrtr_tempemp!BG26</f>
        <v>2.8000000000000007</v>
      </c>
      <c r="BG26" s="286">
        <f>'Data-temp_employment'!BG26-last_qrtr_tempemp!BH26</f>
        <v>4.4000000000000004</v>
      </c>
      <c r="BH26" s="286">
        <f>'Data-temp_employment'!BH26-last_qrtr_tempemp!BI26</f>
        <v>-4.2</v>
      </c>
      <c r="BI26" s="286">
        <f>'Data-temp_employment'!BI26-last_qrtr_tempemp!BJ26</f>
        <v>-7.4</v>
      </c>
      <c r="BJ26" s="286">
        <f>'Data-temp_employment'!BJ26-last_qrtr_tempemp!BK26</f>
        <v>-4.4000000000000004</v>
      </c>
      <c r="BK26" s="286">
        <f>'Data-temp_employment'!BK26-last_qrtr_tempemp!BL26</f>
        <v>3.8</v>
      </c>
      <c r="BL26" s="286">
        <f>'Data-temp_employment'!BL26-last_qrtr_tempemp!BM26</f>
        <v>0</v>
      </c>
      <c r="BM26" s="286">
        <f>'Data-temp_employment'!BM26-last_qrtr_tempemp!BN26</f>
        <v>3.3</v>
      </c>
      <c r="BN26" s="286">
        <f>'Data-temp_employment'!BN26-last_qrtr_tempemp!BO26</f>
        <v>0</v>
      </c>
      <c r="BO26" s="286">
        <f>'Data-temp_employment'!BO26</f>
        <v>4.9000000000000004</v>
      </c>
      <c r="BP26" s="303" t="s">
        <v>29</v>
      </c>
      <c r="BQ26" s="286">
        <f>'Data-temp_employment'!BQ26-last_qrtr_tempemp!BR26</f>
        <v>0</v>
      </c>
      <c r="BR26" s="286">
        <f>'Data-temp_employment'!BR26-last_qrtr_tempemp!BS26</f>
        <v>0</v>
      </c>
      <c r="BS26" s="286">
        <f>'Data-temp_employment'!BS26-last_qrtr_tempemp!BT26</f>
        <v>0</v>
      </c>
      <c r="BT26" s="286">
        <f>'Data-temp_employment'!BT26-last_qrtr_tempemp!BU26</f>
        <v>0</v>
      </c>
      <c r="BU26" s="286">
        <f>'Data-temp_employment'!BU26-last_qrtr_tempemp!BV26</f>
        <v>0</v>
      </c>
      <c r="BV26" s="286">
        <f>'Data-temp_employment'!BV26-last_qrtr_tempemp!BW26</f>
        <v>0</v>
      </c>
      <c r="BW26" s="286">
        <f>'Data-temp_employment'!BW26-last_qrtr_tempemp!BX26</f>
        <v>0</v>
      </c>
      <c r="BX26" s="286">
        <f>'Data-temp_employment'!BX26-last_qrtr_tempemp!BY26</f>
        <v>0</v>
      </c>
      <c r="BY26" s="286">
        <f>'Data-temp_employment'!BY26-last_qrtr_tempemp!BZ26</f>
        <v>0</v>
      </c>
      <c r="BZ26" s="286">
        <f>'Data-temp_employment'!BZ26</f>
        <v>0</v>
      </c>
      <c r="CA26" s="303" t="s">
        <v>29</v>
      </c>
      <c r="CB26" s="286">
        <f>'Data-temp_employment'!CB26-last_qrtr_tempemp!CC26</f>
        <v>0</v>
      </c>
      <c r="CC26" s="286">
        <f>'Data-temp_employment'!CC26-last_qrtr_tempemp!CD26</f>
        <v>0</v>
      </c>
      <c r="CD26" s="286">
        <f>'Data-temp_employment'!CD26-last_qrtr_tempemp!CE26</f>
        <v>0</v>
      </c>
      <c r="CE26" s="286">
        <f>'Data-temp_employment'!CE26-last_qrtr_tempemp!CF26</f>
        <v>0</v>
      </c>
      <c r="CF26" s="286">
        <f>'Data-temp_employment'!CF26-last_qrtr_tempemp!CG26</f>
        <v>0</v>
      </c>
      <c r="CG26" s="286">
        <f>'Data-temp_employment'!CG26-last_qrtr_tempemp!CH26</f>
        <v>0</v>
      </c>
      <c r="CH26" s="286">
        <f>'Data-temp_employment'!CH26-last_qrtr_tempemp!CI26</f>
        <v>0</v>
      </c>
      <c r="CI26" s="286">
        <f>'Data-temp_employment'!CI26-last_qrtr_tempemp!CJ26</f>
        <v>0</v>
      </c>
      <c r="CJ26" s="286">
        <f>'Data-temp_employment'!CJ26-last_qrtr_tempemp!CK26</f>
        <v>0</v>
      </c>
      <c r="CK26" s="286">
        <f>'Data-temp_employment'!CK26</f>
        <v>0</v>
      </c>
      <c r="CL26" s="303" t="s">
        <v>29</v>
      </c>
      <c r="CM26" s="286">
        <f>'Data-temp_employment'!CM26-last_qrtr_tempemp!CN26</f>
        <v>-1.7999999999999998</v>
      </c>
      <c r="CN26" s="286">
        <f>'Data-temp_employment'!CN26-last_qrtr_tempemp!CO26</f>
        <v>0.10000000000000053</v>
      </c>
      <c r="CO26" s="286">
        <f>'Data-temp_employment'!CO26-last_qrtr_tempemp!CP26</f>
        <v>-1.7000000000000002</v>
      </c>
      <c r="CP26" s="286">
        <f>'Data-temp_employment'!CP26-last_qrtr_tempemp!CQ26</f>
        <v>-0.40000000000000036</v>
      </c>
      <c r="CQ26" s="286">
        <f>'Data-temp_employment'!CQ26-last_qrtr_tempemp!CR26</f>
        <v>-5.4</v>
      </c>
      <c r="CR26" s="286">
        <f>'Data-temp_employment'!CR26-last_qrtr_tempemp!CS26</f>
        <v>-0.10000000000000053</v>
      </c>
      <c r="CS26" s="286">
        <f>'Data-temp_employment'!CS26-last_qrtr_tempemp!CT26</f>
        <v>0</v>
      </c>
      <c r="CT26" s="286">
        <f>'Data-temp_employment'!CT26-last_qrtr_tempemp!CU26</f>
        <v>0</v>
      </c>
      <c r="CU26" s="286">
        <f>'Data-temp_employment'!CU26-last_qrtr_tempemp!CV26</f>
        <v>-4.5999999999999996</v>
      </c>
      <c r="CV26" s="286">
        <f>'Data-temp_employment'!CV26</f>
        <v>3</v>
      </c>
      <c r="CW26" s="303" t="s">
        <v>29</v>
      </c>
      <c r="CX26" s="286">
        <f>'Data-temp_employment'!CX26-last_qrtr_tempemp!CY26</f>
        <v>0.80000000000000071</v>
      </c>
      <c r="CY26" s="286">
        <f>'Data-temp_employment'!CY26-last_qrtr_tempemp!CZ26</f>
        <v>-9.9999999999999645E-2</v>
      </c>
      <c r="CZ26" s="286">
        <f>'Data-temp_employment'!CZ26-last_qrtr_tempemp!DA26</f>
        <v>-2.8999999999999986</v>
      </c>
      <c r="DA26" s="286">
        <f>'Data-temp_employment'!DA26-last_qrtr_tempemp!DB26</f>
        <v>-3.8000000000000007</v>
      </c>
      <c r="DB26" s="286">
        <f>'Data-temp_employment'!DB26-last_qrtr_tempemp!DC26</f>
        <v>-4.5999999999999996</v>
      </c>
      <c r="DC26" s="286">
        <f>'Data-temp_employment'!DC26-last_qrtr_tempemp!DD26</f>
        <v>-6.1</v>
      </c>
      <c r="DD26" s="286">
        <f>'Data-temp_employment'!DD26-last_qrtr_tempemp!DE26</f>
        <v>3</v>
      </c>
      <c r="DE26" s="286">
        <f>'Data-temp_employment'!DE26-last_qrtr_tempemp!DF26</f>
        <v>2.1999999999999993</v>
      </c>
      <c r="DF26" s="286">
        <f>'Data-temp_employment'!DF26-last_qrtr_tempemp!DG26</f>
        <v>-1.0999999999999996</v>
      </c>
      <c r="DG26" s="286">
        <f>'Data-temp_employment'!DG26</f>
        <v>15.9</v>
      </c>
      <c r="DH26" s="303" t="s">
        <v>29</v>
      </c>
      <c r="DI26" s="286">
        <f>'Data-temp_employment'!DI26-last_qrtr_tempemp!DJ26</f>
        <v>2.5999999999999996</v>
      </c>
      <c r="DJ26" s="286">
        <f>'Data-temp_employment'!DJ26-last_qrtr_tempemp!DK26</f>
        <v>-0.90000000000000036</v>
      </c>
      <c r="DK26" s="286">
        <f>'Data-temp_employment'!DK26-last_qrtr_tempemp!DL26</f>
        <v>-1.8999999999999995</v>
      </c>
      <c r="DL26" s="286">
        <f>'Data-temp_employment'!DL26-last_qrtr_tempemp!DM26</f>
        <v>-2.0999999999999996</v>
      </c>
      <c r="DM26" s="286">
        <f>'Data-temp_employment'!DM26-last_qrtr_tempemp!DN26</f>
        <v>-1.2000000000000002</v>
      </c>
      <c r="DN26" s="286">
        <f>'Data-temp_employment'!DN26-last_qrtr_tempemp!DO26</f>
        <v>1.5999999999999996</v>
      </c>
      <c r="DO26" s="286">
        <f>'Data-temp_employment'!DO26-last_qrtr_tempemp!DP26</f>
        <v>-2.1</v>
      </c>
      <c r="DP26" s="286">
        <f>'Data-temp_employment'!DP26-last_qrtr_tempemp!DQ26</f>
        <v>-0.79999999999999982</v>
      </c>
      <c r="DQ26" s="286">
        <f>'Data-temp_employment'!DQ26-last_qrtr_tempemp!DR26</f>
        <v>1</v>
      </c>
      <c r="DR26" s="286">
        <f>'Data-temp_employment'!DR26</f>
        <v>5</v>
      </c>
      <c r="DS26" s="303" t="s">
        <v>29</v>
      </c>
      <c r="DT26" s="286">
        <f>'Data-temp_employment'!DT26-last_qrtr_tempemp!DU26</f>
        <v>0</v>
      </c>
      <c r="DU26" s="286">
        <f>'Data-temp_employment'!DU26-last_qrtr_tempemp!DV26</f>
        <v>0</v>
      </c>
      <c r="DV26" s="286">
        <f>'Data-temp_employment'!DV26-last_qrtr_tempemp!DW26</f>
        <v>0</v>
      </c>
      <c r="DW26" s="286">
        <f>'Data-temp_employment'!DW26-last_qrtr_tempemp!DX26</f>
        <v>0</v>
      </c>
      <c r="DX26" s="286">
        <f>'Data-temp_employment'!DX26-last_qrtr_tempemp!DY26</f>
        <v>0</v>
      </c>
      <c r="DY26" s="286">
        <f>'Data-temp_employment'!DY26-last_qrtr_tempemp!DZ26</f>
        <v>0</v>
      </c>
      <c r="DZ26" s="286">
        <f>'Data-temp_employment'!DZ26-last_qrtr_tempemp!EA26</f>
        <v>0</v>
      </c>
      <c r="EA26" s="286">
        <f>'Data-temp_employment'!EA26-last_qrtr_tempemp!EB26</f>
        <v>0</v>
      </c>
      <c r="EB26" s="286">
        <f>'Data-temp_employment'!EB26-last_qrtr_tempemp!EC26</f>
        <v>0</v>
      </c>
      <c r="EC26" s="286">
        <f>'Data-temp_employment'!EC26</f>
        <v>0</v>
      </c>
      <c r="ED26" s="303" t="s">
        <v>29</v>
      </c>
      <c r="EE26" s="286">
        <f>'Data-temp_employment'!EE26-last_qrtr_tempemp!EF26</f>
        <v>0</v>
      </c>
      <c r="EF26" s="286">
        <f>'Data-temp_employment'!EF26-last_qrtr_tempemp!EG26</f>
        <v>0</v>
      </c>
      <c r="EG26" s="286">
        <f>'Data-temp_employment'!EG26-last_qrtr_tempemp!EH26</f>
        <v>0</v>
      </c>
      <c r="EH26" s="286">
        <f>'Data-temp_employment'!EH26-last_qrtr_tempemp!EI26</f>
        <v>0</v>
      </c>
      <c r="EI26" s="286">
        <f>'Data-temp_employment'!EI26-last_qrtr_tempemp!EJ26</f>
        <v>0</v>
      </c>
      <c r="EJ26" s="286">
        <f>'Data-temp_employment'!EJ26-last_qrtr_tempemp!EK26</f>
        <v>0</v>
      </c>
      <c r="EK26" s="286">
        <f>'Data-temp_employment'!EK26-last_qrtr_tempemp!EL26</f>
        <v>0</v>
      </c>
      <c r="EL26" s="286">
        <f>'Data-temp_employment'!EL26-last_qrtr_tempemp!EM26</f>
        <v>0</v>
      </c>
      <c r="EM26" s="286">
        <f>'Data-temp_employment'!EM26-last_qrtr_tempemp!EN26</f>
        <v>0</v>
      </c>
      <c r="EN26" s="286">
        <f>'Data-temp_employment'!EN26</f>
        <v>0</v>
      </c>
      <c r="EO26" s="303" t="s">
        <v>29</v>
      </c>
      <c r="EP26" s="286">
        <f>'Data-temp_employment'!EP26-last_qrtr_tempemp!EQ26</f>
        <v>0</v>
      </c>
      <c r="EQ26" s="286">
        <f>'Data-temp_employment'!EQ26-last_qrtr_tempemp!ER26</f>
        <v>0</v>
      </c>
      <c r="ER26" s="286">
        <f>'Data-temp_employment'!ER26-last_qrtr_tempemp!ES26</f>
        <v>0</v>
      </c>
      <c r="ES26" s="286">
        <f>'Data-temp_employment'!ES26-last_qrtr_tempemp!ET26</f>
        <v>0</v>
      </c>
      <c r="ET26" s="286">
        <f>'Data-temp_employment'!ET26-last_qrtr_tempemp!EU26</f>
        <v>0</v>
      </c>
      <c r="EU26" s="286">
        <f>'Data-temp_employment'!EU26-last_qrtr_tempemp!EV26</f>
        <v>0</v>
      </c>
      <c r="EV26" s="286">
        <f>'Data-temp_employment'!EV26-last_qrtr_tempemp!EW26</f>
        <v>0</v>
      </c>
      <c r="EW26" s="286">
        <f>'Data-temp_employment'!EW26-last_qrtr_tempemp!EX26</f>
        <v>0</v>
      </c>
      <c r="EX26" s="286">
        <f>'Data-temp_employment'!EX26-last_qrtr_tempemp!EY26</f>
        <v>0</v>
      </c>
      <c r="EY26" s="286">
        <f>'Data-temp_employment'!EY26</f>
        <v>0</v>
      </c>
      <c r="EZ26" s="303" t="s">
        <v>29</v>
      </c>
      <c r="FA26" s="286">
        <f>'Data-temp_employment'!FA26-last_qrtr_tempemp!FB26</f>
        <v>0</v>
      </c>
      <c r="FB26" s="286">
        <f>'Data-temp_employment'!FB26-last_qrtr_tempemp!FC26</f>
        <v>0</v>
      </c>
      <c r="FC26" s="286">
        <f>'Data-temp_employment'!FC26-last_qrtr_tempemp!FD26</f>
        <v>0</v>
      </c>
      <c r="FD26" s="286">
        <f>'Data-temp_employment'!FD26-last_qrtr_tempemp!FE26</f>
        <v>0</v>
      </c>
      <c r="FE26" s="286">
        <f>'Data-temp_employment'!FE26-last_qrtr_tempemp!FF26</f>
        <v>0</v>
      </c>
      <c r="FF26" s="286">
        <f>'Data-temp_employment'!FF26-last_qrtr_tempemp!FG26</f>
        <v>0</v>
      </c>
      <c r="FG26" s="286">
        <f>'Data-temp_employment'!FG26-last_qrtr_tempemp!FH26</f>
        <v>0</v>
      </c>
      <c r="FH26" s="286">
        <f>'Data-temp_employment'!FH26-last_qrtr_tempemp!FI26</f>
        <v>0</v>
      </c>
      <c r="FI26" s="286">
        <f>'Data-temp_employment'!FI26-last_qrtr_tempemp!FJ26</f>
        <v>0</v>
      </c>
      <c r="FJ26" s="286">
        <f>'Data-temp_employment'!FJ26</f>
        <v>0</v>
      </c>
      <c r="FK26" s="303" t="s">
        <v>29</v>
      </c>
      <c r="FL26" s="286">
        <f>'Data-temp_employment'!FL26-last_qrtr_tempemp!FM26</f>
        <v>0</v>
      </c>
      <c r="FM26" s="286">
        <f>'Data-temp_employment'!FM26-last_qrtr_tempemp!FN26</f>
        <v>0</v>
      </c>
      <c r="FN26" s="286">
        <f>'Data-temp_employment'!FN26-last_qrtr_tempemp!FO26</f>
        <v>0</v>
      </c>
      <c r="FO26" s="286">
        <f>'Data-temp_employment'!FO26-last_qrtr_tempemp!FP26</f>
        <v>0</v>
      </c>
      <c r="FP26" s="286">
        <f>'Data-temp_employment'!FP26-last_qrtr_tempemp!FQ26</f>
        <v>0</v>
      </c>
      <c r="FQ26" s="286">
        <f>'Data-temp_employment'!FQ26-last_qrtr_tempemp!FR26</f>
        <v>0</v>
      </c>
      <c r="FR26" s="286">
        <f>'Data-temp_employment'!FR26-last_qrtr_tempemp!FS26</f>
        <v>0</v>
      </c>
      <c r="FS26" s="286">
        <f>'Data-temp_employment'!FS26-last_qrtr_tempemp!FT26</f>
        <v>0</v>
      </c>
      <c r="FT26" s="286">
        <f>'Data-temp_employment'!FT26-last_qrtr_tempemp!FU26</f>
        <v>0</v>
      </c>
      <c r="FU26" s="286">
        <f>'Data-temp_employment'!FU26</f>
        <v>0</v>
      </c>
      <c r="FV26" s="303" t="s">
        <v>29</v>
      </c>
      <c r="FW26" s="286">
        <f>'Data-temp_employment'!FW26-last_qrtr_tempemp!FX26</f>
        <v>0</v>
      </c>
      <c r="FX26" s="286">
        <f>'Data-temp_employment'!FX26-last_qrtr_tempemp!FY26</f>
        <v>0</v>
      </c>
      <c r="FY26" s="286">
        <f>'Data-temp_employment'!FY26-last_qrtr_tempemp!FZ26</f>
        <v>0</v>
      </c>
      <c r="FZ26" s="286">
        <f>'Data-temp_employment'!FZ26-last_qrtr_tempemp!GA26</f>
        <v>0</v>
      </c>
      <c r="GA26" s="286">
        <f>'Data-temp_employment'!GA26-last_qrtr_tempemp!GB26</f>
        <v>0</v>
      </c>
      <c r="GB26" s="286">
        <f>'Data-temp_employment'!GB26-last_qrtr_tempemp!GC26</f>
        <v>0</v>
      </c>
      <c r="GC26" s="286">
        <f>'Data-temp_employment'!GC26-last_qrtr_tempemp!GD26</f>
        <v>0</v>
      </c>
      <c r="GD26" s="286">
        <f>'Data-temp_employment'!GD26-last_qrtr_tempemp!GE26</f>
        <v>0</v>
      </c>
      <c r="GE26" s="286">
        <f>'Data-temp_employment'!GE26-last_qrtr_tempemp!GF26</f>
        <v>0</v>
      </c>
      <c r="GF26" s="286">
        <f>'Data-temp_employment'!GF26</f>
        <v>0</v>
      </c>
      <c r="GG26" s="303" t="s">
        <v>29</v>
      </c>
      <c r="GH26" s="286">
        <f>'Data-temp_employment'!GH26-last_qrtr_tempemp!GI26</f>
        <v>0</v>
      </c>
      <c r="GI26" s="286">
        <f>'Data-temp_employment'!GI26-last_qrtr_tempemp!GJ26</f>
        <v>0</v>
      </c>
      <c r="GJ26" s="286">
        <f>'Data-temp_employment'!GJ26-last_qrtr_tempemp!GK26</f>
        <v>0</v>
      </c>
      <c r="GK26" s="286">
        <f>'Data-temp_employment'!GK26-last_qrtr_tempemp!GL26</f>
        <v>0</v>
      </c>
      <c r="GL26" s="286">
        <f>'Data-temp_employment'!GL26-last_qrtr_tempemp!GM26</f>
        <v>0</v>
      </c>
      <c r="GM26" s="286">
        <f>'Data-temp_employment'!GM26-last_qrtr_tempemp!GN26</f>
        <v>0</v>
      </c>
      <c r="GN26" s="286">
        <f>'Data-temp_employment'!GN26-last_qrtr_tempemp!GO26</f>
        <v>0</v>
      </c>
      <c r="GO26" s="286">
        <f>'Data-temp_employment'!GO26-last_qrtr_tempemp!GP26</f>
        <v>0</v>
      </c>
      <c r="GP26" s="286">
        <f>'Data-temp_employment'!GP26-last_qrtr_tempemp!GQ26</f>
        <v>0</v>
      </c>
      <c r="GQ26" s="286">
        <f>'Data-temp_employment'!GQ26</f>
        <v>0</v>
      </c>
      <c r="GR26" s="303" t="s">
        <v>29</v>
      </c>
      <c r="GS26" s="286">
        <f>'Data-temp_employment'!GS26-last_qrtr_tempemp!GT26</f>
        <v>0</v>
      </c>
      <c r="GT26" s="286">
        <f>'Data-temp_employment'!GT26-last_qrtr_tempemp!GU26</f>
        <v>0</v>
      </c>
      <c r="GU26" s="286">
        <f>'Data-temp_employment'!GU26-last_qrtr_tempemp!GV26</f>
        <v>0</v>
      </c>
      <c r="GV26" s="286">
        <f>'Data-temp_employment'!GV26-last_qrtr_tempemp!GW26</f>
        <v>0</v>
      </c>
      <c r="GW26" s="286">
        <f>'Data-temp_employment'!GW26-last_qrtr_tempemp!GX26</f>
        <v>0</v>
      </c>
      <c r="GX26" s="286">
        <f>'Data-temp_employment'!GX26-last_qrtr_tempemp!GY26</f>
        <v>0</v>
      </c>
      <c r="GY26" s="286">
        <f>'Data-temp_employment'!GY26-last_qrtr_tempemp!GZ26</f>
        <v>0</v>
      </c>
      <c r="GZ26" s="286">
        <f>'Data-temp_employment'!GZ26-last_qrtr_tempemp!HA26</f>
        <v>0</v>
      </c>
      <c r="HA26" s="286">
        <f>'Data-temp_employment'!HA26-last_qrtr_tempemp!HB26</f>
        <v>0</v>
      </c>
      <c r="HB26" s="286">
        <f>'Data-temp_employment'!HB26</f>
        <v>0</v>
      </c>
      <c r="HC26" s="303" t="s">
        <v>29</v>
      </c>
      <c r="HD26" s="286">
        <f>'Data-temp_employment'!HD26-last_qrtr_tempemp!HE26</f>
        <v>0</v>
      </c>
      <c r="HE26" s="286">
        <f>'Data-temp_employment'!HE26-last_qrtr_tempemp!HF26</f>
        <v>0</v>
      </c>
      <c r="HF26" s="286">
        <f>'Data-temp_employment'!HF26-last_qrtr_tempemp!HG26</f>
        <v>0</v>
      </c>
      <c r="HG26" s="286">
        <f>'Data-temp_employment'!HG26-last_qrtr_tempemp!HH26</f>
        <v>0</v>
      </c>
      <c r="HH26" s="286">
        <f>'Data-temp_employment'!HH26-last_qrtr_tempemp!HI26</f>
        <v>0</v>
      </c>
      <c r="HI26" s="286">
        <f>'Data-temp_employment'!HI26-last_qrtr_tempemp!HJ26</f>
        <v>0</v>
      </c>
      <c r="HJ26" s="286">
        <f>'Data-temp_employment'!HJ26-last_qrtr_tempemp!HK26</f>
        <v>0</v>
      </c>
      <c r="HK26" s="286">
        <f>'Data-temp_employment'!HK26-last_qrtr_tempemp!HL26</f>
        <v>0</v>
      </c>
      <c r="HL26" s="286">
        <f>'Data-temp_employment'!HL26-last_qrtr_tempemp!HM26</f>
        <v>0</v>
      </c>
      <c r="HM26" s="286">
        <f>'Data-temp_employment'!HM26</f>
        <v>0</v>
      </c>
      <c r="HN26" s="303" t="s">
        <v>29</v>
      </c>
      <c r="HO26" s="286">
        <f>'Data-temp_employment'!HO26-last_qrtr_tempemp!HP26</f>
        <v>-0.70000000000000107</v>
      </c>
      <c r="HP26" s="286">
        <f>'Data-temp_employment'!HP26-last_qrtr_tempemp!HQ26</f>
        <v>4.1999999999999993</v>
      </c>
      <c r="HQ26" s="286">
        <f>'Data-temp_employment'!HQ26-last_qrtr_tempemp!HR26</f>
        <v>-3</v>
      </c>
      <c r="HR26" s="286">
        <f>'Data-temp_employment'!HR26-last_qrtr_tempemp!HS26</f>
        <v>-3.3</v>
      </c>
      <c r="HS26" s="286">
        <f>'Data-temp_employment'!HS26-last_qrtr_tempemp!HT26</f>
        <v>-6.1999999999999993</v>
      </c>
      <c r="HT26" s="286">
        <f>'Data-temp_employment'!HT26-last_qrtr_tempemp!HU26</f>
        <v>-1.0999999999999996</v>
      </c>
      <c r="HU26" s="286">
        <f>'Data-temp_employment'!HU26-last_qrtr_tempemp!HV26</f>
        <v>4.8999999999999995</v>
      </c>
      <c r="HV26" s="286">
        <f>'Data-temp_employment'!HV26-last_qrtr_tempemp!HW26</f>
        <v>-0.40000000000000036</v>
      </c>
      <c r="HW26" s="286">
        <f>'Data-temp_employment'!HW26-last_qrtr_tempemp!HX26</f>
        <v>-3.1999999999999993</v>
      </c>
      <c r="HX26" s="286">
        <f>'Data-temp_employment'!HX26</f>
        <v>7.2</v>
      </c>
      <c r="HY26" s="303" t="s">
        <v>29</v>
      </c>
      <c r="HZ26" s="286">
        <f>'Data-temp_employment'!HZ26-last_qrtr_tempemp!IA26</f>
        <v>0</v>
      </c>
      <c r="IA26" s="286">
        <f>'Data-temp_employment'!IA26-last_qrtr_tempemp!IB26</f>
        <v>0</v>
      </c>
      <c r="IB26" s="286">
        <f>'Data-temp_employment'!IB26-last_qrtr_tempemp!IC26</f>
        <v>0</v>
      </c>
      <c r="IC26" s="286">
        <f>'Data-temp_employment'!IC26-last_qrtr_tempemp!ID26</f>
        <v>0</v>
      </c>
      <c r="ID26" s="286">
        <f>'Data-temp_employment'!ID26-last_qrtr_tempemp!IE26</f>
        <v>0</v>
      </c>
      <c r="IE26" s="286">
        <f>'Data-temp_employment'!IE26-last_qrtr_tempemp!IF26</f>
        <v>0</v>
      </c>
      <c r="IF26" s="286">
        <f>'Data-temp_employment'!IF26-last_qrtr_tempemp!IG26</f>
        <v>0</v>
      </c>
      <c r="IG26" s="286">
        <f>'Data-temp_employment'!IG26-last_qrtr_tempemp!IH26</f>
        <v>0</v>
      </c>
      <c r="IH26" s="286">
        <f>'Data-temp_employment'!IH26-last_qrtr_tempemp!II26</f>
        <v>0</v>
      </c>
      <c r="II26" s="286">
        <f>'Data-temp_employment'!II26</f>
        <v>0</v>
      </c>
      <c r="IJ26" s="303" t="s">
        <v>29</v>
      </c>
      <c r="IK26" s="286">
        <f>'Data-temp_employment'!IK26-last_qrtr_tempemp!IL26</f>
        <v>0</v>
      </c>
      <c r="IL26" s="286">
        <f>'Data-temp_employment'!IL26-last_qrtr_tempemp!IM26</f>
        <v>0</v>
      </c>
      <c r="IM26" s="286">
        <f>'Data-temp_employment'!IM26-last_qrtr_tempemp!IN26</f>
        <v>0</v>
      </c>
      <c r="IN26" s="286">
        <f>'Data-temp_employment'!IN26-last_qrtr_tempemp!IO26</f>
        <v>0</v>
      </c>
      <c r="IO26" s="286">
        <f>'Data-temp_employment'!IO26-last_qrtr_tempemp!IP26</f>
        <v>0</v>
      </c>
      <c r="IP26" s="286">
        <f>'Data-temp_employment'!IP26-last_qrtr_tempemp!IQ26</f>
        <v>0</v>
      </c>
      <c r="IQ26" s="286">
        <f>'Data-temp_employment'!IQ26-last_qrtr_tempemp!IR26</f>
        <v>0</v>
      </c>
      <c r="IR26" s="286">
        <f>'Data-temp_employment'!IR26-last_qrtr_tempemp!IS26</f>
        <v>0</v>
      </c>
      <c r="IS26" s="286">
        <f>'Data-temp_employment'!IS26-last_qrtr_tempemp!IT26</f>
        <v>0</v>
      </c>
      <c r="IT26" s="286">
        <f>'Data-temp_employment'!IT26</f>
        <v>0</v>
      </c>
      <c r="IU26" s="303" t="s">
        <v>29</v>
      </c>
      <c r="IV26" s="286">
        <f>'Data-temp_employment'!IV26-last_qrtr_tempemp!IW26</f>
        <v>0</v>
      </c>
      <c r="IW26" s="286">
        <f>'Data-temp_employment'!IW26-last_qrtr_tempemp!IX26</f>
        <v>0</v>
      </c>
      <c r="IX26" s="286">
        <f>'Data-temp_employment'!IX26-last_qrtr_tempemp!IY26</f>
        <v>0</v>
      </c>
      <c r="IY26" s="286">
        <f>'Data-temp_employment'!IY26-last_qrtr_tempemp!IZ26</f>
        <v>0</v>
      </c>
      <c r="IZ26" s="286">
        <f>'Data-temp_employment'!IZ26-last_qrtr_tempemp!JA26</f>
        <v>0</v>
      </c>
      <c r="JA26" s="286">
        <f>'Data-temp_employment'!JA26-last_qrtr_tempemp!JB26</f>
        <v>0</v>
      </c>
      <c r="JB26" s="286">
        <f>'Data-temp_employment'!JB26-last_qrtr_tempemp!JC26</f>
        <v>0</v>
      </c>
      <c r="JC26" s="286">
        <f>'Data-temp_employment'!JC26-last_qrtr_tempemp!JD26</f>
        <v>0</v>
      </c>
      <c r="JD26" s="286">
        <f>'Data-temp_employment'!JD26-last_qrtr_tempemp!JE26</f>
        <v>0</v>
      </c>
      <c r="JE26" s="286">
        <f>'Data-temp_employment'!JE26</f>
        <v>0</v>
      </c>
      <c r="JF26" s="303" t="s">
        <v>29</v>
      </c>
      <c r="JG26" s="286">
        <f>'Data-temp_employment'!JG26-last_qrtr_tempemp!JH26</f>
        <v>0</v>
      </c>
      <c r="JH26" s="286">
        <f>'Data-temp_employment'!JH26-last_qrtr_tempemp!JI26</f>
        <v>0</v>
      </c>
      <c r="JI26" s="286">
        <f>'Data-temp_employment'!JI26-last_qrtr_tempemp!JJ26</f>
        <v>0</v>
      </c>
      <c r="JJ26" s="286">
        <f>'Data-temp_employment'!JJ26-last_qrtr_tempemp!JK26</f>
        <v>0</v>
      </c>
      <c r="JK26" s="286">
        <f>'Data-temp_employment'!JK26-last_qrtr_tempemp!JL26</f>
        <v>0</v>
      </c>
      <c r="JL26" s="286">
        <f>'Data-temp_employment'!JL26-last_qrtr_tempemp!JM26</f>
        <v>0</v>
      </c>
      <c r="JM26" s="286">
        <f>'Data-temp_employment'!JM26-last_qrtr_tempemp!JN26</f>
        <v>0</v>
      </c>
      <c r="JN26" s="286">
        <f>'Data-temp_employment'!JN26-last_qrtr_tempemp!JO26</f>
        <v>0</v>
      </c>
      <c r="JO26" s="286">
        <f>'Data-temp_employment'!JO26-last_qrtr_tempemp!JP26</f>
        <v>0</v>
      </c>
      <c r="JP26" s="286">
        <f>'Data-temp_employment'!JP26</f>
        <v>0</v>
      </c>
      <c r="JQ26" s="303" t="s">
        <v>29</v>
      </c>
      <c r="JR26" s="286">
        <f>'Data-temp_employment'!JR26-last_qrtr_tempemp!JS26</f>
        <v>0</v>
      </c>
      <c r="JS26" s="286">
        <f>'Data-temp_employment'!JS26-last_qrtr_tempemp!JT26</f>
        <v>0</v>
      </c>
      <c r="JT26" s="286">
        <f>'Data-temp_employment'!JT26-last_qrtr_tempemp!JU26</f>
        <v>0</v>
      </c>
      <c r="JU26" s="286">
        <f>'Data-temp_employment'!JU26-last_qrtr_tempemp!JV26</f>
        <v>0</v>
      </c>
      <c r="JV26" s="286">
        <f>'Data-temp_employment'!JV26-last_qrtr_tempemp!JW26</f>
        <v>0</v>
      </c>
      <c r="JW26" s="286">
        <f>'Data-temp_employment'!JW26-last_qrtr_tempemp!JX26</f>
        <v>0</v>
      </c>
      <c r="JX26" s="286">
        <f>'Data-temp_employment'!JX26-last_qrtr_tempemp!JY26</f>
        <v>0</v>
      </c>
      <c r="JY26" s="286">
        <f>'Data-temp_employment'!JY26-last_qrtr_tempemp!JZ26</f>
        <v>0</v>
      </c>
      <c r="JZ26" s="286">
        <f>'Data-temp_employment'!JZ26-last_qrtr_tempemp!KA26</f>
        <v>0</v>
      </c>
      <c r="KA26" s="286">
        <f>'Data-temp_employment'!KA26</f>
        <v>0</v>
      </c>
      <c r="KB26" s="303" t="s">
        <v>29</v>
      </c>
      <c r="KC26" s="286">
        <f>'Data-temp_employment'!KC26-last_qrtr_tempemp!KD26</f>
        <v>0</v>
      </c>
      <c r="KD26" s="286">
        <f>'Data-temp_employment'!KD26-last_qrtr_tempemp!KE26</f>
        <v>0</v>
      </c>
      <c r="KE26" s="286">
        <f>'Data-temp_employment'!KE26-last_qrtr_tempemp!KF26</f>
        <v>0</v>
      </c>
      <c r="KF26" s="286">
        <f>'Data-temp_employment'!KF26-last_qrtr_tempemp!KG26</f>
        <v>0</v>
      </c>
      <c r="KG26" s="286">
        <f>'Data-temp_employment'!KG26-last_qrtr_tempemp!KH26</f>
        <v>0</v>
      </c>
      <c r="KH26" s="286">
        <f>'Data-temp_employment'!KH26-last_qrtr_tempemp!KI26</f>
        <v>0</v>
      </c>
      <c r="KI26" s="286">
        <f>'Data-temp_employment'!KI26-last_qrtr_tempemp!KJ26</f>
        <v>0</v>
      </c>
      <c r="KJ26" s="286">
        <f>'Data-temp_employment'!KJ26-last_qrtr_tempemp!KK26</f>
        <v>0</v>
      </c>
      <c r="KK26" s="286">
        <f>'Data-temp_employment'!KK26-last_qrtr_tempemp!KL26</f>
        <v>0</v>
      </c>
      <c r="KL26" s="286">
        <f>'Data-temp_employment'!KL26</f>
        <v>0</v>
      </c>
      <c r="KM26" s="303" t="s">
        <v>29</v>
      </c>
      <c r="KN26" s="286">
        <f>'Data-temp_employment'!KN26-last_qrtr_tempemp!KO26</f>
        <v>0</v>
      </c>
      <c r="KO26" s="286">
        <f>'Data-temp_employment'!KO26-last_qrtr_tempemp!KP26</f>
        <v>0</v>
      </c>
      <c r="KP26" s="286">
        <f>'Data-temp_employment'!KP26-last_qrtr_tempemp!KQ26</f>
        <v>0</v>
      </c>
      <c r="KQ26" s="286">
        <f>'Data-temp_employment'!KQ26-last_qrtr_tempemp!KR26</f>
        <v>0</v>
      </c>
      <c r="KR26" s="286">
        <f>'Data-temp_employment'!KR26-last_qrtr_tempemp!KS26</f>
        <v>0</v>
      </c>
      <c r="KS26" s="286">
        <f>'Data-temp_employment'!KS26-last_qrtr_tempemp!KT26</f>
        <v>0</v>
      </c>
      <c r="KT26" s="286">
        <f>'Data-temp_employment'!KT26-last_qrtr_tempemp!KU26</f>
        <v>0</v>
      </c>
      <c r="KU26" s="286">
        <f>'Data-temp_employment'!KU26-last_qrtr_tempemp!KV26</f>
        <v>0</v>
      </c>
      <c r="KV26" s="286">
        <f>'Data-temp_employment'!KV26-last_qrtr_tempemp!KW26</f>
        <v>0</v>
      </c>
      <c r="KW26" s="286">
        <f>'Data-temp_employment'!KW26</f>
        <v>0</v>
      </c>
      <c r="KX26" s="303" t="s">
        <v>29</v>
      </c>
      <c r="KY26" s="286">
        <f>'Data-temp_employment'!KY26-last_qrtr_tempemp!KZ26</f>
        <v>0</v>
      </c>
      <c r="KZ26" s="286">
        <f>'Data-temp_employment'!KZ26-last_qrtr_tempemp!LA26</f>
        <v>0</v>
      </c>
      <c r="LA26" s="286">
        <f>'Data-temp_employment'!LA26-last_qrtr_tempemp!LB26</f>
        <v>0</v>
      </c>
      <c r="LB26" s="286">
        <f>'Data-temp_employment'!LB26-last_qrtr_tempemp!LC26</f>
        <v>0</v>
      </c>
      <c r="LC26" s="286">
        <f>'Data-temp_employment'!LC26-last_qrtr_tempemp!LD26</f>
        <v>0</v>
      </c>
      <c r="LD26" s="286">
        <f>'Data-temp_employment'!LD26-last_qrtr_tempemp!LE26</f>
        <v>0</v>
      </c>
      <c r="LE26" s="286">
        <f>'Data-temp_employment'!LE26-last_qrtr_tempemp!LF26</f>
        <v>0</v>
      </c>
      <c r="LF26" s="286">
        <f>'Data-temp_employment'!LF26-last_qrtr_tempemp!LG26</f>
        <v>0</v>
      </c>
      <c r="LG26" s="286">
        <f>'Data-temp_employment'!LG26-last_qrtr_tempemp!LH26</f>
        <v>0</v>
      </c>
      <c r="LH26" s="286">
        <f>'Data-temp_employment'!LH26</f>
        <v>0</v>
      </c>
      <c r="LI26" s="303" t="s">
        <v>29</v>
      </c>
      <c r="LJ26" s="286">
        <f>'Data-temp_employment'!LJ26-last_qrtr_tempemp!LK26</f>
        <v>0</v>
      </c>
      <c r="LK26" s="286">
        <f>'Data-temp_employment'!LK26-last_qrtr_tempemp!LL26</f>
        <v>0</v>
      </c>
      <c r="LL26" s="286">
        <f>'Data-temp_employment'!LL26-last_qrtr_tempemp!LM26</f>
        <v>0</v>
      </c>
      <c r="LM26" s="286">
        <f>'Data-temp_employment'!LM26-last_qrtr_tempemp!LN26</f>
        <v>0</v>
      </c>
      <c r="LN26" s="286">
        <f>'Data-temp_employment'!LN26-last_qrtr_tempemp!LO26</f>
        <v>0</v>
      </c>
      <c r="LO26" s="286">
        <f>'Data-temp_employment'!LO26-last_qrtr_tempemp!LP26</f>
        <v>0</v>
      </c>
      <c r="LP26" s="286">
        <f>'Data-temp_employment'!LP26-last_qrtr_tempemp!LQ26</f>
        <v>0</v>
      </c>
      <c r="LQ26" s="286">
        <f>'Data-temp_employment'!LQ26-last_qrtr_tempemp!LR26</f>
        <v>0</v>
      </c>
      <c r="LR26" s="286">
        <f>'Data-temp_employment'!LR26-last_qrtr_tempemp!LS26</f>
        <v>0</v>
      </c>
      <c r="LS26" s="286">
        <f>'Data-temp_employment'!LS26</f>
        <v>0</v>
      </c>
      <c r="LT26" s="303" t="s">
        <v>29</v>
      </c>
      <c r="LU26" s="286">
        <f>'Data-temp_employment'!LU26-last_qrtr_tempemp!LV26</f>
        <v>0</v>
      </c>
      <c r="LV26" s="286">
        <f>'Data-temp_employment'!LV26-last_qrtr_tempemp!LW26</f>
        <v>0</v>
      </c>
      <c r="LW26" s="286">
        <f>'Data-temp_employment'!LW26-last_qrtr_tempemp!LX26</f>
        <v>0</v>
      </c>
      <c r="LX26" s="286">
        <f>'Data-temp_employment'!LX26-last_qrtr_tempemp!LY26</f>
        <v>0</v>
      </c>
      <c r="LY26" s="286">
        <f>'Data-temp_employment'!LY26-last_qrtr_tempemp!LZ26</f>
        <v>0</v>
      </c>
      <c r="LZ26" s="286">
        <f>'Data-temp_employment'!LZ26-last_qrtr_tempemp!MA26</f>
        <v>0</v>
      </c>
      <c r="MA26" s="286">
        <f>'Data-temp_employment'!MA26-last_qrtr_tempemp!MB26</f>
        <v>0</v>
      </c>
      <c r="MB26" s="286">
        <f>'Data-temp_employment'!MB26-last_qrtr_tempemp!MC26</f>
        <v>0</v>
      </c>
      <c r="MC26" s="286">
        <f>'Data-temp_employment'!MC26-last_qrtr_tempemp!MD26</f>
        <v>0</v>
      </c>
      <c r="MD26" s="286">
        <f>'Data-temp_employment'!MD26</f>
        <v>0</v>
      </c>
      <c r="ME26" s="303" t="s">
        <v>29</v>
      </c>
      <c r="MF26" s="286">
        <f>'Data-temp_employment'!MF26-last_qrtr_tempemp!MG26</f>
        <v>0</v>
      </c>
      <c r="MG26" s="286">
        <f>'Data-temp_employment'!MG26-last_qrtr_tempemp!MH26</f>
        <v>0</v>
      </c>
      <c r="MH26" s="286">
        <f>'Data-temp_employment'!MH26-last_qrtr_tempemp!MI26</f>
        <v>0</v>
      </c>
      <c r="MI26" s="286">
        <f>'Data-temp_employment'!MI26-last_qrtr_tempemp!MJ26</f>
        <v>0</v>
      </c>
      <c r="MJ26" s="286">
        <f>'Data-temp_employment'!MJ26-last_qrtr_tempemp!MK26</f>
        <v>0</v>
      </c>
      <c r="MK26" s="286">
        <f>'Data-temp_employment'!MK26-last_qrtr_tempemp!ML26</f>
        <v>0</v>
      </c>
      <c r="ML26" s="286">
        <f>'Data-temp_employment'!ML26-last_qrtr_tempemp!MM26</f>
        <v>0</v>
      </c>
      <c r="MM26" s="286">
        <f>'Data-temp_employment'!MM26-last_qrtr_tempemp!MN26</f>
        <v>0</v>
      </c>
      <c r="MN26" s="286">
        <f>'Data-temp_employment'!MN26-last_qrtr_tempemp!MO26</f>
        <v>0</v>
      </c>
      <c r="MO26" s="286">
        <f>'Data-temp_employment'!MO26</f>
        <v>0</v>
      </c>
      <c r="MP26" s="303" t="s">
        <v>29</v>
      </c>
      <c r="MQ26" s="286">
        <f>'Data-temp_employment'!MQ26-last_qrtr_tempemp!MR26</f>
        <v>0</v>
      </c>
      <c r="MR26" s="286">
        <f>'Data-temp_employment'!MR26-last_qrtr_tempemp!MS26</f>
        <v>0</v>
      </c>
      <c r="MS26" s="286">
        <f>'Data-temp_employment'!MS26-last_qrtr_tempemp!MT26</f>
        <v>0</v>
      </c>
      <c r="MT26" s="286">
        <f>'Data-temp_employment'!MT26-last_qrtr_tempemp!MU26</f>
        <v>0</v>
      </c>
      <c r="MU26" s="286">
        <f>'Data-temp_employment'!MU26-last_qrtr_tempemp!MV26</f>
        <v>0</v>
      </c>
      <c r="MV26" s="286">
        <f>'Data-temp_employment'!MV26-last_qrtr_tempemp!MW26</f>
        <v>0</v>
      </c>
      <c r="MW26" s="286">
        <f>'Data-temp_employment'!MW26-last_qrtr_tempemp!MX26</f>
        <v>0</v>
      </c>
      <c r="MX26" s="286">
        <f>'Data-temp_employment'!MX26-last_qrtr_tempemp!MY26</f>
        <v>0</v>
      </c>
      <c r="MY26" s="286">
        <f>'Data-temp_employment'!MY26-last_qrtr_tempemp!MZ26</f>
        <v>0</v>
      </c>
      <c r="MZ26" s="286">
        <f>'Data-temp_employment'!MZ26</f>
        <v>0</v>
      </c>
      <c r="NA26" s="303" t="s">
        <v>29</v>
      </c>
      <c r="NB26" s="286">
        <f>'Data-temp_employment'!NB26-last_qrtr_tempemp!NC26</f>
        <v>0</v>
      </c>
      <c r="NC26" s="286">
        <f>'Data-temp_employment'!NC26-last_qrtr_tempemp!ND26</f>
        <v>0</v>
      </c>
      <c r="ND26" s="286">
        <f>'Data-temp_employment'!ND26-last_qrtr_tempemp!NE26</f>
        <v>0</v>
      </c>
      <c r="NE26" s="286">
        <f>'Data-temp_employment'!NE26-last_qrtr_tempemp!NF26</f>
        <v>0</v>
      </c>
      <c r="NF26" s="286">
        <f>'Data-temp_employment'!NF26-last_qrtr_tempemp!NG26</f>
        <v>0</v>
      </c>
      <c r="NG26" s="286">
        <f>'Data-temp_employment'!NG26-last_qrtr_tempemp!NH26</f>
        <v>0</v>
      </c>
      <c r="NH26" s="286">
        <f>'Data-temp_employment'!NH26-last_qrtr_tempemp!NI26</f>
        <v>0</v>
      </c>
      <c r="NI26" s="286">
        <f>'Data-temp_employment'!NI26-last_qrtr_tempemp!NJ26</f>
        <v>0</v>
      </c>
      <c r="NJ26" s="286">
        <f>'Data-temp_employment'!NJ26-last_qrtr_tempemp!NK26</f>
        <v>0</v>
      </c>
      <c r="NK26" s="286">
        <f>'Data-temp_employment'!NK26</f>
        <v>0</v>
      </c>
      <c r="NL26" s="303" t="s">
        <v>29</v>
      </c>
      <c r="NM26" s="286">
        <f>'Data-temp_employment'!NM26-last_qrtr_tempemp!NN26</f>
        <v>0</v>
      </c>
      <c r="NN26" s="286">
        <f>'Data-temp_employment'!NN26-last_qrtr_tempemp!NO26</f>
        <v>0</v>
      </c>
      <c r="NO26" s="286">
        <f>'Data-temp_employment'!NO26-last_qrtr_tempemp!NP26</f>
        <v>0</v>
      </c>
      <c r="NP26" s="286">
        <f>'Data-temp_employment'!NP26-last_qrtr_tempemp!NQ26</f>
        <v>0</v>
      </c>
      <c r="NQ26" s="286">
        <f>'Data-temp_employment'!NQ26-last_qrtr_tempemp!NR26</f>
        <v>0</v>
      </c>
      <c r="NR26" s="286">
        <f>'Data-temp_employment'!NR26-last_qrtr_tempemp!NS26</f>
        <v>0</v>
      </c>
      <c r="NS26" s="286">
        <f>'Data-temp_employment'!NS26-last_qrtr_tempemp!NT26</f>
        <v>0</v>
      </c>
      <c r="NT26" s="286">
        <f>'Data-temp_employment'!NT26-last_qrtr_tempemp!NU26</f>
        <v>0</v>
      </c>
      <c r="NU26" s="286">
        <f>'Data-temp_employment'!NU26-last_qrtr_tempemp!NV26</f>
        <v>0</v>
      </c>
      <c r="NV26" s="286">
        <f>'Data-temp_employment'!NV26</f>
        <v>0</v>
      </c>
      <c r="NW26" s="303" t="s">
        <v>29</v>
      </c>
      <c r="NX26" s="286">
        <f>'Data-temp_employment'!NX26-last_qrtr_tempemp!NY26</f>
        <v>0</v>
      </c>
      <c r="NY26" s="286">
        <f>'Data-temp_employment'!NY26-last_qrtr_tempemp!NZ26</f>
        <v>0</v>
      </c>
      <c r="NZ26" s="286">
        <f>'Data-temp_employment'!NZ26-last_qrtr_tempemp!OA26</f>
        <v>0</v>
      </c>
      <c r="OA26" s="286">
        <f>'Data-temp_employment'!OA26-last_qrtr_tempemp!OB26</f>
        <v>0</v>
      </c>
      <c r="OB26" s="286">
        <f>'Data-temp_employment'!OB26-last_qrtr_tempemp!OC26</f>
        <v>0</v>
      </c>
      <c r="OC26" s="286">
        <f>'Data-temp_employment'!OC26-last_qrtr_tempemp!OD26</f>
        <v>0</v>
      </c>
      <c r="OD26" s="286">
        <f>'Data-temp_employment'!OD26-last_qrtr_tempemp!OE26</f>
        <v>0</v>
      </c>
      <c r="OE26" s="286">
        <f>'Data-temp_employment'!OE26-last_qrtr_tempemp!OF26</f>
        <v>0</v>
      </c>
      <c r="OF26" s="286">
        <f>'Data-temp_employment'!OF26-last_qrtr_tempemp!OG26</f>
        <v>0</v>
      </c>
      <c r="OG26" s="286">
        <f>'Data-temp_employment'!OG26</f>
        <v>0</v>
      </c>
      <c r="OH26" s="287" t="s">
        <v>29</v>
      </c>
      <c r="OI26" s="286"/>
      <c r="OJ26" s="286"/>
      <c r="OK26" s="286"/>
      <c r="OL26" s="286"/>
      <c r="OM26" s="286"/>
      <c r="ON26" s="286"/>
      <c r="OO26" s="286"/>
      <c r="OP26" s="286"/>
      <c r="OQ26" s="286"/>
      <c r="OR26" s="286"/>
      <c r="OS26" s="303" t="s">
        <v>29</v>
      </c>
      <c r="OT26" s="286" t="e">
        <f>'Data-temp_employment'!#REF!-last_qrtr_tempemp!OU26</f>
        <v>#REF!</v>
      </c>
      <c r="OU26" s="286">
        <f>'Data-temp_employment'!OT26-last_qrtr_tempemp!OV26</f>
        <v>1.1000000000000001</v>
      </c>
      <c r="OV26" s="286">
        <f>'Data-temp_employment'!OU26-last_qrtr_tempemp!OW26</f>
        <v>-1.7999999999999998</v>
      </c>
      <c r="OW26" s="286">
        <f>'Data-temp_employment'!OV26-last_qrtr_tempemp!OX26</f>
        <v>0.6</v>
      </c>
      <c r="OX26" s="286">
        <f>'Data-temp_employment'!OW26-last_qrtr_tempemp!OY26</f>
        <v>-0.7</v>
      </c>
      <c r="OY26" s="286">
        <f>'Data-temp_employment'!OX26-last_qrtr_tempemp!OZ26</f>
        <v>0.8</v>
      </c>
      <c r="OZ26" s="286">
        <f>'Data-temp_employment'!OY26-last_qrtr_tempemp!PA26</f>
        <v>0.19999999999999996</v>
      </c>
      <c r="PA26" s="286">
        <f>'Data-temp_employment'!OZ26-last_qrtr_tempemp!PB26</f>
        <v>1.4</v>
      </c>
      <c r="PB26" s="286">
        <f>'Data-temp_employment'!PA26-last_qrtr_tempemp!PC26</f>
        <v>0.20000000000000007</v>
      </c>
      <c r="PC26" s="286">
        <f>'Data-temp_employment'!PB26</f>
        <v>1.5</v>
      </c>
      <c r="PE26" s="319"/>
      <c r="PF26" s="319"/>
      <c r="PG26" s="319"/>
      <c r="PH26" s="319"/>
      <c r="PI26" s="319"/>
      <c r="PJ26" s="319"/>
      <c r="PK26" s="319"/>
      <c r="PL26" s="319"/>
      <c r="PM26" s="319"/>
      <c r="PN26" s="319"/>
      <c r="PO26" s="319"/>
      <c r="PP26" s="319"/>
      <c r="PQ26" s="319"/>
      <c r="PR26" s="319"/>
      <c r="PS26" s="319"/>
      <c r="PT26" s="319"/>
      <c r="PU26" s="319"/>
      <c r="PV26" s="319"/>
      <c r="PW26" s="319"/>
      <c r="PX26" s="319"/>
      <c r="PY26" s="319"/>
      <c r="PZ26" s="319"/>
      <c r="QA26" s="319"/>
      <c r="QB26" s="319"/>
      <c r="QC26" s="319"/>
      <c r="QD26" s="319"/>
      <c r="QE26" s="319"/>
      <c r="QF26" s="319"/>
      <c r="QG26" s="319"/>
      <c r="QH26" s="319"/>
      <c r="QI26" s="319"/>
      <c r="QJ26" s="319"/>
      <c r="QK26" s="319"/>
      <c r="QL26" s="319"/>
      <c r="QM26" s="319"/>
      <c r="QN26" s="319"/>
      <c r="QO26" s="319"/>
      <c r="QP26" s="319"/>
      <c r="QQ26" s="319"/>
      <c r="QR26" s="319"/>
      <c r="QS26" s="319"/>
      <c r="QT26" s="319"/>
      <c r="QU26" s="319"/>
      <c r="QV26" s="319"/>
      <c r="QW26" s="319"/>
      <c r="QX26" s="319"/>
      <c r="QY26" s="319"/>
      <c r="QZ26" s="319"/>
      <c r="RA26" s="319"/>
      <c r="RB26" s="319"/>
      <c r="RC26" s="319"/>
      <c r="RD26" s="319"/>
      <c r="RE26" s="319"/>
      <c r="RF26" s="319"/>
      <c r="RG26" s="319"/>
      <c r="RH26" s="319"/>
      <c r="RI26" s="319"/>
      <c r="RJ26" s="319"/>
      <c r="RK26" s="319"/>
      <c r="RL26" s="319"/>
      <c r="RM26" s="319"/>
      <c r="RN26" s="319"/>
      <c r="RO26" s="319"/>
      <c r="RP26" s="319"/>
      <c r="RQ26" s="318"/>
    </row>
    <row r="27" spans="1:485" s="272" customFormat="1">
      <c r="A27" s="269">
        <v>24</v>
      </c>
      <c r="B27" s="303" t="s">
        <v>30</v>
      </c>
      <c r="C27" s="286">
        <f>'Data-temp_employment'!C27-last_qrtr_tempemp!D27</f>
        <v>-0.60000000000000009</v>
      </c>
      <c r="D27" s="286">
        <f>'Data-temp_employment'!D27-last_qrtr_tempemp!E27</f>
        <v>-0.10000000000000009</v>
      </c>
      <c r="E27" s="286">
        <f>'Data-temp_employment'!E27-last_qrtr_tempemp!F27</f>
        <v>0.39999999999999991</v>
      </c>
      <c r="F27" s="286">
        <f>'Data-temp_employment'!F27-last_qrtr_tempemp!G27</f>
        <v>-0.10000000000000009</v>
      </c>
      <c r="G27" s="286">
        <f>'Data-temp_employment'!G27-last_qrtr_tempemp!H27</f>
        <v>-1.1000000000000001</v>
      </c>
      <c r="H27" s="286">
        <f>'Data-temp_employment'!H27-last_qrtr_tempemp!I27</f>
        <v>-0.60000000000000009</v>
      </c>
      <c r="I27" s="286">
        <f>'Data-temp_employment'!I27-last_qrtr_tempemp!J27</f>
        <v>0.60000000000000009</v>
      </c>
      <c r="J27" s="286">
        <f>'Data-temp_employment'!J27-last_qrtr_tempemp!K27</f>
        <v>0</v>
      </c>
      <c r="K27" s="286">
        <f>'Data-temp_employment'!K27-last_qrtr_tempemp!L27</f>
        <v>-0.7</v>
      </c>
      <c r="L27" s="286">
        <f>'Data-temp_employment'!L27</f>
        <v>1.8</v>
      </c>
      <c r="M27" s="303" t="s">
        <v>30</v>
      </c>
      <c r="N27" s="286">
        <f>'Data-temp_employment'!N27-last_qrtr_tempemp!O27</f>
        <v>-6.5999999999999979</v>
      </c>
      <c r="O27" s="286">
        <f>'Data-temp_employment'!O27-last_qrtr_tempemp!P27</f>
        <v>-1.2999999999999972</v>
      </c>
      <c r="P27" s="286">
        <f>'Data-temp_employment'!P27-last_qrtr_tempemp!Q27</f>
        <v>4.3000000000000007</v>
      </c>
      <c r="Q27" s="286">
        <f>'Data-temp_employment'!Q27-last_qrtr_tempemp!R27</f>
        <v>-1.4000000000000004</v>
      </c>
      <c r="R27" s="286">
        <f>'Data-temp_employment'!R27-last_qrtr_tempemp!S27</f>
        <v>-12.8</v>
      </c>
      <c r="S27" s="286">
        <f>'Data-temp_employment'!S27-last_qrtr_tempemp!T27</f>
        <v>-6.8000000000000007</v>
      </c>
      <c r="T27" s="286">
        <f>'Data-temp_employment'!T27-last_qrtr_tempemp!U27</f>
        <v>7.6</v>
      </c>
      <c r="U27" s="286">
        <f>'Data-temp_employment'!U27-last_qrtr_tempemp!V27</f>
        <v>0.80000000000000071</v>
      </c>
      <c r="V27" s="286">
        <f>'Data-temp_employment'!V27-last_qrtr_tempemp!W27</f>
        <v>-8.4</v>
      </c>
      <c r="W27" s="286">
        <f>'Data-temp_employment'!W27</f>
        <v>20.9</v>
      </c>
      <c r="X27" s="303" t="s">
        <v>30</v>
      </c>
      <c r="Y27" s="286">
        <f>'Data-temp_employment'!Y27-last_qrtr_tempemp!Z27</f>
        <v>0</v>
      </c>
      <c r="Z27" s="286">
        <f>'Data-temp_employment'!Z27-last_qrtr_tempemp!AA27</f>
        <v>0</v>
      </c>
      <c r="AA27" s="286">
        <f>'Data-temp_employment'!AA27-last_qrtr_tempemp!AB27</f>
        <v>0</v>
      </c>
      <c r="AB27" s="286">
        <f>'Data-temp_employment'!AB27-last_qrtr_tempemp!AC27</f>
        <v>0</v>
      </c>
      <c r="AC27" s="286">
        <f>'Data-temp_employment'!AC27-last_qrtr_tempemp!AD27</f>
        <v>0</v>
      </c>
      <c r="AD27" s="286">
        <f>'Data-temp_employment'!AD27-last_qrtr_tempemp!AE27</f>
        <v>0</v>
      </c>
      <c r="AE27" s="286">
        <f>'Data-temp_employment'!AE27-last_qrtr_tempemp!AF27</f>
        <v>0</v>
      </c>
      <c r="AF27" s="286">
        <f>'Data-temp_employment'!AF27-last_qrtr_tempemp!AG27</f>
        <v>0</v>
      </c>
      <c r="AG27" s="286">
        <f>'Data-temp_employment'!AG27-last_qrtr_tempemp!AH27</f>
        <v>0</v>
      </c>
      <c r="AH27" s="286">
        <f>'Data-temp_employment'!AH27</f>
        <v>0</v>
      </c>
      <c r="AI27" s="303" t="s">
        <v>30</v>
      </c>
      <c r="AJ27" s="286">
        <f>'Data-temp_employment'!AJ27-last_qrtr_tempemp!AK27</f>
        <v>-9.1</v>
      </c>
      <c r="AK27" s="286">
        <f>'Data-temp_employment'!AK27-last_qrtr_tempemp!AL27</f>
        <v>-2.7000000000000011</v>
      </c>
      <c r="AL27" s="286">
        <f>'Data-temp_employment'!AL27-last_qrtr_tempemp!AM27</f>
        <v>5.6</v>
      </c>
      <c r="AM27" s="286">
        <f>'Data-temp_employment'!AM27-last_qrtr_tempemp!AN27</f>
        <v>5.6</v>
      </c>
      <c r="AN27" s="286">
        <f>'Data-temp_employment'!AN27-last_qrtr_tempemp!AO27</f>
        <v>-7.1999999999999993</v>
      </c>
      <c r="AO27" s="286">
        <f>'Data-temp_employment'!AO27-last_qrtr_tempemp!AP27</f>
        <v>-6.8000000000000007</v>
      </c>
      <c r="AP27" s="286">
        <f>'Data-temp_employment'!AP27-last_qrtr_tempemp!AQ27</f>
        <v>8.3000000000000007</v>
      </c>
      <c r="AQ27" s="286">
        <f>'Data-temp_employment'!AQ27-last_qrtr_tempemp!AR27</f>
        <v>-0.40000000000000036</v>
      </c>
      <c r="AR27" s="286">
        <f>'Data-temp_employment'!AR27-last_qrtr_tempemp!AS27</f>
        <v>-4</v>
      </c>
      <c r="AS27" s="286">
        <f>'Data-temp_employment'!AS27</f>
        <v>10.6</v>
      </c>
      <c r="AT27" s="303" t="s">
        <v>30</v>
      </c>
      <c r="AU27" s="286">
        <f>'Data-temp_employment'!AU27-last_qrtr_tempemp!AV27</f>
        <v>-0.70000000000000018</v>
      </c>
      <c r="AV27" s="286">
        <f>'Data-temp_employment'!AV27-last_qrtr_tempemp!AW27</f>
        <v>-0.89999999999999947</v>
      </c>
      <c r="AW27" s="286">
        <f>'Data-temp_employment'!AW27-last_qrtr_tempemp!AX27</f>
        <v>1.4000000000000004</v>
      </c>
      <c r="AX27" s="286">
        <f>'Data-temp_employment'!AX27-last_qrtr_tempemp!AY27</f>
        <v>-0.69999999999999929</v>
      </c>
      <c r="AY27" s="286">
        <f>'Data-temp_employment'!AY27-last_qrtr_tempemp!AZ27</f>
        <v>-6.4</v>
      </c>
      <c r="AZ27" s="286">
        <f>'Data-temp_employment'!AZ27-last_qrtr_tempemp!BA27</f>
        <v>-2.8000000000000007</v>
      </c>
      <c r="BA27" s="286">
        <f>'Data-temp_employment'!BA27-last_qrtr_tempemp!BB27</f>
        <v>0.69999999999999929</v>
      </c>
      <c r="BB27" s="286">
        <f>'Data-temp_employment'!BB27-last_qrtr_tempemp!BC27</f>
        <v>5.8</v>
      </c>
      <c r="BC27" s="286">
        <f>'Data-temp_employment'!BC27-last_qrtr_tempemp!BD27</f>
        <v>-6.1</v>
      </c>
      <c r="BD27" s="286">
        <f>'Data-temp_employment'!BD27</f>
        <v>5.0999999999999996</v>
      </c>
      <c r="BE27" s="303" t="s">
        <v>30</v>
      </c>
      <c r="BF27" s="286">
        <f>'Data-temp_employment'!BF27-last_qrtr_tempemp!BG27</f>
        <v>0</v>
      </c>
      <c r="BG27" s="286">
        <f>'Data-temp_employment'!BG27-last_qrtr_tempemp!BH27</f>
        <v>0</v>
      </c>
      <c r="BH27" s="286">
        <f>'Data-temp_employment'!BH27-last_qrtr_tempemp!BI27</f>
        <v>0</v>
      </c>
      <c r="BI27" s="286">
        <f>'Data-temp_employment'!BI27-last_qrtr_tempemp!BJ27</f>
        <v>0</v>
      </c>
      <c r="BJ27" s="286">
        <f>'Data-temp_employment'!BJ27-last_qrtr_tempemp!BK27</f>
        <v>0</v>
      </c>
      <c r="BK27" s="286">
        <f>'Data-temp_employment'!BK27-last_qrtr_tempemp!BL27</f>
        <v>0</v>
      </c>
      <c r="BL27" s="286">
        <f>'Data-temp_employment'!BL27-last_qrtr_tempemp!BM27</f>
        <v>0</v>
      </c>
      <c r="BM27" s="286">
        <f>'Data-temp_employment'!BM27-last_qrtr_tempemp!BN27</f>
        <v>0</v>
      </c>
      <c r="BN27" s="286">
        <f>'Data-temp_employment'!BN27-last_qrtr_tempemp!BO27</f>
        <v>0</v>
      </c>
      <c r="BO27" s="286">
        <f>'Data-temp_employment'!BO27</f>
        <v>0</v>
      </c>
      <c r="BP27" s="303" t="s">
        <v>30</v>
      </c>
      <c r="BQ27" s="286">
        <f>'Data-temp_employment'!BQ27-last_qrtr_tempemp!BR27</f>
        <v>0</v>
      </c>
      <c r="BR27" s="286">
        <f>'Data-temp_employment'!BR27-last_qrtr_tempemp!BS27</f>
        <v>0</v>
      </c>
      <c r="BS27" s="286">
        <f>'Data-temp_employment'!BS27-last_qrtr_tempemp!BT27</f>
        <v>0</v>
      </c>
      <c r="BT27" s="286">
        <f>'Data-temp_employment'!BT27-last_qrtr_tempemp!BU27</f>
        <v>0</v>
      </c>
      <c r="BU27" s="286">
        <f>'Data-temp_employment'!BU27-last_qrtr_tempemp!BV27</f>
        <v>0</v>
      </c>
      <c r="BV27" s="286">
        <f>'Data-temp_employment'!BV27-last_qrtr_tempemp!BW27</f>
        <v>0</v>
      </c>
      <c r="BW27" s="286">
        <f>'Data-temp_employment'!BW27-last_qrtr_tempemp!BX27</f>
        <v>0</v>
      </c>
      <c r="BX27" s="286">
        <f>'Data-temp_employment'!BX27-last_qrtr_tempemp!BY27</f>
        <v>0</v>
      </c>
      <c r="BY27" s="286">
        <f>'Data-temp_employment'!BY27-last_qrtr_tempemp!BZ27</f>
        <v>0</v>
      </c>
      <c r="BZ27" s="286">
        <f>'Data-temp_employment'!BZ27</f>
        <v>0</v>
      </c>
      <c r="CA27" s="303" t="s">
        <v>30</v>
      </c>
      <c r="CB27" s="286">
        <f>'Data-temp_employment'!CB27-last_qrtr_tempemp!CC27</f>
        <v>0</v>
      </c>
      <c r="CC27" s="286">
        <f>'Data-temp_employment'!CC27-last_qrtr_tempemp!CD27</f>
        <v>0</v>
      </c>
      <c r="CD27" s="286">
        <f>'Data-temp_employment'!CD27-last_qrtr_tempemp!CE27</f>
        <v>0</v>
      </c>
      <c r="CE27" s="286">
        <f>'Data-temp_employment'!CE27-last_qrtr_tempemp!CF27</f>
        <v>0</v>
      </c>
      <c r="CF27" s="286">
        <f>'Data-temp_employment'!CF27-last_qrtr_tempemp!CG27</f>
        <v>0</v>
      </c>
      <c r="CG27" s="286">
        <f>'Data-temp_employment'!CG27-last_qrtr_tempemp!CH27</f>
        <v>0</v>
      </c>
      <c r="CH27" s="286">
        <f>'Data-temp_employment'!CH27-last_qrtr_tempemp!CI27</f>
        <v>0</v>
      </c>
      <c r="CI27" s="286">
        <f>'Data-temp_employment'!CI27-last_qrtr_tempemp!CJ27</f>
        <v>0</v>
      </c>
      <c r="CJ27" s="286">
        <f>'Data-temp_employment'!CJ27-last_qrtr_tempemp!CK27</f>
        <v>0</v>
      </c>
      <c r="CK27" s="286">
        <f>'Data-temp_employment'!CK27</f>
        <v>0</v>
      </c>
      <c r="CL27" s="303" t="s">
        <v>30</v>
      </c>
      <c r="CM27" s="286">
        <f>'Data-temp_employment'!CM27-last_qrtr_tempemp!CN27</f>
        <v>-4.7</v>
      </c>
      <c r="CN27" s="286">
        <f>'Data-temp_employment'!CN27-last_qrtr_tempemp!CO27</f>
        <v>-6.8</v>
      </c>
      <c r="CO27" s="286">
        <f>'Data-temp_employment'!CO27-last_qrtr_tempemp!CP27</f>
        <v>0</v>
      </c>
      <c r="CP27" s="286">
        <f>'Data-temp_employment'!CP27-last_qrtr_tempemp!CQ27</f>
        <v>0</v>
      </c>
      <c r="CQ27" s="286">
        <f>'Data-temp_employment'!CQ27-last_qrtr_tempemp!CR27</f>
        <v>-5.6</v>
      </c>
      <c r="CR27" s="286">
        <f>'Data-temp_employment'!CR27-last_qrtr_tempemp!CS27</f>
        <v>0</v>
      </c>
      <c r="CS27" s="286">
        <f>'Data-temp_employment'!CS27-last_qrtr_tempemp!CT27</f>
        <v>0</v>
      </c>
      <c r="CT27" s="286">
        <f>'Data-temp_employment'!CT27-last_qrtr_tempemp!CU27</f>
        <v>0</v>
      </c>
      <c r="CU27" s="286">
        <f>'Data-temp_employment'!CU27-last_qrtr_tempemp!CV27</f>
        <v>0</v>
      </c>
      <c r="CV27" s="286">
        <f>'Data-temp_employment'!CV27</f>
        <v>0</v>
      </c>
      <c r="CW27" s="303" t="s">
        <v>30</v>
      </c>
      <c r="CX27" s="286">
        <f>'Data-temp_employment'!CX27-last_qrtr_tempemp!CY27</f>
        <v>-3.0999999999999996</v>
      </c>
      <c r="CY27" s="286">
        <f>'Data-temp_employment'!CY27-last_qrtr_tempemp!CZ27</f>
        <v>-1.5999999999999979</v>
      </c>
      <c r="CZ27" s="286">
        <f>'Data-temp_employment'!CZ27-last_qrtr_tempemp!DA27</f>
        <v>3.9999999999999982</v>
      </c>
      <c r="DA27" s="286">
        <f>'Data-temp_employment'!DA27-last_qrtr_tempemp!DB27</f>
        <v>0.19999999999999929</v>
      </c>
      <c r="DB27" s="286">
        <f>'Data-temp_employment'!DB27-last_qrtr_tempemp!DC27</f>
        <v>-6.7000000000000011</v>
      </c>
      <c r="DC27" s="286">
        <f>'Data-temp_employment'!DC27-last_qrtr_tempemp!DD27</f>
        <v>-4.0999999999999979</v>
      </c>
      <c r="DD27" s="286">
        <f>'Data-temp_employment'!DD27-last_qrtr_tempemp!DE27</f>
        <v>3.8000000000000007</v>
      </c>
      <c r="DE27" s="286">
        <f>'Data-temp_employment'!DE27-last_qrtr_tempemp!DF27</f>
        <v>-1.5999999999999996</v>
      </c>
      <c r="DF27" s="286">
        <f>'Data-temp_employment'!DF27-last_qrtr_tempemp!DG27</f>
        <v>-6.2000000000000011</v>
      </c>
      <c r="DG27" s="286">
        <f>'Data-temp_employment'!DG27</f>
        <v>15.5</v>
      </c>
      <c r="DH27" s="303" t="s">
        <v>30</v>
      </c>
      <c r="DI27" s="286">
        <f>'Data-temp_employment'!DI27-last_qrtr_tempemp!DJ27</f>
        <v>-5.3</v>
      </c>
      <c r="DJ27" s="286">
        <f>'Data-temp_employment'!DJ27-last_qrtr_tempemp!DK27</f>
        <v>0</v>
      </c>
      <c r="DK27" s="286">
        <f>'Data-temp_employment'!DK27-last_qrtr_tempemp!DL27</f>
        <v>-6.4</v>
      </c>
      <c r="DL27" s="286">
        <f>'Data-temp_employment'!DL27-last_qrtr_tempemp!DM27</f>
        <v>0</v>
      </c>
      <c r="DM27" s="286">
        <f>'Data-temp_employment'!DM27-last_qrtr_tempemp!DN27</f>
        <v>-5.7</v>
      </c>
      <c r="DN27" s="286">
        <f>'Data-temp_employment'!DN27-last_qrtr_tempemp!DO27</f>
        <v>-5.0999999999999996</v>
      </c>
      <c r="DO27" s="286">
        <f>'Data-temp_employment'!DO27-last_qrtr_tempemp!DP27</f>
        <v>0</v>
      </c>
      <c r="DP27" s="286">
        <f>'Data-temp_employment'!DP27-last_qrtr_tempemp!DQ27</f>
        <v>0</v>
      </c>
      <c r="DQ27" s="286">
        <f>'Data-temp_employment'!DQ27-last_qrtr_tempemp!DR27</f>
        <v>0</v>
      </c>
      <c r="DR27" s="286">
        <f>'Data-temp_employment'!DR27</f>
        <v>0</v>
      </c>
      <c r="DS27" s="303" t="s">
        <v>30</v>
      </c>
      <c r="DT27" s="286">
        <f>'Data-temp_employment'!DT27-last_qrtr_tempemp!DU27</f>
        <v>0</v>
      </c>
      <c r="DU27" s="286">
        <f>'Data-temp_employment'!DU27-last_qrtr_tempemp!DV27</f>
        <v>0</v>
      </c>
      <c r="DV27" s="286">
        <f>'Data-temp_employment'!DV27-last_qrtr_tempemp!DW27</f>
        <v>0</v>
      </c>
      <c r="DW27" s="286">
        <f>'Data-temp_employment'!DW27-last_qrtr_tempemp!DX27</f>
        <v>0</v>
      </c>
      <c r="DX27" s="286">
        <f>'Data-temp_employment'!DX27-last_qrtr_tempemp!DY27</f>
        <v>0</v>
      </c>
      <c r="DY27" s="286">
        <f>'Data-temp_employment'!DY27-last_qrtr_tempemp!DZ27</f>
        <v>0</v>
      </c>
      <c r="DZ27" s="286">
        <f>'Data-temp_employment'!DZ27-last_qrtr_tempemp!EA27</f>
        <v>0</v>
      </c>
      <c r="EA27" s="286">
        <f>'Data-temp_employment'!EA27-last_qrtr_tempemp!EB27</f>
        <v>0</v>
      </c>
      <c r="EB27" s="286">
        <f>'Data-temp_employment'!EB27-last_qrtr_tempemp!EC27</f>
        <v>0</v>
      </c>
      <c r="EC27" s="286">
        <f>'Data-temp_employment'!EC27</f>
        <v>0</v>
      </c>
      <c r="ED27" s="303" t="s">
        <v>30</v>
      </c>
      <c r="EE27" s="286">
        <f>'Data-temp_employment'!EE27-last_qrtr_tempemp!EF27</f>
        <v>0</v>
      </c>
      <c r="EF27" s="286">
        <f>'Data-temp_employment'!EF27-last_qrtr_tempemp!EG27</f>
        <v>0</v>
      </c>
      <c r="EG27" s="286">
        <f>'Data-temp_employment'!EG27-last_qrtr_tempemp!EH27</f>
        <v>0</v>
      </c>
      <c r="EH27" s="286">
        <f>'Data-temp_employment'!EH27-last_qrtr_tempemp!EI27</f>
        <v>0</v>
      </c>
      <c r="EI27" s="286">
        <f>'Data-temp_employment'!EI27-last_qrtr_tempemp!EJ27</f>
        <v>0</v>
      </c>
      <c r="EJ27" s="286">
        <f>'Data-temp_employment'!EJ27-last_qrtr_tempemp!EK27</f>
        <v>0</v>
      </c>
      <c r="EK27" s="286">
        <f>'Data-temp_employment'!EK27-last_qrtr_tempemp!EL27</f>
        <v>0</v>
      </c>
      <c r="EL27" s="286">
        <f>'Data-temp_employment'!EL27-last_qrtr_tempemp!EM27</f>
        <v>0</v>
      </c>
      <c r="EM27" s="286">
        <f>'Data-temp_employment'!EM27-last_qrtr_tempemp!EN27</f>
        <v>0</v>
      </c>
      <c r="EN27" s="286">
        <f>'Data-temp_employment'!EN27</f>
        <v>0</v>
      </c>
      <c r="EO27" s="303" t="s">
        <v>30</v>
      </c>
      <c r="EP27" s="286">
        <f>'Data-temp_employment'!EP27-last_qrtr_tempemp!EQ27</f>
        <v>0</v>
      </c>
      <c r="EQ27" s="286">
        <f>'Data-temp_employment'!EQ27-last_qrtr_tempemp!ER27</f>
        <v>0</v>
      </c>
      <c r="ER27" s="286">
        <f>'Data-temp_employment'!ER27-last_qrtr_tempemp!ES27</f>
        <v>0</v>
      </c>
      <c r="ES27" s="286">
        <f>'Data-temp_employment'!ES27-last_qrtr_tempemp!ET27</f>
        <v>0</v>
      </c>
      <c r="ET27" s="286">
        <f>'Data-temp_employment'!ET27-last_qrtr_tempemp!EU27</f>
        <v>0</v>
      </c>
      <c r="EU27" s="286">
        <f>'Data-temp_employment'!EU27-last_qrtr_tempemp!EV27</f>
        <v>0</v>
      </c>
      <c r="EV27" s="286">
        <f>'Data-temp_employment'!EV27-last_qrtr_tempemp!EW27</f>
        <v>0</v>
      </c>
      <c r="EW27" s="286">
        <f>'Data-temp_employment'!EW27-last_qrtr_tempemp!EX27</f>
        <v>0</v>
      </c>
      <c r="EX27" s="286">
        <f>'Data-temp_employment'!EX27-last_qrtr_tempemp!EY27</f>
        <v>0</v>
      </c>
      <c r="EY27" s="286">
        <f>'Data-temp_employment'!EY27</f>
        <v>0</v>
      </c>
      <c r="EZ27" s="303" t="s">
        <v>30</v>
      </c>
      <c r="FA27" s="286">
        <f>'Data-temp_employment'!FA27-last_qrtr_tempemp!FB27</f>
        <v>0</v>
      </c>
      <c r="FB27" s="286">
        <f>'Data-temp_employment'!FB27-last_qrtr_tempemp!FC27</f>
        <v>0</v>
      </c>
      <c r="FC27" s="286">
        <f>'Data-temp_employment'!FC27-last_qrtr_tempemp!FD27</f>
        <v>0</v>
      </c>
      <c r="FD27" s="286">
        <f>'Data-temp_employment'!FD27-last_qrtr_tempemp!FE27</f>
        <v>0</v>
      </c>
      <c r="FE27" s="286">
        <f>'Data-temp_employment'!FE27-last_qrtr_tempemp!FF27</f>
        <v>0</v>
      </c>
      <c r="FF27" s="286">
        <f>'Data-temp_employment'!FF27-last_qrtr_tempemp!FG27</f>
        <v>0</v>
      </c>
      <c r="FG27" s="286">
        <f>'Data-temp_employment'!FG27-last_qrtr_tempemp!FH27</f>
        <v>0</v>
      </c>
      <c r="FH27" s="286">
        <f>'Data-temp_employment'!FH27-last_qrtr_tempemp!FI27</f>
        <v>0</v>
      </c>
      <c r="FI27" s="286">
        <f>'Data-temp_employment'!FI27-last_qrtr_tempemp!FJ27</f>
        <v>0</v>
      </c>
      <c r="FJ27" s="286">
        <f>'Data-temp_employment'!FJ27</f>
        <v>0</v>
      </c>
      <c r="FK27" s="303" t="s">
        <v>30</v>
      </c>
      <c r="FL27" s="286">
        <f>'Data-temp_employment'!FL27-last_qrtr_tempemp!FM27</f>
        <v>0</v>
      </c>
      <c r="FM27" s="286">
        <f>'Data-temp_employment'!FM27-last_qrtr_tempemp!FN27</f>
        <v>0</v>
      </c>
      <c r="FN27" s="286">
        <f>'Data-temp_employment'!FN27-last_qrtr_tempemp!FO27</f>
        <v>0</v>
      </c>
      <c r="FO27" s="286">
        <f>'Data-temp_employment'!FO27-last_qrtr_tempemp!FP27</f>
        <v>0</v>
      </c>
      <c r="FP27" s="286">
        <f>'Data-temp_employment'!FP27-last_qrtr_tempemp!FQ27</f>
        <v>0</v>
      </c>
      <c r="FQ27" s="286">
        <f>'Data-temp_employment'!FQ27-last_qrtr_tempemp!FR27</f>
        <v>0</v>
      </c>
      <c r="FR27" s="286">
        <f>'Data-temp_employment'!FR27-last_qrtr_tempemp!FS27</f>
        <v>0</v>
      </c>
      <c r="FS27" s="286">
        <f>'Data-temp_employment'!FS27-last_qrtr_tempemp!FT27</f>
        <v>0</v>
      </c>
      <c r="FT27" s="286">
        <f>'Data-temp_employment'!FT27-last_qrtr_tempemp!FU27</f>
        <v>0</v>
      </c>
      <c r="FU27" s="286">
        <f>'Data-temp_employment'!FU27</f>
        <v>0</v>
      </c>
      <c r="FV27" s="303" t="s">
        <v>30</v>
      </c>
      <c r="FW27" s="286">
        <f>'Data-temp_employment'!FW27-last_qrtr_tempemp!FX27</f>
        <v>0</v>
      </c>
      <c r="FX27" s="286">
        <f>'Data-temp_employment'!FX27-last_qrtr_tempemp!FY27</f>
        <v>0</v>
      </c>
      <c r="FY27" s="286">
        <f>'Data-temp_employment'!FY27-last_qrtr_tempemp!FZ27</f>
        <v>0</v>
      </c>
      <c r="FZ27" s="286">
        <f>'Data-temp_employment'!FZ27-last_qrtr_tempemp!GA27</f>
        <v>0</v>
      </c>
      <c r="GA27" s="286">
        <f>'Data-temp_employment'!GA27-last_qrtr_tempemp!GB27</f>
        <v>0</v>
      </c>
      <c r="GB27" s="286">
        <f>'Data-temp_employment'!GB27-last_qrtr_tempemp!GC27</f>
        <v>0</v>
      </c>
      <c r="GC27" s="286">
        <f>'Data-temp_employment'!GC27-last_qrtr_tempemp!GD27</f>
        <v>0</v>
      </c>
      <c r="GD27" s="286">
        <f>'Data-temp_employment'!GD27-last_qrtr_tempemp!GE27</f>
        <v>0</v>
      </c>
      <c r="GE27" s="286">
        <f>'Data-temp_employment'!GE27-last_qrtr_tempemp!GF27</f>
        <v>0</v>
      </c>
      <c r="GF27" s="286">
        <f>'Data-temp_employment'!GF27</f>
        <v>0</v>
      </c>
      <c r="GG27" s="303" t="s">
        <v>30</v>
      </c>
      <c r="GH27" s="286">
        <f>'Data-temp_employment'!GH27-last_qrtr_tempemp!GI27</f>
        <v>0</v>
      </c>
      <c r="GI27" s="286">
        <f>'Data-temp_employment'!GI27-last_qrtr_tempemp!GJ27</f>
        <v>0</v>
      </c>
      <c r="GJ27" s="286">
        <f>'Data-temp_employment'!GJ27-last_qrtr_tempemp!GK27</f>
        <v>0</v>
      </c>
      <c r="GK27" s="286">
        <f>'Data-temp_employment'!GK27-last_qrtr_tempemp!GL27</f>
        <v>0</v>
      </c>
      <c r="GL27" s="286">
        <f>'Data-temp_employment'!GL27-last_qrtr_tempemp!GM27</f>
        <v>0</v>
      </c>
      <c r="GM27" s="286">
        <f>'Data-temp_employment'!GM27-last_qrtr_tempemp!GN27</f>
        <v>0</v>
      </c>
      <c r="GN27" s="286">
        <f>'Data-temp_employment'!GN27-last_qrtr_tempemp!GO27</f>
        <v>0</v>
      </c>
      <c r="GO27" s="286">
        <f>'Data-temp_employment'!GO27-last_qrtr_tempemp!GP27</f>
        <v>0</v>
      </c>
      <c r="GP27" s="286">
        <f>'Data-temp_employment'!GP27-last_qrtr_tempemp!GQ27</f>
        <v>0</v>
      </c>
      <c r="GQ27" s="286">
        <f>'Data-temp_employment'!GQ27</f>
        <v>0</v>
      </c>
      <c r="GR27" s="303" t="s">
        <v>30</v>
      </c>
      <c r="GS27" s="286">
        <f>'Data-temp_employment'!GS27-last_qrtr_tempemp!GT27</f>
        <v>0</v>
      </c>
      <c r="GT27" s="286">
        <f>'Data-temp_employment'!GT27-last_qrtr_tempemp!GU27</f>
        <v>0</v>
      </c>
      <c r="GU27" s="286">
        <f>'Data-temp_employment'!GU27-last_qrtr_tempemp!GV27</f>
        <v>0</v>
      </c>
      <c r="GV27" s="286">
        <f>'Data-temp_employment'!GV27-last_qrtr_tempemp!GW27</f>
        <v>0</v>
      </c>
      <c r="GW27" s="286">
        <f>'Data-temp_employment'!GW27-last_qrtr_tempemp!GX27</f>
        <v>0</v>
      </c>
      <c r="GX27" s="286">
        <f>'Data-temp_employment'!GX27-last_qrtr_tempemp!GY27</f>
        <v>0</v>
      </c>
      <c r="GY27" s="286">
        <f>'Data-temp_employment'!GY27-last_qrtr_tempemp!GZ27</f>
        <v>0</v>
      </c>
      <c r="GZ27" s="286">
        <f>'Data-temp_employment'!GZ27-last_qrtr_tempemp!HA27</f>
        <v>0</v>
      </c>
      <c r="HA27" s="286">
        <f>'Data-temp_employment'!HA27-last_qrtr_tempemp!HB27</f>
        <v>0</v>
      </c>
      <c r="HB27" s="286">
        <f>'Data-temp_employment'!HB27</f>
        <v>0</v>
      </c>
      <c r="HC27" s="303" t="s">
        <v>30</v>
      </c>
      <c r="HD27" s="286">
        <f>'Data-temp_employment'!HD27-last_qrtr_tempemp!HE27</f>
        <v>0</v>
      </c>
      <c r="HE27" s="286">
        <f>'Data-temp_employment'!HE27-last_qrtr_tempemp!HF27</f>
        <v>0</v>
      </c>
      <c r="HF27" s="286">
        <f>'Data-temp_employment'!HF27-last_qrtr_tempemp!HG27</f>
        <v>0</v>
      </c>
      <c r="HG27" s="286">
        <f>'Data-temp_employment'!HG27-last_qrtr_tempemp!HH27</f>
        <v>0</v>
      </c>
      <c r="HH27" s="286">
        <f>'Data-temp_employment'!HH27-last_qrtr_tempemp!HI27</f>
        <v>0</v>
      </c>
      <c r="HI27" s="286">
        <f>'Data-temp_employment'!HI27-last_qrtr_tempemp!HJ27</f>
        <v>0</v>
      </c>
      <c r="HJ27" s="286">
        <f>'Data-temp_employment'!HJ27-last_qrtr_tempemp!HK27</f>
        <v>0</v>
      </c>
      <c r="HK27" s="286">
        <f>'Data-temp_employment'!HK27-last_qrtr_tempemp!HL27</f>
        <v>0</v>
      </c>
      <c r="HL27" s="286">
        <f>'Data-temp_employment'!HL27-last_qrtr_tempemp!HM27</f>
        <v>0</v>
      </c>
      <c r="HM27" s="286">
        <f>'Data-temp_employment'!HM27</f>
        <v>0</v>
      </c>
      <c r="HN27" s="303" t="s">
        <v>30</v>
      </c>
      <c r="HO27" s="286">
        <f>'Data-temp_employment'!HO27-last_qrtr_tempemp!HP27</f>
        <v>-2.2000000000000002</v>
      </c>
      <c r="HP27" s="286">
        <f>'Data-temp_employment'!HP27-last_qrtr_tempemp!HQ27</f>
        <v>-3.8000000000000007</v>
      </c>
      <c r="HQ27" s="286">
        <f>'Data-temp_employment'!HQ27-last_qrtr_tempemp!HR27</f>
        <v>3.5</v>
      </c>
      <c r="HR27" s="286">
        <f>'Data-temp_employment'!HR27-last_qrtr_tempemp!HS27</f>
        <v>1</v>
      </c>
      <c r="HS27" s="286">
        <f>'Data-temp_employment'!HS27-last_qrtr_tempemp!HT27</f>
        <v>-5.9</v>
      </c>
      <c r="HT27" s="286">
        <f>'Data-temp_employment'!HT27-last_qrtr_tempemp!HU27</f>
        <v>-3.4000000000000004</v>
      </c>
      <c r="HU27" s="286">
        <f>'Data-temp_employment'!HU27-last_qrtr_tempemp!HV27</f>
        <v>2.0000000000000009</v>
      </c>
      <c r="HV27" s="286">
        <f>'Data-temp_employment'!HV27-last_qrtr_tempemp!HW27</f>
        <v>1.6000000000000005</v>
      </c>
      <c r="HW27" s="286">
        <f>'Data-temp_employment'!HW27-last_qrtr_tempemp!HX27</f>
        <v>-2.4000000000000004</v>
      </c>
      <c r="HX27" s="286">
        <f>'Data-temp_employment'!HX27</f>
        <v>6.2</v>
      </c>
      <c r="HY27" s="303" t="s">
        <v>30</v>
      </c>
      <c r="HZ27" s="286">
        <f>'Data-temp_employment'!HZ27-last_qrtr_tempemp!IA27</f>
        <v>0</v>
      </c>
      <c r="IA27" s="286">
        <f>'Data-temp_employment'!IA27-last_qrtr_tempemp!IB27</f>
        <v>0</v>
      </c>
      <c r="IB27" s="286">
        <f>'Data-temp_employment'!IB27-last_qrtr_tempemp!IC27</f>
        <v>0</v>
      </c>
      <c r="IC27" s="286">
        <f>'Data-temp_employment'!IC27-last_qrtr_tempemp!ID27</f>
        <v>0</v>
      </c>
      <c r="ID27" s="286">
        <f>'Data-temp_employment'!ID27-last_qrtr_tempemp!IE27</f>
        <v>0</v>
      </c>
      <c r="IE27" s="286">
        <f>'Data-temp_employment'!IE27-last_qrtr_tempemp!IF27</f>
        <v>0</v>
      </c>
      <c r="IF27" s="286">
        <f>'Data-temp_employment'!IF27-last_qrtr_tempemp!IG27</f>
        <v>0</v>
      </c>
      <c r="IG27" s="286">
        <f>'Data-temp_employment'!IG27-last_qrtr_tempemp!IH27</f>
        <v>0</v>
      </c>
      <c r="IH27" s="286">
        <f>'Data-temp_employment'!IH27-last_qrtr_tempemp!II27</f>
        <v>0</v>
      </c>
      <c r="II27" s="286">
        <f>'Data-temp_employment'!II27</f>
        <v>0</v>
      </c>
      <c r="IJ27" s="303" t="s">
        <v>30</v>
      </c>
      <c r="IK27" s="286">
        <f>'Data-temp_employment'!IK27-last_qrtr_tempemp!IL27</f>
        <v>0</v>
      </c>
      <c r="IL27" s="286">
        <f>'Data-temp_employment'!IL27-last_qrtr_tempemp!IM27</f>
        <v>0</v>
      </c>
      <c r="IM27" s="286">
        <f>'Data-temp_employment'!IM27-last_qrtr_tempemp!IN27</f>
        <v>0</v>
      </c>
      <c r="IN27" s="286">
        <f>'Data-temp_employment'!IN27-last_qrtr_tempemp!IO27</f>
        <v>0</v>
      </c>
      <c r="IO27" s="286">
        <f>'Data-temp_employment'!IO27-last_qrtr_tempemp!IP27</f>
        <v>0</v>
      </c>
      <c r="IP27" s="286">
        <f>'Data-temp_employment'!IP27-last_qrtr_tempemp!IQ27</f>
        <v>0</v>
      </c>
      <c r="IQ27" s="286">
        <f>'Data-temp_employment'!IQ27-last_qrtr_tempemp!IR27</f>
        <v>0</v>
      </c>
      <c r="IR27" s="286">
        <f>'Data-temp_employment'!IR27-last_qrtr_tempemp!IS27</f>
        <v>0</v>
      </c>
      <c r="IS27" s="286">
        <f>'Data-temp_employment'!IS27-last_qrtr_tempemp!IT27</f>
        <v>0</v>
      </c>
      <c r="IT27" s="286">
        <f>'Data-temp_employment'!IT27</f>
        <v>0</v>
      </c>
      <c r="IU27" s="303" t="s">
        <v>30</v>
      </c>
      <c r="IV27" s="286">
        <f>'Data-temp_employment'!IV27-last_qrtr_tempemp!IW27</f>
        <v>0</v>
      </c>
      <c r="IW27" s="286">
        <f>'Data-temp_employment'!IW27-last_qrtr_tempemp!IX27</f>
        <v>0</v>
      </c>
      <c r="IX27" s="286">
        <f>'Data-temp_employment'!IX27-last_qrtr_tempemp!IY27</f>
        <v>0</v>
      </c>
      <c r="IY27" s="286">
        <f>'Data-temp_employment'!IY27-last_qrtr_tempemp!IZ27</f>
        <v>0</v>
      </c>
      <c r="IZ27" s="286">
        <f>'Data-temp_employment'!IZ27-last_qrtr_tempemp!JA27</f>
        <v>0</v>
      </c>
      <c r="JA27" s="286">
        <f>'Data-temp_employment'!JA27-last_qrtr_tempemp!JB27</f>
        <v>0</v>
      </c>
      <c r="JB27" s="286">
        <f>'Data-temp_employment'!JB27-last_qrtr_tempemp!JC27</f>
        <v>0</v>
      </c>
      <c r="JC27" s="286">
        <f>'Data-temp_employment'!JC27-last_qrtr_tempemp!JD27</f>
        <v>0</v>
      </c>
      <c r="JD27" s="286">
        <f>'Data-temp_employment'!JD27-last_qrtr_tempemp!JE27</f>
        <v>0</v>
      </c>
      <c r="JE27" s="286">
        <f>'Data-temp_employment'!JE27</f>
        <v>0</v>
      </c>
      <c r="JF27" s="303" t="s">
        <v>30</v>
      </c>
      <c r="JG27" s="286">
        <f>'Data-temp_employment'!JG27-last_qrtr_tempemp!JH27</f>
        <v>0</v>
      </c>
      <c r="JH27" s="286">
        <f>'Data-temp_employment'!JH27-last_qrtr_tempemp!JI27</f>
        <v>0</v>
      </c>
      <c r="JI27" s="286">
        <f>'Data-temp_employment'!JI27-last_qrtr_tempemp!JJ27</f>
        <v>0</v>
      </c>
      <c r="JJ27" s="286">
        <f>'Data-temp_employment'!JJ27-last_qrtr_tempemp!JK27</f>
        <v>0</v>
      </c>
      <c r="JK27" s="286">
        <f>'Data-temp_employment'!JK27-last_qrtr_tempemp!JL27</f>
        <v>0</v>
      </c>
      <c r="JL27" s="286">
        <f>'Data-temp_employment'!JL27-last_qrtr_tempemp!JM27</f>
        <v>0</v>
      </c>
      <c r="JM27" s="286">
        <f>'Data-temp_employment'!JM27-last_qrtr_tempemp!JN27</f>
        <v>0</v>
      </c>
      <c r="JN27" s="286">
        <f>'Data-temp_employment'!JN27-last_qrtr_tempemp!JO27</f>
        <v>0</v>
      </c>
      <c r="JO27" s="286">
        <f>'Data-temp_employment'!JO27-last_qrtr_tempemp!JP27</f>
        <v>0</v>
      </c>
      <c r="JP27" s="286">
        <f>'Data-temp_employment'!JP27</f>
        <v>0</v>
      </c>
      <c r="JQ27" s="303" t="s">
        <v>30</v>
      </c>
      <c r="JR27" s="286">
        <f>'Data-temp_employment'!JR27-last_qrtr_tempemp!JS27</f>
        <v>0</v>
      </c>
      <c r="JS27" s="286">
        <f>'Data-temp_employment'!JS27-last_qrtr_tempemp!JT27</f>
        <v>0</v>
      </c>
      <c r="JT27" s="286">
        <f>'Data-temp_employment'!JT27-last_qrtr_tempemp!JU27</f>
        <v>0</v>
      </c>
      <c r="JU27" s="286">
        <f>'Data-temp_employment'!JU27-last_qrtr_tempemp!JV27</f>
        <v>0</v>
      </c>
      <c r="JV27" s="286">
        <f>'Data-temp_employment'!JV27-last_qrtr_tempemp!JW27</f>
        <v>0</v>
      </c>
      <c r="JW27" s="286">
        <f>'Data-temp_employment'!JW27-last_qrtr_tempemp!JX27</f>
        <v>0</v>
      </c>
      <c r="JX27" s="286">
        <f>'Data-temp_employment'!JX27-last_qrtr_tempemp!JY27</f>
        <v>0</v>
      </c>
      <c r="JY27" s="286">
        <f>'Data-temp_employment'!JY27-last_qrtr_tempemp!JZ27</f>
        <v>0</v>
      </c>
      <c r="JZ27" s="286">
        <f>'Data-temp_employment'!JZ27-last_qrtr_tempemp!KA27</f>
        <v>0</v>
      </c>
      <c r="KA27" s="286">
        <f>'Data-temp_employment'!KA27</f>
        <v>0</v>
      </c>
      <c r="KB27" s="303" t="s">
        <v>30</v>
      </c>
      <c r="KC27" s="286">
        <f>'Data-temp_employment'!KC27-last_qrtr_tempemp!KD27</f>
        <v>0</v>
      </c>
      <c r="KD27" s="286">
        <f>'Data-temp_employment'!KD27-last_qrtr_tempemp!KE27</f>
        <v>0</v>
      </c>
      <c r="KE27" s="286">
        <f>'Data-temp_employment'!KE27-last_qrtr_tempemp!KF27</f>
        <v>0</v>
      </c>
      <c r="KF27" s="286">
        <f>'Data-temp_employment'!KF27-last_qrtr_tempemp!KG27</f>
        <v>0</v>
      </c>
      <c r="KG27" s="286">
        <f>'Data-temp_employment'!KG27-last_qrtr_tempemp!KH27</f>
        <v>0</v>
      </c>
      <c r="KH27" s="286">
        <f>'Data-temp_employment'!KH27-last_qrtr_tempemp!KI27</f>
        <v>0</v>
      </c>
      <c r="KI27" s="286">
        <f>'Data-temp_employment'!KI27-last_qrtr_tempemp!KJ27</f>
        <v>0</v>
      </c>
      <c r="KJ27" s="286">
        <f>'Data-temp_employment'!KJ27-last_qrtr_tempemp!KK27</f>
        <v>0</v>
      </c>
      <c r="KK27" s="286">
        <f>'Data-temp_employment'!KK27-last_qrtr_tempemp!KL27</f>
        <v>0</v>
      </c>
      <c r="KL27" s="286">
        <f>'Data-temp_employment'!KL27</f>
        <v>0</v>
      </c>
      <c r="KM27" s="303" t="s">
        <v>30</v>
      </c>
      <c r="KN27" s="286">
        <f>'Data-temp_employment'!KN27-last_qrtr_tempemp!KO27</f>
        <v>0</v>
      </c>
      <c r="KO27" s="286">
        <f>'Data-temp_employment'!KO27-last_qrtr_tempemp!KP27</f>
        <v>0</v>
      </c>
      <c r="KP27" s="286">
        <f>'Data-temp_employment'!KP27-last_qrtr_tempemp!KQ27</f>
        <v>0</v>
      </c>
      <c r="KQ27" s="286">
        <f>'Data-temp_employment'!KQ27-last_qrtr_tempemp!KR27</f>
        <v>0</v>
      </c>
      <c r="KR27" s="286">
        <f>'Data-temp_employment'!KR27-last_qrtr_tempemp!KS27</f>
        <v>0</v>
      </c>
      <c r="KS27" s="286">
        <f>'Data-temp_employment'!KS27-last_qrtr_tempemp!KT27</f>
        <v>0</v>
      </c>
      <c r="KT27" s="286">
        <f>'Data-temp_employment'!KT27-last_qrtr_tempemp!KU27</f>
        <v>0</v>
      </c>
      <c r="KU27" s="286">
        <f>'Data-temp_employment'!KU27-last_qrtr_tempemp!KV27</f>
        <v>0</v>
      </c>
      <c r="KV27" s="286">
        <f>'Data-temp_employment'!KV27-last_qrtr_tempemp!KW27</f>
        <v>0</v>
      </c>
      <c r="KW27" s="286">
        <f>'Data-temp_employment'!KW27</f>
        <v>0</v>
      </c>
      <c r="KX27" s="303" t="s">
        <v>30</v>
      </c>
      <c r="KY27" s="286">
        <f>'Data-temp_employment'!KY27-last_qrtr_tempemp!KZ27</f>
        <v>0</v>
      </c>
      <c r="KZ27" s="286">
        <f>'Data-temp_employment'!KZ27-last_qrtr_tempemp!LA27</f>
        <v>0</v>
      </c>
      <c r="LA27" s="286">
        <f>'Data-temp_employment'!LA27-last_qrtr_tempemp!LB27</f>
        <v>0</v>
      </c>
      <c r="LB27" s="286">
        <f>'Data-temp_employment'!LB27-last_qrtr_tempemp!LC27</f>
        <v>0</v>
      </c>
      <c r="LC27" s="286">
        <f>'Data-temp_employment'!LC27-last_qrtr_tempemp!LD27</f>
        <v>0</v>
      </c>
      <c r="LD27" s="286">
        <f>'Data-temp_employment'!LD27-last_qrtr_tempemp!LE27</f>
        <v>0</v>
      </c>
      <c r="LE27" s="286">
        <f>'Data-temp_employment'!LE27-last_qrtr_tempemp!LF27</f>
        <v>0</v>
      </c>
      <c r="LF27" s="286">
        <f>'Data-temp_employment'!LF27-last_qrtr_tempemp!LG27</f>
        <v>0</v>
      </c>
      <c r="LG27" s="286">
        <f>'Data-temp_employment'!LG27-last_qrtr_tempemp!LH27</f>
        <v>0</v>
      </c>
      <c r="LH27" s="286">
        <f>'Data-temp_employment'!LH27</f>
        <v>0</v>
      </c>
      <c r="LI27" s="303" t="s">
        <v>30</v>
      </c>
      <c r="LJ27" s="286">
        <f>'Data-temp_employment'!LJ27-last_qrtr_tempemp!LK27</f>
        <v>0</v>
      </c>
      <c r="LK27" s="286">
        <f>'Data-temp_employment'!LK27-last_qrtr_tempemp!LL27</f>
        <v>0</v>
      </c>
      <c r="LL27" s="286">
        <f>'Data-temp_employment'!LL27-last_qrtr_tempemp!LM27</f>
        <v>0</v>
      </c>
      <c r="LM27" s="286">
        <f>'Data-temp_employment'!LM27-last_qrtr_tempemp!LN27</f>
        <v>0</v>
      </c>
      <c r="LN27" s="286">
        <f>'Data-temp_employment'!LN27-last_qrtr_tempemp!LO27</f>
        <v>0</v>
      </c>
      <c r="LO27" s="286">
        <f>'Data-temp_employment'!LO27-last_qrtr_tempemp!LP27</f>
        <v>0</v>
      </c>
      <c r="LP27" s="286">
        <f>'Data-temp_employment'!LP27-last_qrtr_tempemp!LQ27</f>
        <v>0</v>
      </c>
      <c r="LQ27" s="286">
        <f>'Data-temp_employment'!LQ27-last_qrtr_tempemp!LR27</f>
        <v>0</v>
      </c>
      <c r="LR27" s="286">
        <f>'Data-temp_employment'!LR27-last_qrtr_tempemp!LS27</f>
        <v>0</v>
      </c>
      <c r="LS27" s="286">
        <f>'Data-temp_employment'!LS27</f>
        <v>0</v>
      </c>
      <c r="LT27" s="303" t="s">
        <v>30</v>
      </c>
      <c r="LU27" s="286">
        <f>'Data-temp_employment'!LU27-last_qrtr_tempemp!LV27</f>
        <v>0</v>
      </c>
      <c r="LV27" s="286">
        <f>'Data-temp_employment'!LV27-last_qrtr_tempemp!LW27</f>
        <v>0</v>
      </c>
      <c r="LW27" s="286">
        <f>'Data-temp_employment'!LW27-last_qrtr_tempemp!LX27</f>
        <v>0</v>
      </c>
      <c r="LX27" s="286">
        <f>'Data-temp_employment'!LX27-last_qrtr_tempemp!LY27</f>
        <v>0</v>
      </c>
      <c r="LY27" s="286">
        <f>'Data-temp_employment'!LY27-last_qrtr_tempemp!LZ27</f>
        <v>0</v>
      </c>
      <c r="LZ27" s="286">
        <f>'Data-temp_employment'!LZ27-last_qrtr_tempemp!MA27</f>
        <v>0</v>
      </c>
      <c r="MA27" s="286">
        <f>'Data-temp_employment'!MA27-last_qrtr_tempemp!MB27</f>
        <v>0</v>
      </c>
      <c r="MB27" s="286">
        <f>'Data-temp_employment'!MB27-last_qrtr_tempemp!MC27</f>
        <v>0</v>
      </c>
      <c r="MC27" s="286">
        <f>'Data-temp_employment'!MC27-last_qrtr_tempemp!MD27</f>
        <v>0</v>
      </c>
      <c r="MD27" s="286">
        <f>'Data-temp_employment'!MD27</f>
        <v>0</v>
      </c>
      <c r="ME27" s="303" t="s">
        <v>30</v>
      </c>
      <c r="MF27" s="286">
        <f>'Data-temp_employment'!MF27-last_qrtr_tempemp!MG27</f>
        <v>0</v>
      </c>
      <c r="MG27" s="286">
        <f>'Data-temp_employment'!MG27-last_qrtr_tempemp!MH27</f>
        <v>0</v>
      </c>
      <c r="MH27" s="286">
        <f>'Data-temp_employment'!MH27-last_qrtr_tempemp!MI27</f>
        <v>0</v>
      </c>
      <c r="MI27" s="286">
        <f>'Data-temp_employment'!MI27-last_qrtr_tempemp!MJ27</f>
        <v>0</v>
      </c>
      <c r="MJ27" s="286">
        <f>'Data-temp_employment'!MJ27-last_qrtr_tempemp!MK27</f>
        <v>0</v>
      </c>
      <c r="MK27" s="286">
        <f>'Data-temp_employment'!MK27-last_qrtr_tempemp!ML27</f>
        <v>0</v>
      </c>
      <c r="ML27" s="286">
        <f>'Data-temp_employment'!ML27-last_qrtr_tempemp!MM27</f>
        <v>0</v>
      </c>
      <c r="MM27" s="286">
        <f>'Data-temp_employment'!MM27-last_qrtr_tempemp!MN27</f>
        <v>0</v>
      </c>
      <c r="MN27" s="286">
        <f>'Data-temp_employment'!MN27-last_qrtr_tempemp!MO27</f>
        <v>0</v>
      </c>
      <c r="MO27" s="286">
        <f>'Data-temp_employment'!MO27</f>
        <v>0</v>
      </c>
      <c r="MP27" s="303" t="s">
        <v>30</v>
      </c>
      <c r="MQ27" s="286">
        <f>'Data-temp_employment'!MQ27-last_qrtr_tempemp!MR27</f>
        <v>0</v>
      </c>
      <c r="MR27" s="286">
        <f>'Data-temp_employment'!MR27-last_qrtr_tempemp!MS27</f>
        <v>0</v>
      </c>
      <c r="MS27" s="286">
        <f>'Data-temp_employment'!MS27-last_qrtr_tempemp!MT27</f>
        <v>0</v>
      </c>
      <c r="MT27" s="286">
        <f>'Data-temp_employment'!MT27-last_qrtr_tempemp!MU27</f>
        <v>0</v>
      </c>
      <c r="MU27" s="286">
        <f>'Data-temp_employment'!MU27-last_qrtr_tempemp!MV27</f>
        <v>0</v>
      </c>
      <c r="MV27" s="286">
        <f>'Data-temp_employment'!MV27-last_qrtr_tempemp!MW27</f>
        <v>0</v>
      </c>
      <c r="MW27" s="286">
        <f>'Data-temp_employment'!MW27-last_qrtr_tempemp!MX27</f>
        <v>0</v>
      </c>
      <c r="MX27" s="286">
        <f>'Data-temp_employment'!MX27-last_qrtr_tempemp!MY27</f>
        <v>0</v>
      </c>
      <c r="MY27" s="286">
        <f>'Data-temp_employment'!MY27-last_qrtr_tempemp!MZ27</f>
        <v>0</v>
      </c>
      <c r="MZ27" s="286">
        <f>'Data-temp_employment'!MZ27</f>
        <v>0</v>
      </c>
      <c r="NA27" s="303" t="s">
        <v>30</v>
      </c>
      <c r="NB27" s="286">
        <f>'Data-temp_employment'!NB27-last_qrtr_tempemp!NC27</f>
        <v>0</v>
      </c>
      <c r="NC27" s="286">
        <f>'Data-temp_employment'!NC27-last_qrtr_tempemp!ND27</f>
        <v>0</v>
      </c>
      <c r="ND27" s="286">
        <f>'Data-temp_employment'!ND27-last_qrtr_tempemp!NE27</f>
        <v>0</v>
      </c>
      <c r="NE27" s="286">
        <f>'Data-temp_employment'!NE27-last_qrtr_tempemp!NF27</f>
        <v>0</v>
      </c>
      <c r="NF27" s="286">
        <f>'Data-temp_employment'!NF27-last_qrtr_tempemp!NG27</f>
        <v>0</v>
      </c>
      <c r="NG27" s="286">
        <f>'Data-temp_employment'!NG27-last_qrtr_tempemp!NH27</f>
        <v>0</v>
      </c>
      <c r="NH27" s="286">
        <f>'Data-temp_employment'!NH27-last_qrtr_tempemp!NI27</f>
        <v>0</v>
      </c>
      <c r="NI27" s="286">
        <f>'Data-temp_employment'!NI27-last_qrtr_tempemp!NJ27</f>
        <v>0</v>
      </c>
      <c r="NJ27" s="286">
        <f>'Data-temp_employment'!NJ27-last_qrtr_tempemp!NK27</f>
        <v>0</v>
      </c>
      <c r="NK27" s="286">
        <f>'Data-temp_employment'!NK27</f>
        <v>0</v>
      </c>
      <c r="NL27" s="303" t="s">
        <v>30</v>
      </c>
      <c r="NM27" s="286">
        <f>'Data-temp_employment'!NM27-last_qrtr_tempemp!NN27</f>
        <v>0</v>
      </c>
      <c r="NN27" s="286">
        <f>'Data-temp_employment'!NN27-last_qrtr_tempemp!NO27</f>
        <v>0</v>
      </c>
      <c r="NO27" s="286">
        <f>'Data-temp_employment'!NO27-last_qrtr_tempemp!NP27</f>
        <v>0</v>
      </c>
      <c r="NP27" s="286">
        <f>'Data-temp_employment'!NP27-last_qrtr_tempemp!NQ27</f>
        <v>0</v>
      </c>
      <c r="NQ27" s="286">
        <f>'Data-temp_employment'!NQ27-last_qrtr_tempemp!NR27</f>
        <v>0</v>
      </c>
      <c r="NR27" s="286">
        <f>'Data-temp_employment'!NR27-last_qrtr_tempemp!NS27</f>
        <v>0</v>
      </c>
      <c r="NS27" s="286">
        <f>'Data-temp_employment'!NS27-last_qrtr_tempemp!NT27</f>
        <v>0</v>
      </c>
      <c r="NT27" s="286">
        <f>'Data-temp_employment'!NT27-last_qrtr_tempemp!NU27</f>
        <v>0</v>
      </c>
      <c r="NU27" s="286">
        <f>'Data-temp_employment'!NU27-last_qrtr_tempemp!NV27</f>
        <v>0</v>
      </c>
      <c r="NV27" s="286">
        <f>'Data-temp_employment'!NV27</f>
        <v>0</v>
      </c>
      <c r="NW27" s="303" t="s">
        <v>30</v>
      </c>
      <c r="NX27" s="286">
        <f>'Data-temp_employment'!NX27-last_qrtr_tempemp!NY27</f>
        <v>0</v>
      </c>
      <c r="NY27" s="286">
        <f>'Data-temp_employment'!NY27-last_qrtr_tempemp!NZ27</f>
        <v>0</v>
      </c>
      <c r="NZ27" s="286">
        <f>'Data-temp_employment'!NZ27-last_qrtr_tempemp!OA27</f>
        <v>0</v>
      </c>
      <c r="OA27" s="286">
        <f>'Data-temp_employment'!OA27-last_qrtr_tempemp!OB27</f>
        <v>0</v>
      </c>
      <c r="OB27" s="286">
        <f>'Data-temp_employment'!OB27-last_qrtr_tempemp!OC27</f>
        <v>0</v>
      </c>
      <c r="OC27" s="286">
        <f>'Data-temp_employment'!OC27-last_qrtr_tempemp!OD27</f>
        <v>0</v>
      </c>
      <c r="OD27" s="286">
        <f>'Data-temp_employment'!OD27-last_qrtr_tempemp!OE27</f>
        <v>0</v>
      </c>
      <c r="OE27" s="286">
        <f>'Data-temp_employment'!OE27-last_qrtr_tempemp!OF27</f>
        <v>0</v>
      </c>
      <c r="OF27" s="286">
        <f>'Data-temp_employment'!OF27-last_qrtr_tempemp!OG27</f>
        <v>0</v>
      </c>
      <c r="OG27" s="286">
        <f>'Data-temp_employment'!OG27</f>
        <v>0</v>
      </c>
      <c r="OH27" s="287" t="s">
        <v>30</v>
      </c>
      <c r="OI27" s="286"/>
      <c r="OJ27" s="286"/>
      <c r="OK27" s="286"/>
      <c r="OL27" s="286"/>
      <c r="OM27" s="286"/>
      <c r="ON27" s="286"/>
      <c r="OO27" s="286"/>
      <c r="OP27" s="286"/>
      <c r="OQ27" s="286"/>
      <c r="OR27" s="286"/>
      <c r="OS27" s="303" t="s">
        <v>30</v>
      </c>
      <c r="OT27" s="286" t="e">
        <f>'Data-temp_employment'!#REF!-last_qrtr_tempemp!OU27</f>
        <v>#REF!</v>
      </c>
      <c r="OU27" s="286">
        <f>'Data-temp_employment'!OT27-last_qrtr_tempemp!OV27</f>
        <v>0.3</v>
      </c>
      <c r="OV27" s="286">
        <f>'Data-temp_employment'!OU27-last_qrtr_tempemp!OW27</f>
        <v>0.7</v>
      </c>
      <c r="OW27" s="286">
        <f>'Data-temp_employment'!OV27-last_qrtr_tempemp!OX27</f>
        <v>1.1000000000000001</v>
      </c>
      <c r="OX27" s="286">
        <f>'Data-temp_employment'!OW27-last_qrtr_tempemp!OY27</f>
        <v>1.4</v>
      </c>
      <c r="OY27" s="286">
        <f>'Data-temp_employment'!OX27-last_qrtr_tempemp!OZ27</f>
        <v>1.1000000000000001</v>
      </c>
      <c r="OZ27" s="286">
        <f>'Data-temp_employment'!OY27-last_qrtr_tempemp!PA27</f>
        <v>0.8</v>
      </c>
      <c r="PA27" s="286">
        <f>'Data-temp_employment'!OZ27-last_qrtr_tempemp!PB27</f>
        <v>0.6</v>
      </c>
      <c r="PB27" s="286">
        <f>'Data-temp_employment'!PA27-last_qrtr_tempemp!PC27</f>
        <v>1.3</v>
      </c>
      <c r="PC27" s="286">
        <f>'Data-temp_employment'!PB27</f>
        <v>1</v>
      </c>
      <c r="PE27" s="319"/>
      <c r="PF27" s="319"/>
      <c r="PG27" s="319"/>
      <c r="PH27" s="319"/>
      <c r="PI27" s="319"/>
      <c r="PJ27" s="319"/>
      <c r="PK27" s="319"/>
      <c r="PL27" s="319"/>
      <c r="PM27" s="319"/>
      <c r="PN27" s="319"/>
      <c r="PO27" s="319"/>
      <c r="PP27" s="319"/>
      <c r="PQ27" s="319"/>
      <c r="PR27" s="319"/>
      <c r="PS27" s="319"/>
      <c r="PT27" s="319"/>
      <c r="PU27" s="319"/>
      <c r="PV27" s="319"/>
      <c r="PW27" s="319"/>
      <c r="PX27" s="319"/>
      <c r="PY27" s="319"/>
      <c r="PZ27" s="319"/>
      <c r="QA27" s="319"/>
      <c r="QB27" s="319"/>
      <c r="QC27" s="319"/>
      <c r="QD27" s="319"/>
      <c r="QE27" s="319"/>
      <c r="QF27" s="319"/>
      <c r="QG27" s="319"/>
      <c r="QH27" s="319"/>
      <c r="QI27" s="319"/>
      <c r="QJ27" s="319"/>
      <c r="QK27" s="319"/>
      <c r="QL27" s="319"/>
      <c r="QM27" s="319"/>
      <c r="QN27" s="319"/>
      <c r="QO27" s="319"/>
      <c r="QP27" s="319"/>
      <c r="QQ27" s="319"/>
      <c r="QR27" s="319"/>
      <c r="QS27" s="319"/>
      <c r="QT27" s="319"/>
      <c r="QU27" s="319"/>
      <c r="QV27" s="319"/>
      <c r="QW27" s="319"/>
      <c r="QX27" s="319"/>
      <c r="QY27" s="319"/>
      <c r="QZ27" s="319"/>
      <c r="RA27" s="319"/>
      <c r="RB27" s="319"/>
      <c r="RC27" s="319"/>
      <c r="RD27" s="319"/>
      <c r="RE27" s="319"/>
      <c r="RF27" s="319"/>
      <c r="RG27" s="319"/>
      <c r="RH27" s="319"/>
      <c r="RI27" s="319"/>
      <c r="RJ27" s="319"/>
      <c r="RK27" s="319"/>
      <c r="RL27" s="319"/>
      <c r="RM27" s="319"/>
      <c r="RN27" s="319"/>
      <c r="RO27" s="319"/>
      <c r="RP27" s="319"/>
      <c r="RQ27" s="318"/>
    </row>
    <row r="28" spans="1:485" s="272" customFormat="1">
      <c r="A28" s="269">
        <v>25</v>
      </c>
      <c r="B28" s="303" t="s">
        <v>31</v>
      </c>
      <c r="C28" s="286">
        <f>'Data-temp_employment'!C28-last_qrtr_tempemp!D28</f>
        <v>-1.5</v>
      </c>
      <c r="D28" s="286">
        <f>'Data-temp_employment'!D28-last_qrtr_tempemp!E28</f>
        <v>-3.5999999999999996</v>
      </c>
      <c r="E28" s="286">
        <f>'Data-temp_employment'!E28-last_qrtr_tempemp!F28</f>
        <v>-0.59999999999999964</v>
      </c>
      <c r="F28" s="286">
        <f>'Data-temp_employment'!F28-last_qrtr_tempemp!G28</f>
        <v>0.90000000000000036</v>
      </c>
      <c r="G28" s="286">
        <f>'Data-temp_employment'!G28-last_qrtr_tempemp!H28</f>
        <v>0.70000000000000107</v>
      </c>
      <c r="H28" s="286">
        <f>'Data-temp_employment'!H28-last_qrtr_tempemp!I28</f>
        <v>-0.20000000000000107</v>
      </c>
      <c r="I28" s="286">
        <f>'Data-temp_employment'!I28-last_qrtr_tempemp!J28</f>
        <v>-0.30000000000000071</v>
      </c>
      <c r="J28" s="286">
        <f>'Data-temp_employment'!J28-last_qrtr_tempemp!K28</f>
        <v>0</v>
      </c>
      <c r="K28" s="286">
        <f>'Data-temp_employment'!K28-last_qrtr_tempemp!L28</f>
        <v>0.30000000000000071</v>
      </c>
      <c r="L28" s="286">
        <f>'Data-temp_employment'!L28</f>
        <v>9.3000000000000007</v>
      </c>
      <c r="M28" s="303" t="s">
        <v>31</v>
      </c>
      <c r="N28" s="286">
        <f>'Data-temp_employment'!N28-last_qrtr_tempemp!O28</f>
        <v>-3.4000000000000021</v>
      </c>
      <c r="O28" s="286">
        <f>'Data-temp_employment'!O28-last_qrtr_tempemp!P28</f>
        <v>-7.8999999999999986</v>
      </c>
      <c r="P28" s="286">
        <f>'Data-temp_employment'!P28-last_qrtr_tempemp!Q28</f>
        <v>-1.3000000000000007</v>
      </c>
      <c r="Q28" s="286">
        <f>'Data-temp_employment'!Q28-last_qrtr_tempemp!R28</f>
        <v>2.1999999999999993</v>
      </c>
      <c r="R28" s="286">
        <f>'Data-temp_employment'!R28-last_qrtr_tempemp!S28</f>
        <v>2.6999999999999993</v>
      </c>
      <c r="S28" s="286">
        <f>'Data-temp_employment'!S28-last_qrtr_tempemp!T28</f>
        <v>0.60000000000000142</v>
      </c>
      <c r="T28" s="286">
        <f>'Data-temp_employment'!T28-last_qrtr_tempemp!U28</f>
        <v>0.20000000000000284</v>
      </c>
      <c r="U28" s="286">
        <f>'Data-temp_employment'!U28-last_qrtr_tempemp!V28</f>
        <v>0.10000000000000142</v>
      </c>
      <c r="V28" s="286">
        <f>'Data-temp_employment'!V28-last_qrtr_tempemp!W28</f>
        <v>1.8000000000000007</v>
      </c>
      <c r="W28" s="286">
        <f>'Data-temp_employment'!W28</f>
        <v>23.3</v>
      </c>
      <c r="X28" s="303" t="s">
        <v>31</v>
      </c>
      <c r="Y28" s="286">
        <f>'Data-temp_employment'!Y28-last_qrtr_tempemp!Z28</f>
        <v>0</v>
      </c>
      <c r="Z28" s="286">
        <f>'Data-temp_employment'!Z28-last_qrtr_tempemp!AA28</f>
        <v>0</v>
      </c>
      <c r="AA28" s="286">
        <f>'Data-temp_employment'!AA28-last_qrtr_tempemp!AB28</f>
        <v>0</v>
      </c>
      <c r="AB28" s="286">
        <f>'Data-temp_employment'!AB28-last_qrtr_tempemp!AC28</f>
        <v>0</v>
      </c>
      <c r="AC28" s="286">
        <f>'Data-temp_employment'!AC28-last_qrtr_tempemp!AD28</f>
        <v>0</v>
      </c>
      <c r="AD28" s="286">
        <f>'Data-temp_employment'!AD28-last_qrtr_tempemp!AE28</f>
        <v>0</v>
      </c>
      <c r="AE28" s="286">
        <f>'Data-temp_employment'!AE28-last_qrtr_tempemp!AF28</f>
        <v>0</v>
      </c>
      <c r="AF28" s="286">
        <f>'Data-temp_employment'!AF28-last_qrtr_tempemp!AG28</f>
        <v>0</v>
      </c>
      <c r="AG28" s="286">
        <f>'Data-temp_employment'!AG28-last_qrtr_tempemp!AH28</f>
        <v>0</v>
      </c>
      <c r="AH28" s="286">
        <f>'Data-temp_employment'!AH28</f>
        <v>0</v>
      </c>
      <c r="AI28" s="303" t="s">
        <v>31</v>
      </c>
      <c r="AJ28" s="286">
        <f>'Data-temp_employment'!AJ28-last_qrtr_tempemp!AK28</f>
        <v>0</v>
      </c>
      <c r="AK28" s="286">
        <f>'Data-temp_employment'!AK28-last_qrtr_tempemp!AL28</f>
        <v>0</v>
      </c>
      <c r="AL28" s="286">
        <f>'Data-temp_employment'!AL28-last_qrtr_tempemp!AM28</f>
        <v>0</v>
      </c>
      <c r="AM28" s="286">
        <f>'Data-temp_employment'!AM28-last_qrtr_tempemp!AN28</f>
        <v>0</v>
      </c>
      <c r="AN28" s="286">
        <f>'Data-temp_employment'!AN28-last_qrtr_tempemp!AO28</f>
        <v>0</v>
      </c>
      <c r="AO28" s="286">
        <f>'Data-temp_employment'!AO28-last_qrtr_tempemp!AP28</f>
        <v>0</v>
      </c>
      <c r="AP28" s="286">
        <f>'Data-temp_employment'!AP28-last_qrtr_tempemp!AQ28</f>
        <v>0</v>
      </c>
      <c r="AQ28" s="286">
        <f>'Data-temp_employment'!AQ28-last_qrtr_tempemp!AR28</f>
        <v>0</v>
      </c>
      <c r="AR28" s="286">
        <f>'Data-temp_employment'!AR28-last_qrtr_tempemp!AS28</f>
        <v>0</v>
      </c>
      <c r="AS28" s="286">
        <f>'Data-temp_employment'!AS28</f>
        <v>0</v>
      </c>
      <c r="AT28" s="303" t="s">
        <v>31</v>
      </c>
      <c r="AU28" s="286">
        <f>'Data-temp_employment'!AU28-last_qrtr_tempemp!AV28</f>
        <v>0.30000000000000027</v>
      </c>
      <c r="AV28" s="286">
        <f>'Data-temp_employment'!AV28-last_qrtr_tempemp!AW28</f>
        <v>-0.69999999999999973</v>
      </c>
      <c r="AW28" s="286">
        <f>'Data-temp_employment'!AW28-last_qrtr_tempemp!AX28</f>
        <v>0.60000000000000009</v>
      </c>
      <c r="AX28" s="286">
        <f>'Data-temp_employment'!AX28-last_qrtr_tempemp!AY28</f>
        <v>0.29999999999999982</v>
      </c>
      <c r="AY28" s="286">
        <f>'Data-temp_employment'!AY28-last_qrtr_tempemp!AZ28</f>
        <v>0</v>
      </c>
      <c r="AZ28" s="286">
        <f>'Data-temp_employment'!AZ28-last_qrtr_tempemp!BA28</f>
        <v>0</v>
      </c>
      <c r="BA28" s="286">
        <f>'Data-temp_employment'!BA28-last_qrtr_tempemp!BB28</f>
        <v>-1.2000000000000002</v>
      </c>
      <c r="BB28" s="286">
        <f>'Data-temp_employment'!BB28-last_qrtr_tempemp!BC28</f>
        <v>-0.39999999999999991</v>
      </c>
      <c r="BC28" s="286">
        <f>'Data-temp_employment'!BC28-last_qrtr_tempemp!BD28</f>
        <v>-0.10000000000000009</v>
      </c>
      <c r="BD28" s="286">
        <f>'Data-temp_employment'!BD28</f>
        <v>3.3</v>
      </c>
      <c r="BE28" s="303" t="s">
        <v>31</v>
      </c>
      <c r="BF28" s="286">
        <f>'Data-temp_employment'!BF28-last_qrtr_tempemp!BG28</f>
        <v>-0.80000000000000071</v>
      </c>
      <c r="BG28" s="286">
        <f>'Data-temp_employment'!BG28-last_qrtr_tempemp!BH28</f>
        <v>-1.2999999999999998</v>
      </c>
      <c r="BH28" s="286">
        <f>'Data-temp_employment'!BH28-last_qrtr_tempemp!BI28</f>
        <v>-2.1000000000000005</v>
      </c>
      <c r="BI28" s="286">
        <f>'Data-temp_employment'!BI28-last_qrtr_tempemp!BJ28</f>
        <v>0.70000000000000018</v>
      </c>
      <c r="BJ28" s="286">
        <f>'Data-temp_employment'!BJ28-last_qrtr_tempemp!BK28</f>
        <v>1.2000000000000002</v>
      </c>
      <c r="BK28" s="286">
        <f>'Data-temp_employment'!BK28-last_qrtr_tempemp!BL28</f>
        <v>1.1000000000000005</v>
      </c>
      <c r="BL28" s="286">
        <f>'Data-temp_employment'!BL28-last_qrtr_tempemp!BM28</f>
        <v>-1.2000000000000002</v>
      </c>
      <c r="BM28" s="286">
        <f>'Data-temp_employment'!BM28-last_qrtr_tempemp!BN28</f>
        <v>-1.5999999999999996</v>
      </c>
      <c r="BN28" s="286">
        <f>'Data-temp_employment'!BN28-last_qrtr_tempemp!BO28</f>
        <v>-1.7000000000000002</v>
      </c>
      <c r="BO28" s="286">
        <f>'Data-temp_employment'!BO28</f>
        <v>6</v>
      </c>
      <c r="BP28" s="303" t="s">
        <v>31</v>
      </c>
      <c r="BQ28" s="286">
        <f>'Data-temp_employment'!BQ28-last_qrtr_tempemp!BR28</f>
        <v>-2.2000000000000002</v>
      </c>
      <c r="BR28" s="286">
        <f>'Data-temp_employment'!BR28-last_qrtr_tempemp!BS28</f>
        <v>0</v>
      </c>
      <c r="BS28" s="286">
        <f>'Data-temp_employment'!BS28-last_qrtr_tempemp!BT28</f>
        <v>2.2000000000000002</v>
      </c>
      <c r="BT28" s="286">
        <f>'Data-temp_employment'!BT28-last_qrtr_tempemp!BU28</f>
        <v>2</v>
      </c>
      <c r="BU28" s="286">
        <f>'Data-temp_employment'!BU28-last_qrtr_tempemp!BV28</f>
        <v>-2.2000000000000002</v>
      </c>
      <c r="BV28" s="286">
        <f>'Data-temp_employment'!BV28-last_qrtr_tempemp!BW28</f>
        <v>9.9999999999999645E-2</v>
      </c>
      <c r="BW28" s="286">
        <f>'Data-temp_employment'!BW28-last_qrtr_tempemp!BX28</f>
        <v>1.2999999999999998</v>
      </c>
      <c r="BX28" s="286">
        <f>'Data-temp_employment'!BX28-last_qrtr_tempemp!BY28</f>
        <v>0</v>
      </c>
      <c r="BY28" s="286">
        <f>'Data-temp_employment'!BY28-last_qrtr_tempemp!BZ28</f>
        <v>0.40000000000000036</v>
      </c>
      <c r="BZ28" s="286">
        <f>'Data-temp_employment'!BZ28</f>
        <v>3.4</v>
      </c>
      <c r="CA28" s="303" t="s">
        <v>31</v>
      </c>
      <c r="CB28" s="286">
        <f>'Data-temp_employment'!CB28-last_qrtr_tempemp!CC28</f>
        <v>-0.59999999999999964</v>
      </c>
      <c r="CC28" s="286">
        <f>'Data-temp_employment'!CC28-last_qrtr_tempemp!CD28</f>
        <v>0.20000000000000018</v>
      </c>
      <c r="CD28" s="286">
        <f>'Data-temp_employment'!CD28-last_qrtr_tempemp!CE28</f>
        <v>-1.4999999999999991</v>
      </c>
      <c r="CE28" s="286">
        <f>'Data-temp_employment'!CE28-last_qrtr_tempemp!CF28</f>
        <v>0.70000000000000018</v>
      </c>
      <c r="CF28" s="286">
        <f>'Data-temp_employment'!CF28-last_qrtr_tempemp!CG28</f>
        <v>0.89999999999999947</v>
      </c>
      <c r="CG28" s="286">
        <f>'Data-temp_employment'!CG28-last_qrtr_tempemp!CH28</f>
        <v>1.3999999999999995</v>
      </c>
      <c r="CH28" s="286">
        <f>'Data-temp_employment'!CH28-last_qrtr_tempemp!CI28</f>
        <v>-0.99999999999999911</v>
      </c>
      <c r="CI28" s="286">
        <f>'Data-temp_employment'!CI28-last_qrtr_tempemp!CJ28</f>
        <v>0</v>
      </c>
      <c r="CJ28" s="286">
        <f>'Data-temp_employment'!CJ28-last_qrtr_tempemp!CK28</f>
        <v>1.7000000000000002</v>
      </c>
      <c r="CK28" s="286">
        <f>'Data-temp_employment'!CK28</f>
        <v>3.9</v>
      </c>
      <c r="CL28" s="303" t="s">
        <v>31</v>
      </c>
      <c r="CM28" s="286">
        <f>'Data-temp_employment'!CM28-last_qrtr_tempemp!CN28</f>
        <v>-2.2999999999999998</v>
      </c>
      <c r="CN28" s="286">
        <f>'Data-temp_employment'!CN28-last_qrtr_tempemp!CO28</f>
        <v>-4.8000000000000007</v>
      </c>
      <c r="CO28" s="286">
        <f>'Data-temp_employment'!CO28-last_qrtr_tempemp!CP28</f>
        <v>0.20000000000000018</v>
      </c>
      <c r="CP28" s="286">
        <f>'Data-temp_employment'!CP28-last_qrtr_tempemp!CQ28</f>
        <v>0.69999999999999929</v>
      </c>
      <c r="CQ28" s="286">
        <f>'Data-temp_employment'!CQ28-last_qrtr_tempemp!CR28</f>
        <v>-0.19999999999999973</v>
      </c>
      <c r="CR28" s="286">
        <f>'Data-temp_employment'!CR28-last_qrtr_tempemp!CS28</f>
        <v>0.20000000000000018</v>
      </c>
      <c r="CS28" s="286">
        <f>'Data-temp_employment'!CS28-last_qrtr_tempemp!CT28</f>
        <v>1.1000000000000005</v>
      </c>
      <c r="CT28" s="286">
        <f>'Data-temp_employment'!CT28-last_qrtr_tempemp!CU28</f>
        <v>0.30000000000000027</v>
      </c>
      <c r="CU28" s="286">
        <f>'Data-temp_employment'!CU28-last_qrtr_tempemp!CV28</f>
        <v>-0.5</v>
      </c>
      <c r="CV28" s="286">
        <f>'Data-temp_employment'!CV28</f>
        <v>6.1</v>
      </c>
      <c r="CW28" s="303" t="s">
        <v>31</v>
      </c>
      <c r="CX28" s="286">
        <f>'Data-temp_employment'!CX28-last_qrtr_tempemp!CY28</f>
        <v>-0.90000000000000036</v>
      </c>
      <c r="CY28" s="286">
        <f>'Data-temp_employment'!CY28-last_qrtr_tempemp!CZ28</f>
        <v>-2.4000000000000004</v>
      </c>
      <c r="CZ28" s="286">
        <f>'Data-temp_employment'!CZ28-last_qrtr_tempemp!DA28</f>
        <v>1.5</v>
      </c>
      <c r="DA28" s="286">
        <f>'Data-temp_employment'!DA28-last_qrtr_tempemp!DB28</f>
        <v>0.20000000000000018</v>
      </c>
      <c r="DB28" s="286">
        <f>'Data-temp_employment'!DB28-last_qrtr_tempemp!DC28</f>
        <v>0.40000000000000036</v>
      </c>
      <c r="DC28" s="286">
        <f>'Data-temp_employment'!DC28-last_qrtr_tempemp!DD28</f>
        <v>-1.7999999999999998</v>
      </c>
      <c r="DD28" s="286">
        <f>'Data-temp_employment'!DD28-last_qrtr_tempemp!DE28</f>
        <v>0</v>
      </c>
      <c r="DE28" s="286">
        <f>'Data-temp_employment'!DE28-last_qrtr_tempemp!DF28</f>
        <v>-1</v>
      </c>
      <c r="DF28" s="286">
        <f>'Data-temp_employment'!DF28-last_qrtr_tempemp!DG28</f>
        <v>-0.29999999999999982</v>
      </c>
      <c r="DG28" s="286">
        <f>'Data-temp_employment'!DG28</f>
        <v>6.1</v>
      </c>
      <c r="DH28" s="303" t="s">
        <v>31</v>
      </c>
      <c r="DI28" s="286">
        <f>'Data-temp_employment'!DI28-last_qrtr_tempemp!DJ28</f>
        <v>-1.5</v>
      </c>
      <c r="DJ28" s="286">
        <f>'Data-temp_employment'!DJ28-last_qrtr_tempemp!DK28</f>
        <v>-0.40000000000000036</v>
      </c>
      <c r="DK28" s="286">
        <f>'Data-temp_employment'!DK28-last_qrtr_tempemp!DL28</f>
        <v>-3.8</v>
      </c>
      <c r="DL28" s="286">
        <f>'Data-temp_employment'!DL28-last_qrtr_tempemp!DM28</f>
        <v>0.39999999999999858</v>
      </c>
      <c r="DM28" s="286">
        <f>'Data-temp_employment'!DM28-last_qrtr_tempemp!DN28</f>
        <v>1</v>
      </c>
      <c r="DN28" s="286">
        <f>'Data-temp_employment'!DN28-last_qrtr_tempemp!DO28</f>
        <v>-0.39999999999999947</v>
      </c>
      <c r="DO28" s="286">
        <f>'Data-temp_employment'!DO28-last_qrtr_tempemp!DP28</f>
        <v>-1.0999999999999996</v>
      </c>
      <c r="DP28" s="286">
        <f>'Data-temp_employment'!DP28-last_qrtr_tempemp!DQ28</f>
        <v>-0.69999999999999929</v>
      </c>
      <c r="DQ28" s="286">
        <f>'Data-temp_employment'!DQ28-last_qrtr_tempemp!DR28</f>
        <v>1.9000000000000004</v>
      </c>
      <c r="DR28" s="286">
        <f>'Data-temp_employment'!DR28</f>
        <v>9.9</v>
      </c>
      <c r="DS28" s="303" t="s">
        <v>31</v>
      </c>
      <c r="DT28" s="286">
        <f>'Data-temp_employment'!DT28-last_qrtr_tempemp!DU28</f>
        <v>0</v>
      </c>
      <c r="DU28" s="286">
        <f>'Data-temp_employment'!DU28-last_qrtr_tempemp!DV28</f>
        <v>0</v>
      </c>
      <c r="DV28" s="286">
        <f>'Data-temp_employment'!DV28-last_qrtr_tempemp!DW28</f>
        <v>0</v>
      </c>
      <c r="DW28" s="286">
        <f>'Data-temp_employment'!DW28-last_qrtr_tempemp!DX28</f>
        <v>2.7</v>
      </c>
      <c r="DX28" s="286">
        <f>'Data-temp_employment'!DX28-last_qrtr_tempemp!DY28</f>
        <v>2.4</v>
      </c>
      <c r="DY28" s="286">
        <f>'Data-temp_employment'!DY28-last_qrtr_tempemp!DZ28</f>
        <v>4</v>
      </c>
      <c r="DZ28" s="286">
        <f>'Data-temp_employment'!DZ28-last_qrtr_tempemp!EA28</f>
        <v>0.29999999999999982</v>
      </c>
      <c r="EA28" s="286">
        <f>'Data-temp_employment'!EA28-last_qrtr_tempemp!EB28</f>
        <v>1.6</v>
      </c>
      <c r="EB28" s="286">
        <f>'Data-temp_employment'!EB28-last_qrtr_tempemp!EC28</f>
        <v>0.79999999999999982</v>
      </c>
      <c r="EC28" s="286">
        <f>'Data-temp_employment'!EC28</f>
        <v>0</v>
      </c>
      <c r="ED28" s="303" t="s">
        <v>31</v>
      </c>
      <c r="EE28" s="286">
        <f>'Data-temp_employment'!EE28-last_qrtr_tempemp!EF28</f>
        <v>0</v>
      </c>
      <c r="EF28" s="286">
        <f>'Data-temp_employment'!EF28-last_qrtr_tempemp!EG28</f>
        <v>0</v>
      </c>
      <c r="EG28" s="286">
        <f>'Data-temp_employment'!EG28-last_qrtr_tempemp!EH28</f>
        <v>0</v>
      </c>
      <c r="EH28" s="286">
        <f>'Data-temp_employment'!EH28-last_qrtr_tempemp!EI28</f>
        <v>0</v>
      </c>
      <c r="EI28" s="286">
        <f>'Data-temp_employment'!EI28-last_qrtr_tempemp!EJ28</f>
        <v>0</v>
      </c>
      <c r="EJ28" s="286">
        <f>'Data-temp_employment'!EJ28-last_qrtr_tempemp!EK28</f>
        <v>0</v>
      </c>
      <c r="EK28" s="286">
        <f>'Data-temp_employment'!EK28-last_qrtr_tempemp!EL28</f>
        <v>0</v>
      </c>
      <c r="EL28" s="286">
        <f>'Data-temp_employment'!EL28-last_qrtr_tempemp!EM28</f>
        <v>0</v>
      </c>
      <c r="EM28" s="286">
        <f>'Data-temp_employment'!EM28-last_qrtr_tempemp!EN28</f>
        <v>0</v>
      </c>
      <c r="EN28" s="286">
        <f>'Data-temp_employment'!EN28</f>
        <v>0</v>
      </c>
      <c r="EO28" s="303" t="s">
        <v>31</v>
      </c>
      <c r="EP28" s="286">
        <f>'Data-temp_employment'!EP28-last_qrtr_tempemp!EQ28</f>
        <v>-1.4999999999999991</v>
      </c>
      <c r="EQ28" s="286">
        <f>'Data-temp_employment'!EQ28-last_qrtr_tempemp!ER28</f>
        <v>-0.39999999999999947</v>
      </c>
      <c r="ER28" s="286">
        <f>'Data-temp_employment'!ER28-last_qrtr_tempemp!ES28</f>
        <v>-1.6999999999999993</v>
      </c>
      <c r="ES28" s="286">
        <f>'Data-temp_employment'!ES28-last_qrtr_tempemp!ET28</f>
        <v>0.59999999999999964</v>
      </c>
      <c r="ET28" s="286">
        <f>'Data-temp_employment'!ET28-last_qrtr_tempemp!EU28</f>
        <v>1.6999999999999993</v>
      </c>
      <c r="EU28" s="286">
        <f>'Data-temp_employment'!EU28-last_qrtr_tempemp!EV28</f>
        <v>0.29999999999999982</v>
      </c>
      <c r="EV28" s="286">
        <f>'Data-temp_employment'!EV28-last_qrtr_tempemp!EW28</f>
        <v>-0.59999999999999964</v>
      </c>
      <c r="EW28" s="286">
        <f>'Data-temp_employment'!EW28-last_qrtr_tempemp!EX28</f>
        <v>-0.39999999999999947</v>
      </c>
      <c r="EX28" s="286">
        <f>'Data-temp_employment'!EX28-last_qrtr_tempemp!EY28</f>
        <v>2.7</v>
      </c>
      <c r="EY28" s="286">
        <f>'Data-temp_employment'!EY28</f>
        <v>8.4</v>
      </c>
      <c r="EZ28" s="303" t="s">
        <v>31</v>
      </c>
      <c r="FA28" s="286">
        <f>'Data-temp_employment'!FA28-last_qrtr_tempemp!FB28</f>
        <v>-2.7</v>
      </c>
      <c r="FB28" s="286">
        <f>'Data-temp_employment'!FB28-last_qrtr_tempemp!FC28</f>
        <v>-1.2000000000000002</v>
      </c>
      <c r="FC28" s="286">
        <f>'Data-temp_employment'!FC28-last_qrtr_tempemp!FD28</f>
        <v>-0.60000000000000009</v>
      </c>
      <c r="FD28" s="286">
        <f>'Data-temp_employment'!FD28-last_qrtr_tempemp!FE28</f>
        <v>0</v>
      </c>
      <c r="FE28" s="286">
        <f>'Data-temp_employment'!FE28-last_qrtr_tempemp!FF28</f>
        <v>0.39999999999999991</v>
      </c>
      <c r="FF28" s="286">
        <f>'Data-temp_employment'!FF28-last_qrtr_tempemp!FG28</f>
        <v>-0.29999999999999982</v>
      </c>
      <c r="FG28" s="286">
        <f>'Data-temp_employment'!FG28-last_qrtr_tempemp!FH28</f>
        <v>2.1</v>
      </c>
      <c r="FH28" s="286">
        <f>'Data-temp_employment'!FH28-last_qrtr_tempemp!FI28</f>
        <v>0.30000000000000027</v>
      </c>
      <c r="FI28" s="286">
        <f>'Data-temp_employment'!FI28-last_qrtr_tempemp!FJ28</f>
        <v>-0.30000000000000027</v>
      </c>
      <c r="FJ28" s="286">
        <f>'Data-temp_employment'!FJ28</f>
        <v>0</v>
      </c>
      <c r="FK28" s="303" t="s">
        <v>31</v>
      </c>
      <c r="FL28" s="286">
        <f>'Data-temp_employment'!FL28-last_qrtr_tempemp!FM28</f>
        <v>2.2000000000000002</v>
      </c>
      <c r="FM28" s="286">
        <f>'Data-temp_employment'!FM28-last_qrtr_tempemp!FN28</f>
        <v>0</v>
      </c>
      <c r="FN28" s="286">
        <f>'Data-temp_employment'!FN28-last_qrtr_tempemp!FO28</f>
        <v>2.2999999999999998</v>
      </c>
      <c r="FO28" s="286">
        <f>'Data-temp_employment'!FO28-last_qrtr_tempemp!FP28</f>
        <v>0</v>
      </c>
      <c r="FP28" s="286">
        <f>'Data-temp_employment'!FP28-last_qrtr_tempemp!FQ28</f>
        <v>2.1</v>
      </c>
      <c r="FQ28" s="286">
        <f>'Data-temp_employment'!FQ28-last_qrtr_tempemp!FR28</f>
        <v>2</v>
      </c>
      <c r="FR28" s="286">
        <f>'Data-temp_employment'!FR28-last_qrtr_tempemp!FS28</f>
        <v>2.9</v>
      </c>
      <c r="FS28" s="286">
        <f>'Data-temp_employment'!FS28-last_qrtr_tempemp!FT28</f>
        <v>0</v>
      </c>
      <c r="FT28" s="286">
        <f>'Data-temp_employment'!FT28-last_qrtr_tempemp!FU28</f>
        <v>0</v>
      </c>
      <c r="FU28" s="286">
        <f>'Data-temp_employment'!FU28</f>
        <v>0</v>
      </c>
      <c r="FV28" s="303" t="s">
        <v>31</v>
      </c>
      <c r="FW28" s="286">
        <f>'Data-temp_employment'!FW28-last_qrtr_tempemp!FX28</f>
        <v>-0.20000000000000018</v>
      </c>
      <c r="FX28" s="286">
        <f>'Data-temp_employment'!FX28-last_qrtr_tempemp!FY28</f>
        <v>0.39999999999999991</v>
      </c>
      <c r="FY28" s="286">
        <f>'Data-temp_employment'!FY28-last_qrtr_tempemp!FZ28</f>
        <v>1.6</v>
      </c>
      <c r="FZ28" s="286">
        <f>'Data-temp_employment'!FZ28-last_qrtr_tempemp!GA28</f>
        <v>0.90000000000000036</v>
      </c>
      <c r="GA28" s="286">
        <f>'Data-temp_employment'!GA28-last_qrtr_tempemp!GB28</f>
        <v>-0.39999999999999991</v>
      </c>
      <c r="GB28" s="286">
        <f>'Data-temp_employment'!GB28-last_qrtr_tempemp!GC28</f>
        <v>-1.2000000000000002</v>
      </c>
      <c r="GC28" s="286">
        <f>'Data-temp_employment'!GC28-last_qrtr_tempemp!GD28</f>
        <v>-1.3000000000000003</v>
      </c>
      <c r="GD28" s="286">
        <f>'Data-temp_employment'!GD28-last_qrtr_tempemp!GE28</f>
        <v>-0.19999999999999973</v>
      </c>
      <c r="GE28" s="286">
        <f>'Data-temp_employment'!GE28-last_qrtr_tempemp!GF28</f>
        <v>0.5</v>
      </c>
      <c r="GF28" s="286">
        <f>'Data-temp_employment'!GF28</f>
        <v>4.5</v>
      </c>
      <c r="GG28" s="303" t="s">
        <v>31</v>
      </c>
      <c r="GH28" s="286">
        <f>'Data-temp_employment'!GH28-last_qrtr_tempemp!GI28</f>
        <v>0</v>
      </c>
      <c r="GI28" s="286">
        <f>'Data-temp_employment'!GI28-last_qrtr_tempemp!GJ28</f>
        <v>0</v>
      </c>
      <c r="GJ28" s="286">
        <f>'Data-temp_employment'!GJ28-last_qrtr_tempemp!GK28</f>
        <v>0</v>
      </c>
      <c r="GK28" s="286">
        <f>'Data-temp_employment'!GK28-last_qrtr_tempemp!GL28</f>
        <v>0</v>
      </c>
      <c r="GL28" s="286">
        <f>'Data-temp_employment'!GL28-last_qrtr_tempemp!GM28</f>
        <v>0</v>
      </c>
      <c r="GM28" s="286">
        <f>'Data-temp_employment'!GM28-last_qrtr_tempemp!GN28</f>
        <v>0</v>
      </c>
      <c r="GN28" s="286">
        <f>'Data-temp_employment'!GN28-last_qrtr_tempemp!GO28</f>
        <v>0</v>
      </c>
      <c r="GO28" s="286">
        <f>'Data-temp_employment'!GO28-last_qrtr_tempemp!GP28</f>
        <v>0</v>
      </c>
      <c r="GP28" s="286">
        <f>'Data-temp_employment'!GP28-last_qrtr_tempemp!GQ28</f>
        <v>0</v>
      </c>
      <c r="GQ28" s="286">
        <f>'Data-temp_employment'!GQ28</f>
        <v>0</v>
      </c>
      <c r="GR28" s="303" t="s">
        <v>31</v>
      </c>
      <c r="GS28" s="286">
        <f>'Data-temp_employment'!GS28-last_qrtr_tempemp!GT28</f>
        <v>0</v>
      </c>
      <c r="GT28" s="286">
        <f>'Data-temp_employment'!GT28-last_qrtr_tempemp!GU28</f>
        <v>0</v>
      </c>
      <c r="GU28" s="286">
        <f>'Data-temp_employment'!GU28-last_qrtr_tempemp!GV28</f>
        <v>0</v>
      </c>
      <c r="GV28" s="286">
        <f>'Data-temp_employment'!GV28-last_qrtr_tempemp!GW28</f>
        <v>0</v>
      </c>
      <c r="GW28" s="286">
        <f>'Data-temp_employment'!GW28-last_qrtr_tempemp!GX28</f>
        <v>0</v>
      </c>
      <c r="GX28" s="286">
        <f>'Data-temp_employment'!GX28-last_qrtr_tempemp!GY28</f>
        <v>0</v>
      </c>
      <c r="GY28" s="286">
        <f>'Data-temp_employment'!GY28-last_qrtr_tempemp!GZ28</f>
        <v>0</v>
      </c>
      <c r="GZ28" s="286">
        <f>'Data-temp_employment'!GZ28-last_qrtr_tempemp!HA28</f>
        <v>0</v>
      </c>
      <c r="HA28" s="286">
        <f>'Data-temp_employment'!HA28-last_qrtr_tempemp!HB28</f>
        <v>0</v>
      </c>
      <c r="HB28" s="286">
        <f>'Data-temp_employment'!HB28</f>
        <v>0</v>
      </c>
      <c r="HC28" s="303" t="s">
        <v>31</v>
      </c>
      <c r="HD28" s="286">
        <f>'Data-temp_employment'!HD28-last_qrtr_tempemp!HE28</f>
        <v>0</v>
      </c>
      <c r="HE28" s="286">
        <f>'Data-temp_employment'!HE28-last_qrtr_tempemp!HF28</f>
        <v>0</v>
      </c>
      <c r="HF28" s="286">
        <f>'Data-temp_employment'!HF28-last_qrtr_tempemp!HG28</f>
        <v>0</v>
      </c>
      <c r="HG28" s="286">
        <f>'Data-temp_employment'!HG28-last_qrtr_tempemp!HH28</f>
        <v>0</v>
      </c>
      <c r="HH28" s="286">
        <f>'Data-temp_employment'!HH28-last_qrtr_tempemp!HI28</f>
        <v>0</v>
      </c>
      <c r="HI28" s="286">
        <f>'Data-temp_employment'!HI28-last_qrtr_tempemp!HJ28</f>
        <v>0</v>
      </c>
      <c r="HJ28" s="286">
        <f>'Data-temp_employment'!HJ28-last_qrtr_tempemp!HK28</f>
        <v>0</v>
      </c>
      <c r="HK28" s="286">
        <f>'Data-temp_employment'!HK28-last_qrtr_tempemp!HL28</f>
        <v>0</v>
      </c>
      <c r="HL28" s="286">
        <f>'Data-temp_employment'!HL28-last_qrtr_tempemp!HM28</f>
        <v>0</v>
      </c>
      <c r="HM28" s="286">
        <f>'Data-temp_employment'!HM28</f>
        <v>0</v>
      </c>
      <c r="HN28" s="303" t="s">
        <v>31</v>
      </c>
      <c r="HO28" s="286">
        <f>'Data-temp_employment'!HO28-last_qrtr_tempemp!HP28</f>
        <v>-0.10000000000000009</v>
      </c>
      <c r="HP28" s="286">
        <f>'Data-temp_employment'!HP28-last_qrtr_tempemp!HQ28</f>
        <v>-1.8999999999999995</v>
      </c>
      <c r="HQ28" s="286">
        <f>'Data-temp_employment'!HQ28-last_qrtr_tempemp!HR28</f>
        <v>0.40000000000000036</v>
      </c>
      <c r="HR28" s="286">
        <f>'Data-temp_employment'!HR28-last_qrtr_tempemp!HS28</f>
        <v>0.80000000000000027</v>
      </c>
      <c r="HS28" s="286">
        <f>'Data-temp_employment'!HS28-last_qrtr_tempemp!HT28</f>
        <v>-0.40000000000000036</v>
      </c>
      <c r="HT28" s="286">
        <f>'Data-temp_employment'!HT28-last_qrtr_tempemp!HU28</f>
        <v>0.5</v>
      </c>
      <c r="HU28" s="286">
        <f>'Data-temp_employment'!HU28-last_qrtr_tempemp!HV28</f>
        <v>0.5</v>
      </c>
      <c r="HV28" s="286">
        <f>'Data-temp_employment'!HV28-last_qrtr_tempemp!HW28</f>
        <v>0.70000000000000018</v>
      </c>
      <c r="HW28" s="286">
        <f>'Data-temp_employment'!HW28-last_qrtr_tempemp!HX28</f>
        <v>-0.30000000000000027</v>
      </c>
      <c r="HX28" s="286">
        <f>'Data-temp_employment'!HX28</f>
        <v>2.4</v>
      </c>
      <c r="HY28" s="303" t="s">
        <v>31</v>
      </c>
      <c r="HZ28" s="286">
        <f>'Data-temp_employment'!HZ28-last_qrtr_tempemp!IA28</f>
        <v>0</v>
      </c>
      <c r="IA28" s="286">
        <f>'Data-temp_employment'!IA28-last_qrtr_tempemp!IB28</f>
        <v>0</v>
      </c>
      <c r="IB28" s="286">
        <f>'Data-temp_employment'!IB28-last_qrtr_tempemp!IC28</f>
        <v>0</v>
      </c>
      <c r="IC28" s="286">
        <f>'Data-temp_employment'!IC28-last_qrtr_tempemp!ID28</f>
        <v>0</v>
      </c>
      <c r="ID28" s="286">
        <f>'Data-temp_employment'!ID28-last_qrtr_tempemp!IE28</f>
        <v>0</v>
      </c>
      <c r="IE28" s="286">
        <f>'Data-temp_employment'!IE28-last_qrtr_tempemp!IF28</f>
        <v>0</v>
      </c>
      <c r="IF28" s="286">
        <f>'Data-temp_employment'!IF28-last_qrtr_tempemp!IG28</f>
        <v>0</v>
      </c>
      <c r="IG28" s="286">
        <f>'Data-temp_employment'!IG28-last_qrtr_tempemp!IH28</f>
        <v>0</v>
      </c>
      <c r="IH28" s="286">
        <f>'Data-temp_employment'!IH28-last_qrtr_tempemp!II28</f>
        <v>0</v>
      </c>
      <c r="II28" s="286">
        <f>'Data-temp_employment'!II28</f>
        <v>0</v>
      </c>
      <c r="IJ28" s="303" t="s">
        <v>31</v>
      </c>
      <c r="IK28" s="286">
        <f>'Data-temp_employment'!IK28-last_qrtr_tempemp!IL28</f>
        <v>0</v>
      </c>
      <c r="IL28" s="286">
        <f>'Data-temp_employment'!IL28-last_qrtr_tempemp!IM28</f>
        <v>0</v>
      </c>
      <c r="IM28" s="286">
        <f>'Data-temp_employment'!IM28-last_qrtr_tempemp!IN28</f>
        <v>0</v>
      </c>
      <c r="IN28" s="286">
        <f>'Data-temp_employment'!IN28-last_qrtr_tempemp!IO28</f>
        <v>0</v>
      </c>
      <c r="IO28" s="286">
        <f>'Data-temp_employment'!IO28-last_qrtr_tempemp!IP28</f>
        <v>0</v>
      </c>
      <c r="IP28" s="286">
        <f>'Data-temp_employment'!IP28-last_qrtr_tempemp!IQ28</f>
        <v>0</v>
      </c>
      <c r="IQ28" s="286">
        <f>'Data-temp_employment'!IQ28-last_qrtr_tempemp!IR28</f>
        <v>0</v>
      </c>
      <c r="IR28" s="286">
        <f>'Data-temp_employment'!IR28-last_qrtr_tempemp!IS28</f>
        <v>0</v>
      </c>
      <c r="IS28" s="286">
        <f>'Data-temp_employment'!IS28-last_qrtr_tempemp!IT28</f>
        <v>0</v>
      </c>
      <c r="IT28" s="286">
        <f>'Data-temp_employment'!IT28</f>
        <v>0</v>
      </c>
      <c r="IU28" s="303" t="s">
        <v>31</v>
      </c>
      <c r="IV28" s="286">
        <f>'Data-temp_employment'!IV28-last_qrtr_tempemp!IW28</f>
        <v>0</v>
      </c>
      <c r="IW28" s="286">
        <f>'Data-temp_employment'!IW28-last_qrtr_tempemp!IX28</f>
        <v>0</v>
      </c>
      <c r="IX28" s="286">
        <f>'Data-temp_employment'!IX28-last_qrtr_tempemp!IY28</f>
        <v>0</v>
      </c>
      <c r="IY28" s="286">
        <f>'Data-temp_employment'!IY28-last_qrtr_tempemp!IZ28</f>
        <v>0</v>
      </c>
      <c r="IZ28" s="286">
        <f>'Data-temp_employment'!IZ28-last_qrtr_tempemp!JA28</f>
        <v>0</v>
      </c>
      <c r="JA28" s="286">
        <f>'Data-temp_employment'!JA28-last_qrtr_tempemp!JB28</f>
        <v>0</v>
      </c>
      <c r="JB28" s="286">
        <f>'Data-temp_employment'!JB28-last_qrtr_tempemp!JC28</f>
        <v>0</v>
      </c>
      <c r="JC28" s="286">
        <f>'Data-temp_employment'!JC28-last_qrtr_tempemp!JD28</f>
        <v>0</v>
      </c>
      <c r="JD28" s="286">
        <f>'Data-temp_employment'!JD28-last_qrtr_tempemp!JE28</f>
        <v>0</v>
      </c>
      <c r="JE28" s="286">
        <f>'Data-temp_employment'!JE28</f>
        <v>0</v>
      </c>
      <c r="JF28" s="303" t="s">
        <v>31</v>
      </c>
      <c r="JG28" s="286">
        <f>'Data-temp_employment'!JG28-last_qrtr_tempemp!JH28</f>
        <v>0</v>
      </c>
      <c r="JH28" s="286">
        <f>'Data-temp_employment'!JH28-last_qrtr_tempemp!JI28</f>
        <v>0</v>
      </c>
      <c r="JI28" s="286">
        <f>'Data-temp_employment'!JI28-last_qrtr_tempemp!JJ28</f>
        <v>0</v>
      </c>
      <c r="JJ28" s="286">
        <f>'Data-temp_employment'!JJ28-last_qrtr_tempemp!JK28</f>
        <v>0</v>
      </c>
      <c r="JK28" s="286">
        <f>'Data-temp_employment'!JK28-last_qrtr_tempemp!JL28</f>
        <v>0</v>
      </c>
      <c r="JL28" s="286">
        <f>'Data-temp_employment'!JL28-last_qrtr_tempemp!JM28</f>
        <v>0</v>
      </c>
      <c r="JM28" s="286">
        <f>'Data-temp_employment'!JM28-last_qrtr_tempemp!JN28</f>
        <v>0</v>
      </c>
      <c r="JN28" s="286">
        <f>'Data-temp_employment'!JN28-last_qrtr_tempemp!JO28</f>
        <v>0</v>
      </c>
      <c r="JO28" s="286">
        <f>'Data-temp_employment'!JO28-last_qrtr_tempemp!JP28</f>
        <v>0</v>
      </c>
      <c r="JP28" s="286">
        <f>'Data-temp_employment'!JP28</f>
        <v>0</v>
      </c>
      <c r="JQ28" s="303" t="s">
        <v>31</v>
      </c>
      <c r="JR28" s="286">
        <f>'Data-temp_employment'!JR28-last_qrtr_tempemp!JS28</f>
        <v>0</v>
      </c>
      <c r="JS28" s="286">
        <f>'Data-temp_employment'!JS28-last_qrtr_tempemp!JT28</f>
        <v>0</v>
      </c>
      <c r="JT28" s="286">
        <f>'Data-temp_employment'!JT28-last_qrtr_tempemp!JU28</f>
        <v>0</v>
      </c>
      <c r="JU28" s="286">
        <f>'Data-temp_employment'!JU28-last_qrtr_tempemp!JV28</f>
        <v>0</v>
      </c>
      <c r="JV28" s="286">
        <f>'Data-temp_employment'!JV28-last_qrtr_tempemp!JW28</f>
        <v>0</v>
      </c>
      <c r="JW28" s="286">
        <f>'Data-temp_employment'!JW28-last_qrtr_tempemp!JX28</f>
        <v>0</v>
      </c>
      <c r="JX28" s="286">
        <f>'Data-temp_employment'!JX28-last_qrtr_tempemp!JY28</f>
        <v>0</v>
      </c>
      <c r="JY28" s="286">
        <f>'Data-temp_employment'!JY28-last_qrtr_tempemp!JZ28</f>
        <v>0</v>
      </c>
      <c r="JZ28" s="286">
        <f>'Data-temp_employment'!JZ28-last_qrtr_tempemp!KA28</f>
        <v>0</v>
      </c>
      <c r="KA28" s="286">
        <f>'Data-temp_employment'!KA28</f>
        <v>0</v>
      </c>
      <c r="KB28" s="303" t="s">
        <v>31</v>
      </c>
      <c r="KC28" s="286">
        <f>'Data-temp_employment'!KC28-last_qrtr_tempemp!KD28</f>
        <v>0</v>
      </c>
      <c r="KD28" s="286">
        <f>'Data-temp_employment'!KD28-last_qrtr_tempemp!KE28</f>
        <v>0</v>
      </c>
      <c r="KE28" s="286">
        <f>'Data-temp_employment'!KE28-last_qrtr_tempemp!KF28</f>
        <v>0</v>
      </c>
      <c r="KF28" s="286">
        <f>'Data-temp_employment'!KF28-last_qrtr_tempemp!KG28</f>
        <v>0</v>
      </c>
      <c r="KG28" s="286">
        <f>'Data-temp_employment'!KG28-last_qrtr_tempemp!KH28</f>
        <v>0</v>
      </c>
      <c r="KH28" s="286">
        <f>'Data-temp_employment'!KH28-last_qrtr_tempemp!KI28</f>
        <v>0</v>
      </c>
      <c r="KI28" s="286">
        <f>'Data-temp_employment'!KI28-last_qrtr_tempemp!KJ28</f>
        <v>0</v>
      </c>
      <c r="KJ28" s="286">
        <f>'Data-temp_employment'!KJ28-last_qrtr_tempemp!KK28</f>
        <v>0</v>
      </c>
      <c r="KK28" s="286">
        <f>'Data-temp_employment'!KK28-last_qrtr_tempemp!KL28</f>
        <v>0</v>
      </c>
      <c r="KL28" s="286">
        <f>'Data-temp_employment'!KL28</f>
        <v>0</v>
      </c>
      <c r="KM28" s="303" t="s">
        <v>31</v>
      </c>
      <c r="KN28" s="286">
        <f>'Data-temp_employment'!KN28-last_qrtr_tempemp!KO28</f>
        <v>0</v>
      </c>
      <c r="KO28" s="286">
        <f>'Data-temp_employment'!KO28-last_qrtr_tempemp!KP28</f>
        <v>0</v>
      </c>
      <c r="KP28" s="286">
        <f>'Data-temp_employment'!KP28-last_qrtr_tempemp!KQ28</f>
        <v>0</v>
      </c>
      <c r="KQ28" s="286">
        <f>'Data-temp_employment'!KQ28-last_qrtr_tempemp!KR28</f>
        <v>0</v>
      </c>
      <c r="KR28" s="286">
        <f>'Data-temp_employment'!KR28-last_qrtr_tempemp!KS28</f>
        <v>0</v>
      </c>
      <c r="KS28" s="286">
        <f>'Data-temp_employment'!KS28-last_qrtr_tempemp!KT28</f>
        <v>0</v>
      </c>
      <c r="KT28" s="286">
        <f>'Data-temp_employment'!KT28-last_qrtr_tempemp!KU28</f>
        <v>0</v>
      </c>
      <c r="KU28" s="286">
        <f>'Data-temp_employment'!KU28-last_qrtr_tempemp!KV28</f>
        <v>0</v>
      </c>
      <c r="KV28" s="286">
        <f>'Data-temp_employment'!KV28-last_qrtr_tempemp!KW28</f>
        <v>0</v>
      </c>
      <c r="KW28" s="286">
        <f>'Data-temp_employment'!KW28</f>
        <v>0</v>
      </c>
      <c r="KX28" s="303" t="s">
        <v>31</v>
      </c>
      <c r="KY28" s="286">
        <f>'Data-temp_employment'!KY28-last_qrtr_tempemp!KZ28</f>
        <v>0</v>
      </c>
      <c r="KZ28" s="286">
        <f>'Data-temp_employment'!KZ28-last_qrtr_tempemp!LA28</f>
        <v>0</v>
      </c>
      <c r="LA28" s="286">
        <f>'Data-temp_employment'!LA28-last_qrtr_tempemp!LB28</f>
        <v>0</v>
      </c>
      <c r="LB28" s="286">
        <f>'Data-temp_employment'!LB28-last_qrtr_tempemp!LC28</f>
        <v>0</v>
      </c>
      <c r="LC28" s="286">
        <f>'Data-temp_employment'!LC28-last_qrtr_tempemp!LD28</f>
        <v>0</v>
      </c>
      <c r="LD28" s="286">
        <f>'Data-temp_employment'!LD28-last_qrtr_tempemp!LE28</f>
        <v>0</v>
      </c>
      <c r="LE28" s="286">
        <f>'Data-temp_employment'!LE28-last_qrtr_tempemp!LF28</f>
        <v>0</v>
      </c>
      <c r="LF28" s="286">
        <f>'Data-temp_employment'!LF28-last_qrtr_tempemp!LG28</f>
        <v>0</v>
      </c>
      <c r="LG28" s="286">
        <f>'Data-temp_employment'!LG28-last_qrtr_tempemp!LH28</f>
        <v>0</v>
      </c>
      <c r="LH28" s="286">
        <f>'Data-temp_employment'!LH28</f>
        <v>0</v>
      </c>
      <c r="LI28" s="303" t="s">
        <v>31</v>
      </c>
      <c r="LJ28" s="286">
        <f>'Data-temp_employment'!LJ28-last_qrtr_tempemp!LK28</f>
        <v>0</v>
      </c>
      <c r="LK28" s="286">
        <f>'Data-temp_employment'!LK28-last_qrtr_tempemp!LL28</f>
        <v>0</v>
      </c>
      <c r="LL28" s="286">
        <f>'Data-temp_employment'!LL28-last_qrtr_tempemp!LM28</f>
        <v>0</v>
      </c>
      <c r="LM28" s="286">
        <f>'Data-temp_employment'!LM28-last_qrtr_tempemp!LN28</f>
        <v>0</v>
      </c>
      <c r="LN28" s="286">
        <f>'Data-temp_employment'!LN28-last_qrtr_tempemp!LO28</f>
        <v>0</v>
      </c>
      <c r="LO28" s="286">
        <f>'Data-temp_employment'!LO28-last_qrtr_tempemp!LP28</f>
        <v>0</v>
      </c>
      <c r="LP28" s="286">
        <f>'Data-temp_employment'!LP28-last_qrtr_tempemp!LQ28</f>
        <v>0</v>
      </c>
      <c r="LQ28" s="286">
        <f>'Data-temp_employment'!LQ28-last_qrtr_tempemp!LR28</f>
        <v>0</v>
      </c>
      <c r="LR28" s="286">
        <f>'Data-temp_employment'!LR28-last_qrtr_tempemp!LS28</f>
        <v>0</v>
      </c>
      <c r="LS28" s="286">
        <f>'Data-temp_employment'!LS28</f>
        <v>0</v>
      </c>
      <c r="LT28" s="303" t="s">
        <v>31</v>
      </c>
      <c r="LU28" s="286">
        <f>'Data-temp_employment'!LU28-last_qrtr_tempemp!LV28</f>
        <v>0</v>
      </c>
      <c r="LV28" s="286">
        <f>'Data-temp_employment'!LV28-last_qrtr_tempemp!LW28</f>
        <v>0</v>
      </c>
      <c r="LW28" s="286">
        <f>'Data-temp_employment'!LW28-last_qrtr_tempemp!LX28</f>
        <v>0</v>
      </c>
      <c r="LX28" s="286">
        <f>'Data-temp_employment'!LX28-last_qrtr_tempemp!LY28</f>
        <v>0</v>
      </c>
      <c r="LY28" s="286">
        <f>'Data-temp_employment'!LY28-last_qrtr_tempemp!LZ28</f>
        <v>0</v>
      </c>
      <c r="LZ28" s="286">
        <f>'Data-temp_employment'!LZ28-last_qrtr_tempemp!MA28</f>
        <v>0</v>
      </c>
      <c r="MA28" s="286">
        <f>'Data-temp_employment'!MA28-last_qrtr_tempemp!MB28</f>
        <v>0</v>
      </c>
      <c r="MB28" s="286">
        <f>'Data-temp_employment'!MB28-last_qrtr_tempemp!MC28</f>
        <v>0</v>
      </c>
      <c r="MC28" s="286">
        <f>'Data-temp_employment'!MC28-last_qrtr_tempemp!MD28</f>
        <v>0</v>
      </c>
      <c r="MD28" s="286">
        <f>'Data-temp_employment'!MD28</f>
        <v>0</v>
      </c>
      <c r="ME28" s="303" t="s">
        <v>31</v>
      </c>
      <c r="MF28" s="286">
        <f>'Data-temp_employment'!MF28-last_qrtr_tempemp!MG28</f>
        <v>0</v>
      </c>
      <c r="MG28" s="286">
        <f>'Data-temp_employment'!MG28-last_qrtr_tempemp!MH28</f>
        <v>0</v>
      </c>
      <c r="MH28" s="286">
        <f>'Data-temp_employment'!MH28-last_qrtr_tempemp!MI28</f>
        <v>0</v>
      </c>
      <c r="MI28" s="286">
        <f>'Data-temp_employment'!MI28-last_qrtr_tempemp!MJ28</f>
        <v>0</v>
      </c>
      <c r="MJ28" s="286">
        <f>'Data-temp_employment'!MJ28-last_qrtr_tempemp!MK28</f>
        <v>0</v>
      </c>
      <c r="MK28" s="286">
        <f>'Data-temp_employment'!MK28-last_qrtr_tempemp!ML28</f>
        <v>0</v>
      </c>
      <c r="ML28" s="286">
        <f>'Data-temp_employment'!ML28-last_qrtr_tempemp!MM28</f>
        <v>0</v>
      </c>
      <c r="MM28" s="286">
        <f>'Data-temp_employment'!MM28-last_qrtr_tempemp!MN28</f>
        <v>0</v>
      </c>
      <c r="MN28" s="286">
        <f>'Data-temp_employment'!MN28-last_qrtr_tempemp!MO28</f>
        <v>0</v>
      </c>
      <c r="MO28" s="286">
        <f>'Data-temp_employment'!MO28</f>
        <v>0</v>
      </c>
      <c r="MP28" s="303" t="s">
        <v>31</v>
      </c>
      <c r="MQ28" s="286">
        <f>'Data-temp_employment'!MQ28-last_qrtr_tempemp!MR28</f>
        <v>0</v>
      </c>
      <c r="MR28" s="286">
        <f>'Data-temp_employment'!MR28-last_qrtr_tempemp!MS28</f>
        <v>0</v>
      </c>
      <c r="MS28" s="286">
        <f>'Data-temp_employment'!MS28-last_qrtr_tempemp!MT28</f>
        <v>0</v>
      </c>
      <c r="MT28" s="286">
        <f>'Data-temp_employment'!MT28-last_qrtr_tempemp!MU28</f>
        <v>0</v>
      </c>
      <c r="MU28" s="286">
        <f>'Data-temp_employment'!MU28-last_qrtr_tempemp!MV28</f>
        <v>0</v>
      </c>
      <c r="MV28" s="286">
        <f>'Data-temp_employment'!MV28-last_qrtr_tempemp!MW28</f>
        <v>0</v>
      </c>
      <c r="MW28" s="286">
        <f>'Data-temp_employment'!MW28-last_qrtr_tempemp!MX28</f>
        <v>0</v>
      </c>
      <c r="MX28" s="286">
        <f>'Data-temp_employment'!MX28-last_qrtr_tempemp!MY28</f>
        <v>0</v>
      </c>
      <c r="MY28" s="286">
        <f>'Data-temp_employment'!MY28-last_qrtr_tempemp!MZ28</f>
        <v>0</v>
      </c>
      <c r="MZ28" s="286">
        <f>'Data-temp_employment'!MZ28</f>
        <v>0</v>
      </c>
      <c r="NA28" s="303" t="s">
        <v>31</v>
      </c>
      <c r="NB28" s="286">
        <f>'Data-temp_employment'!NB28-last_qrtr_tempemp!NC28</f>
        <v>0</v>
      </c>
      <c r="NC28" s="286">
        <f>'Data-temp_employment'!NC28-last_qrtr_tempemp!ND28</f>
        <v>0</v>
      </c>
      <c r="ND28" s="286">
        <f>'Data-temp_employment'!ND28-last_qrtr_tempemp!NE28</f>
        <v>0</v>
      </c>
      <c r="NE28" s="286">
        <f>'Data-temp_employment'!NE28-last_qrtr_tempemp!NF28</f>
        <v>0</v>
      </c>
      <c r="NF28" s="286">
        <f>'Data-temp_employment'!NF28-last_qrtr_tempemp!NG28</f>
        <v>0</v>
      </c>
      <c r="NG28" s="286">
        <f>'Data-temp_employment'!NG28-last_qrtr_tempemp!NH28</f>
        <v>0</v>
      </c>
      <c r="NH28" s="286">
        <f>'Data-temp_employment'!NH28-last_qrtr_tempemp!NI28</f>
        <v>0</v>
      </c>
      <c r="NI28" s="286">
        <f>'Data-temp_employment'!NI28-last_qrtr_tempemp!NJ28</f>
        <v>0</v>
      </c>
      <c r="NJ28" s="286">
        <f>'Data-temp_employment'!NJ28-last_qrtr_tempemp!NK28</f>
        <v>0</v>
      </c>
      <c r="NK28" s="286">
        <f>'Data-temp_employment'!NK28</f>
        <v>0</v>
      </c>
      <c r="NL28" s="303" t="s">
        <v>31</v>
      </c>
      <c r="NM28" s="286">
        <f>'Data-temp_employment'!NM28-last_qrtr_tempemp!NN28</f>
        <v>-0.80000000000000027</v>
      </c>
      <c r="NN28" s="286">
        <f>'Data-temp_employment'!NN28-last_qrtr_tempemp!NO28</f>
        <v>3.4</v>
      </c>
      <c r="NO28" s="286">
        <f>'Data-temp_employment'!NO28-last_qrtr_tempemp!NP28</f>
        <v>-1</v>
      </c>
      <c r="NP28" s="286">
        <f>'Data-temp_employment'!NP28-last_qrtr_tempemp!NQ28</f>
        <v>-0.59999999999999964</v>
      </c>
      <c r="NQ28" s="286">
        <f>'Data-temp_employment'!NQ28-last_qrtr_tempemp!NR28</f>
        <v>-3.4</v>
      </c>
      <c r="NR28" s="286">
        <f>'Data-temp_employment'!NR28-last_qrtr_tempemp!NS28</f>
        <v>-0.39999999999999991</v>
      </c>
      <c r="NS28" s="286">
        <f>'Data-temp_employment'!NS28-last_qrtr_tempemp!NT28</f>
        <v>-2.2000000000000002</v>
      </c>
      <c r="NT28" s="286">
        <f>'Data-temp_employment'!NT28-last_qrtr_tempemp!NU28</f>
        <v>0</v>
      </c>
      <c r="NU28" s="286">
        <f>'Data-temp_employment'!NU28-last_qrtr_tempemp!NV28</f>
        <v>0.39999999999999991</v>
      </c>
      <c r="NV28" s="286">
        <f>'Data-temp_employment'!NV28</f>
        <v>2.7</v>
      </c>
      <c r="NW28" s="303" t="s">
        <v>31</v>
      </c>
      <c r="NX28" s="286">
        <f>'Data-temp_employment'!NX28-last_qrtr_tempemp!NY28</f>
        <v>0.10000000000000009</v>
      </c>
      <c r="NY28" s="286">
        <f>'Data-temp_employment'!NY28-last_qrtr_tempemp!NZ28</f>
        <v>-0.5</v>
      </c>
      <c r="NZ28" s="286">
        <f>'Data-temp_employment'!NZ28-last_qrtr_tempemp!OA28</f>
        <v>0.10000000000000009</v>
      </c>
      <c r="OA28" s="286">
        <f>'Data-temp_employment'!OA28-last_qrtr_tempemp!OB28</f>
        <v>1.1000000000000001</v>
      </c>
      <c r="OB28" s="286">
        <f>'Data-temp_employment'!OB28-last_qrtr_tempemp!OC28</f>
        <v>-0.5</v>
      </c>
      <c r="OC28" s="286">
        <f>'Data-temp_employment'!OC28-last_qrtr_tempemp!OD28</f>
        <v>-0.39999999999999991</v>
      </c>
      <c r="OD28" s="286">
        <f>'Data-temp_employment'!OD28-last_qrtr_tempemp!OE28</f>
        <v>-1.3000000000000003</v>
      </c>
      <c r="OE28" s="286">
        <f>'Data-temp_employment'!OE28-last_qrtr_tempemp!OF28</f>
        <v>-2.1</v>
      </c>
      <c r="OF28" s="286">
        <f>'Data-temp_employment'!OF28-last_qrtr_tempemp!OG28</f>
        <v>-0.10000000000000009</v>
      </c>
      <c r="OG28" s="286">
        <f>'Data-temp_employment'!OG28</f>
        <v>3.1</v>
      </c>
      <c r="OH28" s="287" t="s">
        <v>31</v>
      </c>
      <c r="OI28" s="286"/>
      <c r="OJ28" s="286"/>
      <c r="OK28" s="286"/>
      <c r="OL28" s="286"/>
      <c r="OM28" s="286"/>
      <c r="ON28" s="286"/>
      <c r="OO28" s="286"/>
      <c r="OP28" s="286"/>
      <c r="OQ28" s="286"/>
      <c r="OR28" s="286"/>
      <c r="OS28" s="303" t="s">
        <v>31</v>
      </c>
      <c r="OT28" s="286" t="e">
        <f>'Data-temp_employment'!#REF!-last_qrtr_tempemp!OU28</f>
        <v>#REF!</v>
      </c>
      <c r="OU28" s="286">
        <f>'Data-temp_employment'!OT28-last_qrtr_tempemp!OV28</f>
        <v>-2.2000000000000002</v>
      </c>
      <c r="OV28" s="286">
        <f>'Data-temp_employment'!OU28-last_qrtr_tempemp!OW28</f>
        <v>1.0999999999999999</v>
      </c>
      <c r="OW28" s="286">
        <f>'Data-temp_employment'!OV28-last_qrtr_tempemp!OX28</f>
        <v>-0.60000000000000009</v>
      </c>
      <c r="OX28" s="286">
        <f>'Data-temp_employment'!OW28-last_qrtr_tempemp!OY28</f>
        <v>-1.6</v>
      </c>
      <c r="OY28" s="286">
        <f>'Data-temp_employment'!OX28-last_qrtr_tempemp!OZ28</f>
        <v>-1</v>
      </c>
      <c r="OZ28" s="286">
        <f>'Data-temp_employment'!OY28-last_qrtr_tempemp!PA28</f>
        <v>-2.4</v>
      </c>
      <c r="PA28" s="286">
        <f>'Data-temp_employment'!OZ28-last_qrtr_tempemp!PB28</f>
        <v>0</v>
      </c>
      <c r="PB28" s="286">
        <f>'Data-temp_employment'!PA28-last_qrtr_tempemp!PC28</f>
        <v>0.19999999999999996</v>
      </c>
      <c r="PC28" s="286">
        <f>'Data-temp_employment'!PB28</f>
        <v>0.9</v>
      </c>
      <c r="PE28" s="319"/>
      <c r="PF28" s="319"/>
      <c r="PG28" s="319"/>
      <c r="PH28" s="319"/>
      <c r="PI28" s="319"/>
      <c r="PJ28" s="319"/>
      <c r="PK28" s="319"/>
      <c r="PL28" s="319"/>
      <c r="PM28" s="319"/>
      <c r="PN28" s="319"/>
      <c r="PO28" s="319"/>
      <c r="PP28" s="319"/>
      <c r="PQ28" s="319"/>
      <c r="PR28" s="319"/>
      <c r="PS28" s="319"/>
      <c r="PT28" s="319"/>
      <c r="PU28" s="319"/>
      <c r="PV28" s="319"/>
      <c r="PW28" s="319"/>
      <c r="PX28" s="319"/>
      <c r="PY28" s="319"/>
      <c r="PZ28" s="319"/>
      <c r="QA28" s="319"/>
      <c r="QB28" s="319"/>
      <c r="QC28" s="319"/>
      <c r="QD28" s="319"/>
      <c r="QE28" s="319"/>
      <c r="QF28" s="319"/>
      <c r="QG28" s="319"/>
      <c r="QH28" s="319"/>
      <c r="QI28" s="319"/>
      <c r="QJ28" s="319"/>
      <c r="QK28" s="319"/>
      <c r="QL28" s="319"/>
      <c r="QM28" s="319"/>
      <c r="QN28" s="319"/>
      <c r="QO28" s="319"/>
      <c r="QP28" s="319"/>
      <c r="QQ28" s="319"/>
      <c r="QR28" s="319"/>
      <c r="QS28" s="319"/>
      <c r="QT28" s="319"/>
      <c r="QU28" s="319"/>
      <c r="QV28" s="319"/>
      <c r="QW28" s="319"/>
      <c r="QX28" s="319"/>
      <c r="QY28" s="319"/>
      <c r="QZ28" s="319"/>
      <c r="RA28" s="319"/>
      <c r="RB28" s="319"/>
      <c r="RC28" s="319"/>
      <c r="RD28" s="319"/>
      <c r="RE28" s="319"/>
      <c r="RF28" s="319"/>
      <c r="RG28" s="319"/>
      <c r="RH28" s="319"/>
      <c r="RI28" s="319"/>
      <c r="RJ28" s="319"/>
      <c r="RK28" s="319"/>
      <c r="RL28" s="319"/>
      <c r="RM28" s="319"/>
      <c r="RN28" s="319"/>
      <c r="RO28" s="319"/>
      <c r="RP28" s="319"/>
      <c r="RQ28" s="318"/>
    </row>
    <row r="29" spans="1:485" s="272" customFormat="1">
      <c r="A29" s="316">
        <v>26</v>
      </c>
      <c r="B29" s="303" t="s">
        <v>56</v>
      </c>
      <c r="C29" s="286">
        <f>'Data-temp_employment'!C29-last_qrtr_tempemp!D29</f>
        <v>-3.3000000000000007</v>
      </c>
      <c r="D29" s="286">
        <f>'Data-temp_employment'!D29-last_qrtr_tempemp!E29</f>
        <v>2.9000000000000004</v>
      </c>
      <c r="E29" s="286">
        <f>'Data-temp_employment'!E29-last_qrtr_tempemp!F29</f>
        <v>1.8000000000000007</v>
      </c>
      <c r="F29" s="286">
        <f>'Data-temp_employment'!F29-last_qrtr_tempemp!G29</f>
        <v>3.5999999999999996</v>
      </c>
      <c r="G29" s="286">
        <f>'Data-temp_employment'!G29-last_qrtr_tempemp!H29</f>
        <v>-0.60000000000000142</v>
      </c>
      <c r="H29" s="286">
        <f>'Data-temp_employment'!H29-last_qrtr_tempemp!I29</f>
        <v>0.40000000000000036</v>
      </c>
      <c r="I29" s="286">
        <f>'Data-temp_employment'!I29-last_qrtr_tempemp!J29</f>
        <v>-0.89999999999999858</v>
      </c>
      <c r="J29" s="286">
        <f>'Data-temp_employment'!J29-last_qrtr_tempemp!K29</f>
        <v>0.40000000000000036</v>
      </c>
      <c r="K29" s="286">
        <f>'Data-temp_employment'!K29-last_qrtr_tempemp!L29</f>
        <v>-0.70000000000000107</v>
      </c>
      <c r="L29" s="286">
        <f>'Data-temp_employment'!L29</f>
        <v>16.100000000000001</v>
      </c>
      <c r="M29" s="303" t="s">
        <v>56</v>
      </c>
      <c r="N29" s="286">
        <f>'Data-temp_employment'!N29-last_qrtr_tempemp!O29</f>
        <v>-13.5</v>
      </c>
      <c r="O29" s="286">
        <f>'Data-temp_employment'!O29-last_qrtr_tempemp!P29</f>
        <v>18.5</v>
      </c>
      <c r="P29" s="286">
        <f>'Data-temp_employment'!P29-last_qrtr_tempemp!Q29</f>
        <v>12</v>
      </c>
      <c r="Q29" s="286">
        <f>'Data-temp_employment'!Q29-last_qrtr_tempemp!R29</f>
        <v>21.400000000000006</v>
      </c>
      <c r="R29" s="286">
        <f>'Data-temp_employment'!R29-last_qrtr_tempemp!S29</f>
        <v>-2</v>
      </c>
      <c r="S29" s="286">
        <f>'Data-temp_employment'!S29-last_qrtr_tempemp!T29</f>
        <v>3.5</v>
      </c>
      <c r="T29" s="286">
        <f>'Data-temp_employment'!T29-last_qrtr_tempemp!U29</f>
        <v>-2.2000000000000028</v>
      </c>
      <c r="U29" s="286">
        <f>'Data-temp_employment'!U29-last_qrtr_tempemp!V29</f>
        <v>4.2000000000000028</v>
      </c>
      <c r="V29" s="286">
        <f>'Data-temp_employment'!V29-last_qrtr_tempemp!W29</f>
        <v>-2.7000000000000028</v>
      </c>
      <c r="W29" s="286">
        <f>'Data-temp_employment'!W29</f>
        <v>91.5</v>
      </c>
      <c r="X29" s="303" t="s">
        <v>56</v>
      </c>
      <c r="Y29" s="286">
        <f>'Data-temp_employment'!Y29-last_qrtr_tempemp!Z29</f>
        <v>-2.6</v>
      </c>
      <c r="Z29" s="286">
        <f>'Data-temp_employment'!Z29-last_qrtr_tempemp!AA29</f>
        <v>2.2000000000000002</v>
      </c>
      <c r="AA29" s="286">
        <f>'Data-temp_employment'!AA29-last_qrtr_tempemp!AB29</f>
        <v>-0.10000000000000009</v>
      </c>
      <c r="AB29" s="286">
        <f>'Data-temp_employment'!AB29-last_qrtr_tempemp!AC29</f>
        <v>2.3000000000000003</v>
      </c>
      <c r="AC29" s="286">
        <f>'Data-temp_employment'!AC29-last_qrtr_tempemp!AD29</f>
        <v>1.4000000000000004</v>
      </c>
      <c r="AD29" s="286">
        <f>'Data-temp_employment'!AD29-last_qrtr_tempemp!AE29</f>
        <v>-3.8</v>
      </c>
      <c r="AE29" s="286">
        <f>'Data-temp_employment'!AE29-last_qrtr_tempemp!AF29</f>
        <v>-0.70000000000000018</v>
      </c>
      <c r="AF29" s="286">
        <f>'Data-temp_employment'!AF29-last_qrtr_tempemp!AG29</f>
        <v>-1.8000000000000003</v>
      </c>
      <c r="AG29" s="286">
        <f>'Data-temp_employment'!AG29-last_qrtr_tempemp!AH29</f>
        <v>0</v>
      </c>
      <c r="AH29" s="286">
        <f>'Data-temp_employment'!AH29</f>
        <v>6</v>
      </c>
      <c r="AI29" s="303" t="s">
        <v>56</v>
      </c>
      <c r="AJ29" s="286">
        <f>'Data-temp_employment'!AJ29-last_qrtr_tempemp!AK29</f>
        <v>-6.6000000000000014</v>
      </c>
      <c r="AK29" s="286">
        <f>'Data-temp_employment'!AK29-last_qrtr_tempemp!AL29</f>
        <v>7.1000000000000014</v>
      </c>
      <c r="AL29" s="286">
        <f>'Data-temp_employment'!AL29-last_qrtr_tempemp!AM29</f>
        <v>4.5</v>
      </c>
      <c r="AM29" s="286">
        <f>'Data-temp_employment'!AM29-last_qrtr_tempemp!AN29</f>
        <v>4.5</v>
      </c>
      <c r="AN29" s="286">
        <f>'Data-temp_employment'!AN29-last_qrtr_tempemp!AO29</f>
        <v>-4.4000000000000021</v>
      </c>
      <c r="AO29" s="286">
        <f>'Data-temp_employment'!AO29-last_qrtr_tempemp!AP29</f>
        <v>-1.6000000000000014</v>
      </c>
      <c r="AP29" s="286">
        <f>'Data-temp_employment'!AP29-last_qrtr_tempemp!AQ29</f>
        <v>2.8000000000000007</v>
      </c>
      <c r="AQ29" s="286">
        <f>'Data-temp_employment'!AQ29-last_qrtr_tempemp!AR29</f>
        <v>6.8000000000000007</v>
      </c>
      <c r="AR29" s="286">
        <f>'Data-temp_employment'!AR29-last_qrtr_tempemp!AS29</f>
        <v>0.10000000000000142</v>
      </c>
      <c r="AS29" s="286">
        <f>'Data-temp_employment'!AS29</f>
        <v>30.3</v>
      </c>
      <c r="AT29" s="303" t="s">
        <v>56</v>
      </c>
      <c r="AU29" s="286">
        <f>'Data-temp_employment'!AU29-last_qrtr_tempemp!AV29</f>
        <v>1.4000000000000021</v>
      </c>
      <c r="AV29" s="286">
        <f>'Data-temp_employment'!AV29-last_qrtr_tempemp!AW29</f>
        <v>6.4000000000000021</v>
      </c>
      <c r="AW29" s="286">
        <f>'Data-temp_employment'!AW29-last_qrtr_tempemp!AX29</f>
        <v>3.1999999999999993</v>
      </c>
      <c r="AX29" s="286">
        <f>'Data-temp_employment'!AX29-last_qrtr_tempemp!AY29</f>
        <v>2.3999999999999986</v>
      </c>
      <c r="AY29" s="286">
        <f>'Data-temp_employment'!AY29-last_qrtr_tempemp!AZ29</f>
        <v>2.5999999999999979</v>
      </c>
      <c r="AZ29" s="286">
        <f>'Data-temp_employment'!AZ29-last_qrtr_tempemp!BA29</f>
        <v>-2.1000000000000014</v>
      </c>
      <c r="BA29" s="286">
        <f>'Data-temp_employment'!BA29-last_qrtr_tempemp!BB29</f>
        <v>1.6000000000000014</v>
      </c>
      <c r="BB29" s="286">
        <f>'Data-temp_employment'!BB29-last_qrtr_tempemp!BC29</f>
        <v>-3.1999999999999993</v>
      </c>
      <c r="BC29" s="286">
        <f>'Data-temp_employment'!BC29-last_qrtr_tempemp!BD29</f>
        <v>3.6000000000000014</v>
      </c>
      <c r="BD29" s="286">
        <f>'Data-temp_employment'!BD29</f>
        <v>22</v>
      </c>
      <c r="BE29" s="303" t="s">
        <v>56</v>
      </c>
      <c r="BF29" s="286">
        <f>'Data-temp_employment'!BF29-last_qrtr_tempemp!BG29</f>
        <v>-0.40000000000000036</v>
      </c>
      <c r="BG29" s="286">
        <f>'Data-temp_employment'!BG29-last_qrtr_tempemp!BH29</f>
        <v>3.0999999999999996</v>
      </c>
      <c r="BH29" s="286">
        <f>'Data-temp_employment'!BH29-last_qrtr_tempemp!BI29</f>
        <v>4.9000000000000004</v>
      </c>
      <c r="BI29" s="286">
        <f>'Data-temp_employment'!BI29-last_qrtr_tempemp!BJ29</f>
        <v>6.4999999999999982</v>
      </c>
      <c r="BJ29" s="286">
        <f>'Data-temp_employment'!BJ29-last_qrtr_tempemp!BK29</f>
        <v>3.7000000000000011</v>
      </c>
      <c r="BK29" s="286">
        <f>'Data-temp_employment'!BK29-last_qrtr_tempemp!BL29</f>
        <v>-2</v>
      </c>
      <c r="BL29" s="286">
        <f>'Data-temp_employment'!BL29-last_qrtr_tempemp!BM29</f>
        <v>-6.9999999999999982</v>
      </c>
      <c r="BM29" s="286">
        <f>'Data-temp_employment'!BM29-last_qrtr_tempemp!BN29</f>
        <v>-3</v>
      </c>
      <c r="BN29" s="286">
        <f>'Data-temp_employment'!BN29-last_qrtr_tempemp!BO29</f>
        <v>5.3999999999999986</v>
      </c>
      <c r="BO29" s="286">
        <f>'Data-temp_employment'!BO29</f>
        <v>14.9</v>
      </c>
      <c r="BP29" s="303" t="s">
        <v>56</v>
      </c>
      <c r="BQ29" s="286">
        <f>'Data-temp_employment'!BQ29-last_qrtr_tempemp!BR29</f>
        <v>-3.5</v>
      </c>
      <c r="BR29" s="286">
        <f>'Data-temp_employment'!BR29-last_qrtr_tempemp!BS29</f>
        <v>-1.2000000000000002</v>
      </c>
      <c r="BS29" s="286">
        <f>'Data-temp_employment'!BS29-last_qrtr_tempemp!BT29</f>
        <v>-0.60000000000000009</v>
      </c>
      <c r="BT29" s="286">
        <f>'Data-temp_employment'!BT29-last_qrtr_tempemp!BU29</f>
        <v>3.5999999999999996</v>
      </c>
      <c r="BU29" s="286">
        <f>'Data-temp_employment'!BU29-last_qrtr_tempemp!BV29</f>
        <v>0.40000000000000036</v>
      </c>
      <c r="BV29" s="286">
        <f>'Data-temp_employment'!BV29-last_qrtr_tempemp!BW29</f>
        <v>4.4000000000000004</v>
      </c>
      <c r="BW29" s="286">
        <f>'Data-temp_employment'!BW29-last_qrtr_tempemp!BX29</f>
        <v>-1.3999999999999995</v>
      </c>
      <c r="BX29" s="286">
        <f>'Data-temp_employment'!BX29-last_qrtr_tempemp!BY29</f>
        <v>0.39999999999999991</v>
      </c>
      <c r="BY29" s="286">
        <f>'Data-temp_employment'!BY29-last_qrtr_tempemp!BZ29</f>
        <v>-5.1000000000000005</v>
      </c>
      <c r="BZ29" s="286">
        <f>'Data-temp_employment'!BZ29</f>
        <v>2.2000000000000002</v>
      </c>
      <c r="CA29" s="303" t="s">
        <v>56</v>
      </c>
      <c r="CB29" s="286">
        <f>'Data-temp_employment'!CB29-last_qrtr_tempemp!CC29</f>
        <v>-2.5999999999999996</v>
      </c>
      <c r="CC29" s="286">
        <f>'Data-temp_employment'!CC29-last_qrtr_tempemp!CD29</f>
        <v>-0.60000000000000142</v>
      </c>
      <c r="CD29" s="286">
        <f>'Data-temp_employment'!CD29-last_qrtr_tempemp!CE29</f>
        <v>-0.80000000000000071</v>
      </c>
      <c r="CE29" s="286">
        <f>'Data-temp_employment'!CE29-last_qrtr_tempemp!CF29</f>
        <v>2.8999999999999986</v>
      </c>
      <c r="CF29" s="286">
        <f>'Data-temp_employment'!CF29-last_qrtr_tempemp!CG29</f>
        <v>-6.6</v>
      </c>
      <c r="CG29" s="286">
        <f>'Data-temp_employment'!CG29-last_qrtr_tempemp!CH29</f>
        <v>8.6</v>
      </c>
      <c r="CH29" s="286">
        <f>'Data-temp_employment'!CH29-last_qrtr_tempemp!CI29</f>
        <v>2.5</v>
      </c>
      <c r="CI29" s="286">
        <f>'Data-temp_employment'!CI29-last_qrtr_tempemp!CJ29</f>
        <v>6</v>
      </c>
      <c r="CJ29" s="286">
        <f>'Data-temp_employment'!CJ29-last_qrtr_tempemp!CK29</f>
        <v>-8.5</v>
      </c>
      <c r="CK29" s="286">
        <f>'Data-temp_employment'!CK29</f>
        <v>15</v>
      </c>
      <c r="CL29" s="303" t="s">
        <v>56</v>
      </c>
      <c r="CM29" s="286">
        <f>'Data-temp_employment'!CM29-last_qrtr_tempemp!CN29</f>
        <v>-7.7999999999999989</v>
      </c>
      <c r="CN29" s="286">
        <f>'Data-temp_employment'!CN29-last_qrtr_tempemp!CO29</f>
        <v>7.2000000000000011</v>
      </c>
      <c r="CO29" s="286">
        <f>'Data-temp_employment'!CO29-last_qrtr_tempemp!CP29</f>
        <v>2.1000000000000014</v>
      </c>
      <c r="CP29" s="286">
        <f>'Data-temp_employment'!CP29-last_qrtr_tempemp!CQ29</f>
        <v>8.9999999999999982</v>
      </c>
      <c r="CQ29" s="286">
        <f>'Data-temp_employment'!CQ29-last_qrtr_tempemp!CR29</f>
        <v>3.5999999999999979</v>
      </c>
      <c r="CR29" s="286">
        <f>'Data-temp_employment'!CR29-last_qrtr_tempemp!CS29</f>
        <v>1.3999999999999986</v>
      </c>
      <c r="CS29" s="286">
        <f>'Data-temp_employment'!CS29-last_qrtr_tempemp!CT29</f>
        <v>-6.7999999999999989</v>
      </c>
      <c r="CT29" s="286">
        <f>'Data-temp_employment'!CT29-last_qrtr_tempemp!CU29</f>
        <v>-3.6999999999999993</v>
      </c>
      <c r="CU29" s="286">
        <f>'Data-temp_employment'!CU29-last_qrtr_tempemp!CV29</f>
        <v>-4</v>
      </c>
      <c r="CV29" s="286">
        <f>'Data-temp_employment'!CV29</f>
        <v>19.100000000000001</v>
      </c>
      <c r="CW29" s="303" t="s">
        <v>56</v>
      </c>
      <c r="CX29" s="286">
        <f>'Data-temp_employment'!CX29-last_qrtr_tempemp!CY29</f>
        <v>-7.3000000000000043</v>
      </c>
      <c r="CY29" s="286">
        <f>'Data-temp_employment'!CY29-last_qrtr_tempemp!CZ29</f>
        <v>8.1999999999999957</v>
      </c>
      <c r="CZ29" s="286">
        <f>'Data-temp_employment'!CZ29-last_qrtr_tempemp!DA29</f>
        <v>12.299999999999997</v>
      </c>
      <c r="DA29" s="286">
        <f>'Data-temp_employment'!DA29-last_qrtr_tempemp!DB29</f>
        <v>12.300000000000004</v>
      </c>
      <c r="DB29" s="286">
        <f>'Data-temp_employment'!DB29-last_qrtr_tempemp!DC29</f>
        <v>-5.1999999999999957</v>
      </c>
      <c r="DC29" s="286">
        <f>'Data-temp_employment'!DC29-last_qrtr_tempemp!DD29</f>
        <v>-9.9999999999994316E-2</v>
      </c>
      <c r="DD29" s="286">
        <f>'Data-temp_employment'!DD29-last_qrtr_tempemp!DE29</f>
        <v>6.7999999999999972</v>
      </c>
      <c r="DE29" s="286">
        <f>'Data-temp_employment'!DE29-last_qrtr_tempemp!DF29</f>
        <v>5.7999999999999972</v>
      </c>
      <c r="DF29" s="286">
        <f>'Data-temp_employment'!DF29-last_qrtr_tempemp!DG29</f>
        <v>2.6999999999999957</v>
      </c>
      <c r="DG29" s="286">
        <f>'Data-temp_employment'!DG29</f>
        <v>54.2</v>
      </c>
      <c r="DH29" s="303" t="s">
        <v>56</v>
      </c>
      <c r="DI29" s="286">
        <f>'Data-temp_employment'!DI29-last_qrtr_tempemp!DJ29</f>
        <v>1.6999999999999993</v>
      </c>
      <c r="DJ29" s="286">
        <f>'Data-temp_employment'!DJ29-last_qrtr_tempemp!DK29</f>
        <v>3.0999999999999996</v>
      </c>
      <c r="DK29" s="286">
        <f>'Data-temp_employment'!DK29-last_qrtr_tempemp!DL29</f>
        <v>-2.3999999999999986</v>
      </c>
      <c r="DL29" s="286">
        <f>'Data-temp_employment'!DL29-last_qrtr_tempemp!DM29</f>
        <v>0.19999999999999929</v>
      </c>
      <c r="DM29" s="286">
        <f>'Data-temp_employment'!DM29-last_qrtr_tempemp!DN29</f>
        <v>-0.5</v>
      </c>
      <c r="DN29" s="286">
        <f>'Data-temp_employment'!DN29-last_qrtr_tempemp!DO29</f>
        <v>2.1999999999999993</v>
      </c>
      <c r="DO29" s="286">
        <f>'Data-temp_employment'!DO29-last_qrtr_tempemp!DP29</f>
        <v>-2.2999999999999989</v>
      </c>
      <c r="DP29" s="286">
        <f>'Data-temp_employment'!DP29-last_qrtr_tempemp!DQ29</f>
        <v>2.2000000000000011</v>
      </c>
      <c r="DQ29" s="286">
        <f>'Data-temp_employment'!DQ29-last_qrtr_tempemp!DR29</f>
        <v>-1.3999999999999986</v>
      </c>
      <c r="DR29" s="286">
        <f>'Data-temp_employment'!DR29</f>
        <v>18.2</v>
      </c>
      <c r="DS29" s="303" t="s">
        <v>56</v>
      </c>
      <c r="DT29" s="286">
        <f>'Data-temp_employment'!DT29-last_qrtr_tempemp!DU29</f>
        <v>0</v>
      </c>
      <c r="DU29" s="286">
        <f>'Data-temp_employment'!DU29-last_qrtr_tempemp!DV29</f>
        <v>0</v>
      </c>
      <c r="DV29" s="286">
        <f>'Data-temp_employment'!DV29-last_qrtr_tempemp!DW29</f>
        <v>0</v>
      </c>
      <c r="DW29" s="286">
        <f>'Data-temp_employment'!DW29-last_qrtr_tempemp!DX29</f>
        <v>0</v>
      </c>
      <c r="DX29" s="286">
        <f>'Data-temp_employment'!DX29-last_qrtr_tempemp!DY29</f>
        <v>0</v>
      </c>
      <c r="DY29" s="286">
        <f>'Data-temp_employment'!DY29-last_qrtr_tempemp!DZ29</f>
        <v>0</v>
      </c>
      <c r="DZ29" s="286">
        <f>'Data-temp_employment'!DZ29-last_qrtr_tempemp!EA29</f>
        <v>0</v>
      </c>
      <c r="EA29" s="286">
        <f>'Data-temp_employment'!EA29-last_qrtr_tempemp!EB29</f>
        <v>0</v>
      </c>
      <c r="EB29" s="286">
        <f>'Data-temp_employment'!EB29-last_qrtr_tempemp!EC29</f>
        <v>0</v>
      </c>
      <c r="EC29" s="286">
        <f>'Data-temp_employment'!EC29</f>
        <v>0</v>
      </c>
      <c r="ED29" s="303" t="s">
        <v>56</v>
      </c>
      <c r="EE29" s="286">
        <f>'Data-temp_employment'!EE29-last_qrtr_tempemp!EF29</f>
        <v>0</v>
      </c>
      <c r="EF29" s="286">
        <f>'Data-temp_employment'!EF29-last_qrtr_tempemp!EG29</f>
        <v>0</v>
      </c>
      <c r="EG29" s="286">
        <f>'Data-temp_employment'!EG29-last_qrtr_tempemp!EH29</f>
        <v>0</v>
      </c>
      <c r="EH29" s="286">
        <f>'Data-temp_employment'!EH29-last_qrtr_tempemp!EI29</f>
        <v>0</v>
      </c>
      <c r="EI29" s="286">
        <f>'Data-temp_employment'!EI29-last_qrtr_tempemp!EJ29</f>
        <v>0</v>
      </c>
      <c r="EJ29" s="286">
        <f>'Data-temp_employment'!EJ29-last_qrtr_tempemp!EK29</f>
        <v>0</v>
      </c>
      <c r="EK29" s="286">
        <f>'Data-temp_employment'!EK29-last_qrtr_tempemp!EL29</f>
        <v>0</v>
      </c>
      <c r="EL29" s="286">
        <f>'Data-temp_employment'!EL29-last_qrtr_tempemp!EM29</f>
        <v>0</v>
      </c>
      <c r="EM29" s="286">
        <f>'Data-temp_employment'!EM29-last_qrtr_tempemp!EN29</f>
        <v>0</v>
      </c>
      <c r="EN29" s="286">
        <f>'Data-temp_employment'!EN29</f>
        <v>0</v>
      </c>
      <c r="EO29" s="303" t="s">
        <v>56</v>
      </c>
      <c r="EP29" s="286">
        <f>'Data-temp_employment'!EP29-last_qrtr_tempemp!EQ29</f>
        <v>1.9000000000000004</v>
      </c>
      <c r="EQ29" s="286">
        <f>'Data-temp_employment'!EQ29-last_qrtr_tempemp!ER29</f>
        <v>1.9000000000000004</v>
      </c>
      <c r="ER29" s="286">
        <f>'Data-temp_employment'!ER29-last_qrtr_tempemp!ES29</f>
        <v>-2.7000000000000011</v>
      </c>
      <c r="ES29" s="286">
        <f>'Data-temp_employment'!ES29-last_qrtr_tempemp!ET29</f>
        <v>0.29999999999999893</v>
      </c>
      <c r="ET29" s="286">
        <f>'Data-temp_employment'!ET29-last_qrtr_tempemp!EU29</f>
        <v>1.1999999999999993</v>
      </c>
      <c r="EU29" s="286">
        <f>'Data-temp_employment'!EU29-last_qrtr_tempemp!EV29</f>
        <v>0.40000000000000036</v>
      </c>
      <c r="EV29" s="286">
        <f>'Data-temp_employment'!EV29-last_qrtr_tempemp!EW29</f>
        <v>-2.0999999999999996</v>
      </c>
      <c r="EW29" s="286">
        <f>'Data-temp_employment'!EW29-last_qrtr_tempemp!EX29</f>
        <v>1.2000000000000011</v>
      </c>
      <c r="EX29" s="286">
        <f>'Data-temp_employment'!EX29-last_qrtr_tempemp!EY29</f>
        <v>0.59999999999999964</v>
      </c>
      <c r="EY29" s="286">
        <f>'Data-temp_employment'!EY29</f>
        <v>8.8000000000000007</v>
      </c>
      <c r="EZ29" s="303" t="s">
        <v>56</v>
      </c>
      <c r="FA29" s="286">
        <f>'Data-temp_employment'!FA29-last_qrtr_tempemp!FB29</f>
        <v>-2.7</v>
      </c>
      <c r="FB29" s="286">
        <f>'Data-temp_employment'!FB29-last_qrtr_tempemp!FC29</f>
        <v>0.90000000000000036</v>
      </c>
      <c r="FC29" s="286">
        <f>'Data-temp_employment'!FC29-last_qrtr_tempemp!FD29</f>
        <v>1.2000000000000002</v>
      </c>
      <c r="FD29" s="286">
        <f>'Data-temp_employment'!FD29-last_qrtr_tempemp!FE29</f>
        <v>4.8</v>
      </c>
      <c r="FE29" s="286">
        <f>'Data-temp_employment'!FE29-last_qrtr_tempemp!FF29</f>
        <v>-0.40000000000000036</v>
      </c>
      <c r="FF29" s="286">
        <f>'Data-temp_employment'!FF29-last_qrtr_tempemp!FG29</f>
        <v>-1.9000000000000004</v>
      </c>
      <c r="FG29" s="286">
        <f>'Data-temp_employment'!FG29-last_qrtr_tempemp!FH29</f>
        <v>-1</v>
      </c>
      <c r="FH29" s="286">
        <f>'Data-temp_employment'!FH29-last_qrtr_tempemp!FI29</f>
        <v>1.2999999999999998</v>
      </c>
      <c r="FI29" s="286">
        <f>'Data-temp_employment'!FI29-last_qrtr_tempemp!FJ29</f>
        <v>0</v>
      </c>
      <c r="FJ29" s="286">
        <f>'Data-temp_employment'!FJ29</f>
        <v>5.8</v>
      </c>
      <c r="FK29" s="303" t="s">
        <v>56</v>
      </c>
      <c r="FL29" s="286">
        <f>'Data-temp_employment'!FL29-last_qrtr_tempemp!FM29</f>
        <v>-0.79999999999999982</v>
      </c>
      <c r="FM29" s="286">
        <f>'Data-temp_employment'!FM29-last_qrtr_tempemp!FN29</f>
        <v>1.2000000000000002</v>
      </c>
      <c r="FN29" s="286">
        <f>'Data-temp_employment'!FN29-last_qrtr_tempemp!FO29</f>
        <v>1.6999999999999997</v>
      </c>
      <c r="FO29" s="286">
        <f>'Data-temp_employment'!FO29-last_qrtr_tempemp!FP29</f>
        <v>0</v>
      </c>
      <c r="FP29" s="286">
        <f>'Data-temp_employment'!FP29-last_qrtr_tempemp!FQ29</f>
        <v>-0.70000000000000018</v>
      </c>
      <c r="FQ29" s="286">
        <f>'Data-temp_employment'!FQ29-last_qrtr_tempemp!FR29</f>
        <v>-0.39999999999999947</v>
      </c>
      <c r="FR29" s="286">
        <f>'Data-temp_employment'!FR29-last_qrtr_tempemp!FS29</f>
        <v>0.40000000000000036</v>
      </c>
      <c r="FS29" s="286">
        <f>'Data-temp_employment'!FS29-last_qrtr_tempemp!FT29</f>
        <v>-0.89999999999999991</v>
      </c>
      <c r="FT29" s="286">
        <f>'Data-temp_employment'!FT29-last_qrtr_tempemp!FU29</f>
        <v>1.2000000000000002</v>
      </c>
      <c r="FU29" s="286">
        <f>'Data-temp_employment'!FU29</f>
        <v>4.5</v>
      </c>
      <c r="FV29" s="303" t="s">
        <v>56</v>
      </c>
      <c r="FW29" s="286">
        <f>'Data-temp_employment'!FW29-last_qrtr_tempemp!FX29</f>
        <v>-1.2999999999999989</v>
      </c>
      <c r="FX29" s="286">
        <f>'Data-temp_employment'!FX29-last_qrtr_tempemp!FY29</f>
        <v>2.7000000000000011</v>
      </c>
      <c r="FY29" s="286">
        <f>'Data-temp_employment'!FY29-last_qrtr_tempemp!FZ29</f>
        <v>2.5999999999999996</v>
      </c>
      <c r="FZ29" s="286">
        <f>'Data-temp_employment'!FZ29-last_qrtr_tempemp!GA29</f>
        <v>3.3999999999999986</v>
      </c>
      <c r="GA29" s="286">
        <f>'Data-temp_employment'!GA29-last_qrtr_tempemp!GB29</f>
        <v>0</v>
      </c>
      <c r="GB29" s="286">
        <f>'Data-temp_employment'!GB29-last_qrtr_tempemp!GC29</f>
        <v>0.40000000000000036</v>
      </c>
      <c r="GC29" s="286">
        <f>'Data-temp_employment'!GC29-last_qrtr_tempemp!GD29</f>
        <v>-1.8999999999999986</v>
      </c>
      <c r="GD29" s="286">
        <f>'Data-temp_employment'!GD29-last_qrtr_tempemp!GE29</f>
        <v>1</v>
      </c>
      <c r="GE29" s="286">
        <f>'Data-temp_employment'!GE29-last_qrtr_tempemp!GF29</f>
        <v>2.2999999999999989</v>
      </c>
      <c r="GF29" s="286">
        <f>'Data-temp_employment'!GF29</f>
        <v>17.399999999999999</v>
      </c>
      <c r="GG29" s="303" t="s">
        <v>56</v>
      </c>
      <c r="GH29" s="286">
        <f>'Data-temp_employment'!GH29-last_qrtr_tempemp!GI29</f>
        <v>0</v>
      </c>
      <c r="GI29" s="286">
        <f>'Data-temp_employment'!GI29-last_qrtr_tempemp!GJ29</f>
        <v>0</v>
      </c>
      <c r="GJ29" s="286">
        <f>'Data-temp_employment'!GJ29-last_qrtr_tempemp!GK29</f>
        <v>0</v>
      </c>
      <c r="GK29" s="286">
        <f>'Data-temp_employment'!GK29-last_qrtr_tempemp!GL29</f>
        <v>0</v>
      </c>
      <c r="GL29" s="286">
        <f>'Data-temp_employment'!GL29-last_qrtr_tempemp!GM29</f>
        <v>0</v>
      </c>
      <c r="GM29" s="286">
        <f>'Data-temp_employment'!GM29-last_qrtr_tempemp!GN29</f>
        <v>0</v>
      </c>
      <c r="GN29" s="286">
        <f>'Data-temp_employment'!GN29-last_qrtr_tempemp!GO29</f>
        <v>0</v>
      </c>
      <c r="GO29" s="286">
        <f>'Data-temp_employment'!GO29-last_qrtr_tempemp!GP29</f>
        <v>0</v>
      </c>
      <c r="GP29" s="286">
        <f>'Data-temp_employment'!GP29-last_qrtr_tempemp!GQ29</f>
        <v>0</v>
      </c>
      <c r="GQ29" s="286">
        <f>'Data-temp_employment'!GQ29</f>
        <v>0</v>
      </c>
      <c r="GR29" s="303" t="s">
        <v>56</v>
      </c>
      <c r="GS29" s="286">
        <f>'Data-temp_employment'!GS29-last_qrtr_tempemp!GT29</f>
        <v>-4.5999999999999996</v>
      </c>
      <c r="GT29" s="286">
        <f>'Data-temp_employment'!GT29-last_qrtr_tempemp!GU29</f>
        <v>6.8000000000000007</v>
      </c>
      <c r="GU29" s="286">
        <f>'Data-temp_employment'!GU29-last_qrtr_tempemp!GV29</f>
        <v>0.30000000000000071</v>
      </c>
      <c r="GV29" s="286">
        <f>'Data-temp_employment'!GV29-last_qrtr_tempemp!GW29</f>
        <v>3.8000000000000007</v>
      </c>
      <c r="GW29" s="286">
        <f>'Data-temp_employment'!GW29-last_qrtr_tempemp!GX29</f>
        <v>-1.1999999999999993</v>
      </c>
      <c r="GX29" s="286">
        <f>'Data-temp_employment'!GX29-last_qrtr_tempemp!GY29</f>
        <v>0.59999999999999964</v>
      </c>
      <c r="GY29" s="286">
        <f>'Data-temp_employment'!GY29-last_qrtr_tempemp!GZ29</f>
        <v>-1</v>
      </c>
      <c r="GZ29" s="286">
        <f>'Data-temp_employment'!GZ29-last_qrtr_tempemp!HA29</f>
        <v>-2.1000000000000014</v>
      </c>
      <c r="HA29" s="286">
        <f>'Data-temp_employment'!HA29-last_qrtr_tempemp!HB29</f>
        <v>-0.69999999999999929</v>
      </c>
      <c r="HB29" s="286">
        <f>'Data-temp_employment'!HB29</f>
        <v>18.2</v>
      </c>
      <c r="HC29" s="303" t="s">
        <v>56</v>
      </c>
      <c r="HD29" s="286">
        <f>'Data-temp_employment'!HD29-last_qrtr_tempemp!HE29</f>
        <v>-2.3000000000000007</v>
      </c>
      <c r="HE29" s="286">
        <f>'Data-temp_employment'!HE29-last_qrtr_tempemp!HF29</f>
        <v>2.4000000000000004</v>
      </c>
      <c r="HF29" s="286">
        <f>'Data-temp_employment'!HF29-last_qrtr_tempemp!HG29</f>
        <v>2</v>
      </c>
      <c r="HG29" s="286">
        <f>'Data-temp_employment'!HG29-last_qrtr_tempemp!HH29</f>
        <v>-9.9999999999999645E-2</v>
      </c>
      <c r="HH29" s="286">
        <f>'Data-temp_employment'!HH29-last_qrtr_tempemp!HI29</f>
        <v>-1.4000000000000004</v>
      </c>
      <c r="HI29" s="286">
        <f>'Data-temp_employment'!HI29-last_qrtr_tempemp!HJ29</f>
        <v>2.9000000000000004</v>
      </c>
      <c r="HJ29" s="286">
        <f>'Data-temp_employment'!HJ29-last_qrtr_tempemp!HK29</f>
        <v>6.9999999999999982</v>
      </c>
      <c r="HK29" s="286">
        <f>'Data-temp_employment'!HK29-last_qrtr_tempemp!HL29</f>
        <v>4.0000000000000018</v>
      </c>
      <c r="HL29" s="286">
        <f>'Data-temp_employment'!HL29-last_qrtr_tempemp!HM29</f>
        <v>2.3999999999999986</v>
      </c>
      <c r="HM29" s="286">
        <f>'Data-temp_employment'!HM29</f>
        <v>21.3</v>
      </c>
      <c r="HN29" s="303" t="s">
        <v>56</v>
      </c>
      <c r="HO29" s="286">
        <f>'Data-temp_employment'!HO29-last_qrtr_tempemp!HP29</f>
        <v>-3.5</v>
      </c>
      <c r="HP29" s="286">
        <f>'Data-temp_employment'!HP29-last_qrtr_tempemp!HQ29</f>
        <v>1.0999999999999996</v>
      </c>
      <c r="HQ29" s="286">
        <f>'Data-temp_employment'!HQ29-last_qrtr_tempemp!HR29</f>
        <v>5.5</v>
      </c>
      <c r="HR29" s="286">
        <f>'Data-temp_employment'!HR29-last_qrtr_tempemp!HS29</f>
        <v>8.1999999999999993</v>
      </c>
      <c r="HS29" s="286">
        <f>'Data-temp_employment'!HS29-last_qrtr_tempemp!HT29</f>
        <v>2.9000000000000004</v>
      </c>
      <c r="HT29" s="286">
        <f>'Data-temp_employment'!HT29-last_qrtr_tempemp!HU29</f>
        <v>0.59999999999999964</v>
      </c>
      <c r="HU29" s="286">
        <f>'Data-temp_employment'!HU29-last_qrtr_tempemp!HV29</f>
        <v>-4.5999999999999996</v>
      </c>
      <c r="HV29" s="286">
        <f>'Data-temp_employment'!HV29-last_qrtr_tempemp!HW29</f>
        <v>-2.7000000000000011</v>
      </c>
      <c r="HW29" s="286">
        <f>'Data-temp_employment'!HW29-last_qrtr_tempemp!HX29</f>
        <v>-6.6</v>
      </c>
      <c r="HX29" s="286">
        <f>'Data-temp_employment'!HX29</f>
        <v>13.8</v>
      </c>
      <c r="HY29" s="303" t="s">
        <v>56</v>
      </c>
      <c r="HZ29" s="286">
        <f>'Data-temp_employment'!HZ29-last_qrtr_tempemp!IA29</f>
        <v>0</v>
      </c>
      <c r="IA29" s="286">
        <f>'Data-temp_employment'!IA29-last_qrtr_tempemp!IB29</f>
        <v>0</v>
      </c>
      <c r="IB29" s="286">
        <f>'Data-temp_employment'!IB29-last_qrtr_tempemp!IC29</f>
        <v>0</v>
      </c>
      <c r="IC29" s="286">
        <f>'Data-temp_employment'!IC29-last_qrtr_tempemp!ID29</f>
        <v>0</v>
      </c>
      <c r="ID29" s="286">
        <f>'Data-temp_employment'!ID29-last_qrtr_tempemp!IE29</f>
        <v>0</v>
      </c>
      <c r="IE29" s="286">
        <f>'Data-temp_employment'!IE29-last_qrtr_tempemp!IF29</f>
        <v>0</v>
      </c>
      <c r="IF29" s="286">
        <f>'Data-temp_employment'!IF29-last_qrtr_tempemp!IG29</f>
        <v>0</v>
      </c>
      <c r="IG29" s="286">
        <f>'Data-temp_employment'!IG29-last_qrtr_tempemp!IH29</f>
        <v>0</v>
      </c>
      <c r="IH29" s="286">
        <f>'Data-temp_employment'!IH29-last_qrtr_tempemp!II29</f>
        <v>0</v>
      </c>
      <c r="II29" s="286">
        <f>'Data-temp_employment'!II29</f>
        <v>0</v>
      </c>
      <c r="IJ29" s="303" t="s">
        <v>56</v>
      </c>
      <c r="IK29" s="286">
        <f>'Data-temp_employment'!IK29-last_qrtr_tempemp!IL29</f>
        <v>0</v>
      </c>
      <c r="IL29" s="286">
        <f>'Data-temp_employment'!IL29-last_qrtr_tempemp!IM29</f>
        <v>0</v>
      </c>
      <c r="IM29" s="286">
        <f>'Data-temp_employment'!IM29-last_qrtr_tempemp!IN29</f>
        <v>0</v>
      </c>
      <c r="IN29" s="286">
        <f>'Data-temp_employment'!IN29-last_qrtr_tempemp!IO29</f>
        <v>0</v>
      </c>
      <c r="IO29" s="286">
        <f>'Data-temp_employment'!IO29-last_qrtr_tempemp!IP29</f>
        <v>0</v>
      </c>
      <c r="IP29" s="286">
        <f>'Data-temp_employment'!IP29-last_qrtr_tempemp!IQ29</f>
        <v>0</v>
      </c>
      <c r="IQ29" s="286">
        <f>'Data-temp_employment'!IQ29-last_qrtr_tempemp!IR29</f>
        <v>0</v>
      </c>
      <c r="IR29" s="286">
        <f>'Data-temp_employment'!IR29-last_qrtr_tempemp!IS29</f>
        <v>0</v>
      </c>
      <c r="IS29" s="286">
        <f>'Data-temp_employment'!IS29-last_qrtr_tempemp!IT29</f>
        <v>0</v>
      </c>
      <c r="IT29" s="286">
        <f>'Data-temp_employment'!IT29</f>
        <v>0</v>
      </c>
      <c r="IU29" s="303" t="s">
        <v>56</v>
      </c>
      <c r="IV29" s="286">
        <f>'Data-temp_employment'!IV29-last_qrtr_tempemp!IW29</f>
        <v>-1.4</v>
      </c>
      <c r="IW29" s="286">
        <f>'Data-temp_employment'!IW29-last_qrtr_tempemp!IX29</f>
        <v>0.5</v>
      </c>
      <c r="IX29" s="286">
        <f>'Data-temp_employment'!IX29-last_qrtr_tempemp!IY29</f>
        <v>3.3</v>
      </c>
      <c r="IY29" s="286">
        <f>'Data-temp_employment'!IY29-last_qrtr_tempemp!IZ29</f>
        <v>0.10000000000000009</v>
      </c>
      <c r="IZ29" s="286">
        <f>'Data-temp_employment'!IZ29-last_qrtr_tempemp!JA29</f>
        <v>0.30000000000000071</v>
      </c>
      <c r="JA29" s="286">
        <f>'Data-temp_employment'!JA29-last_qrtr_tempemp!JB29</f>
        <v>-2.2000000000000002</v>
      </c>
      <c r="JB29" s="286">
        <f>'Data-temp_employment'!JB29-last_qrtr_tempemp!JC29</f>
        <v>1.7999999999999998</v>
      </c>
      <c r="JC29" s="286">
        <f>'Data-temp_employment'!JC29-last_qrtr_tempemp!JD29</f>
        <v>0.59999999999999964</v>
      </c>
      <c r="JD29" s="286">
        <f>'Data-temp_employment'!JD29-last_qrtr_tempemp!JE29</f>
        <v>-2.5</v>
      </c>
      <c r="JE29" s="286">
        <f>'Data-temp_employment'!JE29</f>
        <v>2.2000000000000002</v>
      </c>
      <c r="JF29" s="303" t="s">
        <v>56</v>
      </c>
      <c r="JG29" s="286">
        <f>'Data-temp_employment'!JG29-last_qrtr_tempemp!JH29</f>
        <v>-2.5</v>
      </c>
      <c r="JH29" s="286">
        <f>'Data-temp_employment'!JH29-last_qrtr_tempemp!JI29</f>
        <v>7.1999999999999993</v>
      </c>
      <c r="JI29" s="286">
        <f>'Data-temp_employment'!JI29-last_qrtr_tempemp!JJ29</f>
        <v>1.9000000000000021</v>
      </c>
      <c r="JJ29" s="286">
        <f>'Data-temp_employment'!JJ29-last_qrtr_tempemp!JK29</f>
        <v>2.7999999999999972</v>
      </c>
      <c r="JK29" s="286">
        <f>'Data-temp_employment'!JK29-last_qrtr_tempemp!JL29</f>
        <v>-3.8000000000000007</v>
      </c>
      <c r="JL29" s="286">
        <f>'Data-temp_employment'!JL29-last_qrtr_tempemp!JM29</f>
        <v>2.0999999999999979</v>
      </c>
      <c r="JM29" s="286">
        <f>'Data-temp_employment'!JM29-last_qrtr_tempemp!JN29</f>
        <v>2.6000000000000014</v>
      </c>
      <c r="JN29" s="286">
        <f>'Data-temp_employment'!JN29-last_qrtr_tempemp!JO29</f>
        <v>4.6000000000000014</v>
      </c>
      <c r="JO29" s="286">
        <f>'Data-temp_employment'!JO29-last_qrtr_tempemp!JP29</f>
        <v>-2.5999999999999979</v>
      </c>
      <c r="JP29" s="286">
        <f>'Data-temp_employment'!JP29</f>
        <v>27.9</v>
      </c>
      <c r="JQ29" s="303" t="s">
        <v>56</v>
      </c>
      <c r="JR29" s="286">
        <f>'Data-temp_employment'!JR29-last_qrtr_tempemp!JS29</f>
        <v>-4.1000000000000005</v>
      </c>
      <c r="JS29" s="286">
        <f>'Data-temp_employment'!JS29-last_qrtr_tempemp!JT29</f>
        <v>3.5999999999999996</v>
      </c>
      <c r="JT29" s="286">
        <f>'Data-temp_employment'!JT29-last_qrtr_tempemp!JU29</f>
        <v>-0.90000000000000036</v>
      </c>
      <c r="JU29" s="286">
        <f>'Data-temp_employment'!JU29-last_qrtr_tempemp!JV29</f>
        <v>6.8</v>
      </c>
      <c r="JV29" s="286">
        <f>'Data-temp_employment'!JV29-last_qrtr_tempemp!JW29</f>
        <v>-2.6999999999999993</v>
      </c>
      <c r="JW29" s="286">
        <f>'Data-temp_employment'!JW29-last_qrtr_tempemp!JX29</f>
        <v>9.9999999999999645E-2</v>
      </c>
      <c r="JX29" s="286">
        <f>'Data-temp_employment'!JX29-last_qrtr_tempemp!JY29</f>
        <v>-1.9000000000000004</v>
      </c>
      <c r="JY29" s="286">
        <f>'Data-temp_employment'!JY29-last_qrtr_tempemp!JZ29</f>
        <v>0.30000000000000071</v>
      </c>
      <c r="JZ29" s="286">
        <f>'Data-temp_employment'!JZ29-last_qrtr_tempemp!KA29</f>
        <v>-1.3000000000000007</v>
      </c>
      <c r="KA29" s="286">
        <f>'Data-temp_employment'!KA29</f>
        <v>15</v>
      </c>
      <c r="KB29" s="303" t="s">
        <v>56</v>
      </c>
      <c r="KC29" s="286">
        <f>'Data-temp_employment'!KC29-last_qrtr_tempemp!KD29</f>
        <v>-1.6999999999999993</v>
      </c>
      <c r="KD29" s="286">
        <f>'Data-temp_employment'!KD29-last_qrtr_tempemp!KE29</f>
        <v>1.3999999999999995</v>
      </c>
      <c r="KE29" s="286">
        <f>'Data-temp_employment'!KE29-last_qrtr_tempemp!KF29</f>
        <v>0.70000000000000107</v>
      </c>
      <c r="KF29" s="286">
        <f>'Data-temp_employment'!KF29-last_qrtr_tempemp!KG29</f>
        <v>5.1999999999999993</v>
      </c>
      <c r="KG29" s="286">
        <f>'Data-temp_employment'!KG29-last_qrtr_tempemp!KH29</f>
        <v>5.7000000000000011</v>
      </c>
      <c r="KH29" s="286">
        <f>'Data-temp_employment'!KH29-last_qrtr_tempemp!KI29</f>
        <v>0.69999999999999929</v>
      </c>
      <c r="KI29" s="286">
        <f>'Data-temp_employment'!KI29-last_qrtr_tempemp!KJ29</f>
        <v>-0.79999999999999893</v>
      </c>
      <c r="KJ29" s="286">
        <f>'Data-temp_employment'!KJ29-last_qrtr_tempemp!KK29</f>
        <v>-3.5</v>
      </c>
      <c r="KK29" s="286">
        <f>'Data-temp_employment'!KK29-last_qrtr_tempemp!KL29</f>
        <v>-0.30000000000000071</v>
      </c>
      <c r="KL29" s="286">
        <f>'Data-temp_employment'!KL29</f>
        <v>11.4</v>
      </c>
      <c r="KM29" s="303" t="s">
        <v>56</v>
      </c>
      <c r="KN29" s="286">
        <f>'Data-temp_employment'!KN29-last_qrtr_tempemp!KO29</f>
        <v>-2.2000000000000002</v>
      </c>
      <c r="KO29" s="286">
        <f>'Data-temp_employment'!KO29-last_qrtr_tempemp!KP29</f>
        <v>-9.9999999999999645E-2</v>
      </c>
      <c r="KP29" s="286">
        <f>'Data-temp_employment'!KP29-last_qrtr_tempemp!KQ29</f>
        <v>1.5999999999999996</v>
      </c>
      <c r="KQ29" s="286">
        <f>'Data-temp_employment'!KQ29-last_qrtr_tempemp!KR29</f>
        <v>1.7000000000000002</v>
      </c>
      <c r="KR29" s="286">
        <f>'Data-temp_employment'!KR29-last_qrtr_tempemp!KS29</f>
        <v>-0.70000000000000018</v>
      </c>
      <c r="KS29" s="286">
        <f>'Data-temp_employment'!KS29-last_qrtr_tempemp!KT29</f>
        <v>-1</v>
      </c>
      <c r="KT29" s="286">
        <f>'Data-temp_employment'!KT29-last_qrtr_tempemp!KU29</f>
        <v>0.59999999999999964</v>
      </c>
      <c r="KU29" s="286">
        <f>'Data-temp_employment'!KU29-last_qrtr_tempemp!KV29</f>
        <v>1.4000000000000004</v>
      </c>
      <c r="KV29" s="286">
        <f>'Data-temp_employment'!KV29-last_qrtr_tempemp!KW29</f>
        <v>1.9000000000000004</v>
      </c>
      <c r="KW29" s="286">
        <f>'Data-temp_employment'!KW29</f>
        <v>6</v>
      </c>
      <c r="KX29" s="303" t="s">
        <v>56</v>
      </c>
      <c r="KY29" s="286">
        <f>'Data-temp_employment'!KY29-last_qrtr_tempemp!KZ29</f>
        <v>-0.90000000000000036</v>
      </c>
      <c r="KZ29" s="286">
        <f>'Data-temp_employment'!KZ29-last_qrtr_tempemp!LA29</f>
        <v>1.7000000000000002</v>
      </c>
      <c r="LA29" s="286">
        <f>'Data-temp_employment'!LA29-last_qrtr_tempemp!LB29</f>
        <v>2.9</v>
      </c>
      <c r="LB29" s="286">
        <f>'Data-temp_employment'!LB29-last_qrtr_tempemp!LC29</f>
        <v>-0.20000000000000018</v>
      </c>
      <c r="LC29" s="286">
        <f>'Data-temp_employment'!LC29-last_qrtr_tempemp!LD29</f>
        <v>-1.7000000000000002</v>
      </c>
      <c r="LD29" s="286">
        <f>'Data-temp_employment'!LD29-last_qrtr_tempemp!LE29</f>
        <v>-0.20000000000000018</v>
      </c>
      <c r="LE29" s="286">
        <f>'Data-temp_employment'!LE29-last_qrtr_tempemp!LF29</f>
        <v>1.4000000000000004</v>
      </c>
      <c r="LF29" s="286">
        <f>'Data-temp_employment'!LF29-last_qrtr_tempemp!LG29</f>
        <v>2</v>
      </c>
      <c r="LG29" s="286">
        <f>'Data-temp_employment'!LG29-last_qrtr_tempemp!LH29</f>
        <v>1.7999999999999998</v>
      </c>
      <c r="LH29" s="286">
        <f>'Data-temp_employment'!LH29</f>
        <v>8.3000000000000007</v>
      </c>
      <c r="LI29" s="303" t="s">
        <v>56</v>
      </c>
      <c r="LJ29" s="286">
        <f>'Data-temp_employment'!LJ29-last_qrtr_tempemp!LK29</f>
        <v>-2.2000000000000002</v>
      </c>
      <c r="LK29" s="286">
        <f>'Data-temp_employment'!LK29-last_qrtr_tempemp!LL29</f>
        <v>0</v>
      </c>
      <c r="LL29" s="286">
        <f>'Data-temp_employment'!LL29-last_qrtr_tempemp!LM29</f>
        <v>-0.40000000000000013</v>
      </c>
      <c r="LM29" s="286">
        <f>'Data-temp_employment'!LM29-last_qrtr_tempemp!LN29</f>
        <v>0</v>
      </c>
      <c r="LN29" s="286">
        <f>'Data-temp_employment'!LN29-last_qrtr_tempemp!LO29</f>
        <v>2</v>
      </c>
      <c r="LO29" s="286">
        <f>'Data-temp_employment'!LO29-last_qrtr_tempemp!LP29</f>
        <v>-1.7</v>
      </c>
      <c r="LP29" s="286">
        <f>'Data-temp_employment'!LP29-last_qrtr_tempemp!LQ29</f>
        <v>1.6</v>
      </c>
      <c r="LQ29" s="286">
        <f>'Data-temp_employment'!LQ29-last_qrtr_tempemp!LR29</f>
        <v>-2</v>
      </c>
      <c r="LR29" s="286">
        <f>'Data-temp_employment'!LR29-last_qrtr_tempemp!LS29</f>
        <v>1.6</v>
      </c>
      <c r="LS29" s="286">
        <f>'Data-temp_employment'!LS29</f>
        <v>1.8</v>
      </c>
      <c r="LT29" s="303" t="s">
        <v>56</v>
      </c>
      <c r="LU29" s="286">
        <f>'Data-temp_employment'!LU29-last_qrtr_tempemp!LV29</f>
        <v>0</v>
      </c>
      <c r="LV29" s="286">
        <f>'Data-temp_employment'!LV29-last_qrtr_tempemp!LW29</f>
        <v>0</v>
      </c>
      <c r="LW29" s="286">
        <f>'Data-temp_employment'!LW29-last_qrtr_tempemp!LX29</f>
        <v>0</v>
      </c>
      <c r="LX29" s="286">
        <f>'Data-temp_employment'!LX29-last_qrtr_tempemp!LY29</f>
        <v>0</v>
      </c>
      <c r="LY29" s="286">
        <f>'Data-temp_employment'!LY29-last_qrtr_tempemp!LZ29</f>
        <v>0</v>
      </c>
      <c r="LZ29" s="286">
        <f>'Data-temp_employment'!LZ29-last_qrtr_tempemp!MA29</f>
        <v>0</v>
      </c>
      <c r="MA29" s="286">
        <f>'Data-temp_employment'!MA29-last_qrtr_tempemp!MB29</f>
        <v>0</v>
      </c>
      <c r="MB29" s="286">
        <f>'Data-temp_employment'!MB29-last_qrtr_tempemp!MC29</f>
        <v>0</v>
      </c>
      <c r="MC29" s="286">
        <f>'Data-temp_employment'!MC29-last_qrtr_tempemp!MD29</f>
        <v>0</v>
      </c>
      <c r="MD29" s="286">
        <f>'Data-temp_employment'!MD29</f>
        <v>0</v>
      </c>
      <c r="ME29" s="303" t="s">
        <v>56</v>
      </c>
      <c r="MF29" s="286">
        <f>'Data-temp_employment'!MF29-last_qrtr_tempemp!MG29</f>
        <v>0</v>
      </c>
      <c r="MG29" s="286">
        <f>'Data-temp_employment'!MG29-last_qrtr_tempemp!MH29</f>
        <v>0</v>
      </c>
      <c r="MH29" s="286">
        <f>'Data-temp_employment'!MH29-last_qrtr_tempemp!MI29</f>
        <v>0</v>
      </c>
      <c r="MI29" s="286">
        <f>'Data-temp_employment'!MI29-last_qrtr_tempemp!MJ29</f>
        <v>0</v>
      </c>
      <c r="MJ29" s="286">
        <f>'Data-temp_employment'!MJ29-last_qrtr_tempemp!MK29</f>
        <v>0</v>
      </c>
      <c r="MK29" s="286">
        <f>'Data-temp_employment'!MK29-last_qrtr_tempemp!ML29</f>
        <v>0</v>
      </c>
      <c r="ML29" s="286">
        <f>'Data-temp_employment'!ML29-last_qrtr_tempemp!MM29</f>
        <v>0</v>
      </c>
      <c r="MM29" s="286">
        <f>'Data-temp_employment'!MM29-last_qrtr_tempemp!MN29</f>
        <v>0</v>
      </c>
      <c r="MN29" s="286">
        <f>'Data-temp_employment'!MN29-last_qrtr_tempemp!MO29</f>
        <v>0</v>
      </c>
      <c r="MO29" s="286">
        <f>'Data-temp_employment'!MO29</f>
        <v>0</v>
      </c>
      <c r="MP29" s="303" t="s">
        <v>56</v>
      </c>
      <c r="MQ29" s="286">
        <f>'Data-temp_employment'!MQ29-last_qrtr_tempemp!MR29</f>
        <v>-0.39999999999999991</v>
      </c>
      <c r="MR29" s="286">
        <f>'Data-temp_employment'!MR29-last_qrtr_tempemp!MS29</f>
        <v>0</v>
      </c>
      <c r="MS29" s="286">
        <f>'Data-temp_employment'!MS29-last_qrtr_tempemp!MT29</f>
        <v>1.7</v>
      </c>
      <c r="MT29" s="286">
        <f>'Data-temp_employment'!MT29-last_qrtr_tempemp!MU29</f>
        <v>0.89999999999999991</v>
      </c>
      <c r="MU29" s="286">
        <f>'Data-temp_employment'!MU29-last_qrtr_tempemp!MV29</f>
        <v>0.39999999999999991</v>
      </c>
      <c r="MV29" s="286">
        <f>'Data-temp_employment'!MV29-last_qrtr_tempemp!MW29</f>
        <v>0.40000000000000013</v>
      </c>
      <c r="MW29" s="286">
        <f>'Data-temp_employment'!MW29-last_qrtr_tempemp!MX29</f>
        <v>-0.10000000000000009</v>
      </c>
      <c r="MX29" s="286">
        <f>'Data-temp_employment'!MX29-last_qrtr_tempemp!MY29</f>
        <v>-0.60000000000000009</v>
      </c>
      <c r="MY29" s="286">
        <f>'Data-temp_employment'!MY29-last_qrtr_tempemp!MZ29</f>
        <v>0.39999999999999991</v>
      </c>
      <c r="MZ29" s="286">
        <f>'Data-temp_employment'!MZ29</f>
        <v>1.9</v>
      </c>
      <c r="NA29" s="303" t="s">
        <v>56</v>
      </c>
      <c r="NB29" s="286">
        <f>'Data-temp_employment'!NB29-last_qrtr_tempemp!NC29</f>
        <v>0.39999999999999991</v>
      </c>
      <c r="NC29" s="286">
        <f>'Data-temp_employment'!NC29-last_qrtr_tempemp!ND29</f>
        <v>1.4000000000000001</v>
      </c>
      <c r="ND29" s="286">
        <f>'Data-temp_employment'!ND29-last_qrtr_tempemp!NE29</f>
        <v>0.10000000000000009</v>
      </c>
      <c r="NE29" s="286">
        <f>'Data-temp_employment'!NE29-last_qrtr_tempemp!NF29</f>
        <v>-0.10000000000000009</v>
      </c>
      <c r="NF29" s="286">
        <f>'Data-temp_employment'!NF29-last_qrtr_tempemp!NG29</f>
        <v>-0.70000000000000018</v>
      </c>
      <c r="NG29" s="286">
        <f>'Data-temp_employment'!NG29-last_qrtr_tempemp!NH29</f>
        <v>1.4000000000000004</v>
      </c>
      <c r="NH29" s="286">
        <f>'Data-temp_employment'!NH29-last_qrtr_tempemp!NI29</f>
        <v>-0.5</v>
      </c>
      <c r="NI29" s="286">
        <f>'Data-temp_employment'!NI29-last_qrtr_tempemp!NJ29</f>
        <v>0.30000000000000027</v>
      </c>
      <c r="NJ29" s="286">
        <f>'Data-temp_employment'!NJ29-last_qrtr_tempemp!NK29</f>
        <v>-0.20000000000000018</v>
      </c>
      <c r="NK29" s="286">
        <f>'Data-temp_employment'!NK29</f>
        <v>3.2</v>
      </c>
      <c r="NL29" s="303" t="s">
        <v>56</v>
      </c>
      <c r="NM29" s="286">
        <f>'Data-temp_employment'!NM29-last_qrtr_tempemp!NN29</f>
        <v>0.39999999999999991</v>
      </c>
      <c r="NN29" s="286">
        <f>'Data-temp_employment'!NN29-last_qrtr_tempemp!NO29</f>
        <v>0.40000000000000036</v>
      </c>
      <c r="NO29" s="286">
        <f>'Data-temp_employment'!NO29-last_qrtr_tempemp!NP29</f>
        <v>-0.69999999999999973</v>
      </c>
      <c r="NP29" s="286">
        <f>'Data-temp_employment'!NP29-last_qrtr_tempemp!NQ29</f>
        <v>-0.5</v>
      </c>
      <c r="NQ29" s="286">
        <f>'Data-temp_employment'!NQ29-last_qrtr_tempemp!NR29</f>
        <v>-0.90000000000000036</v>
      </c>
      <c r="NR29" s="286">
        <f>'Data-temp_employment'!NR29-last_qrtr_tempemp!NS29</f>
        <v>0.39999999999999991</v>
      </c>
      <c r="NS29" s="286">
        <f>'Data-temp_employment'!NS29-last_qrtr_tempemp!NT29</f>
        <v>-0.39999999999999991</v>
      </c>
      <c r="NT29" s="286">
        <f>'Data-temp_employment'!NT29-last_qrtr_tempemp!NU29</f>
        <v>1.2000000000000002</v>
      </c>
      <c r="NU29" s="286">
        <f>'Data-temp_employment'!NU29-last_qrtr_tempemp!NV29</f>
        <v>0.20000000000000018</v>
      </c>
      <c r="NV29" s="286">
        <f>'Data-temp_employment'!NV29</f>
        <v>4.5</v>
      </c>
      <c r="NW29" s="303" t="s">
        <v>56</v>
      </c>
      <c r="NX29" s="286">
        <f>'Data-temp_employment'!NX29-last_qrtr_tempemp!NY29</f>
        <v>-2.2999999999999998</v>
      </c>
      <c r="NY29" s="286">
        <f>'Data-temp_employment'!NY29-last_qrtr_tempemp!NZ29</f>
        <v>0.5</v>
      </c>
      <c r="NZ29" s="286">
        <f>'Data-temp_employment'!NZ29-last_qrtr_tempemp!OA29</f>
        <v>2.8</v>
      </c>
      <c r="OA29" s="286">
        <f>'Data-temp_employment'!OA29-last_qrtr_tempemp!OB29</f>
        <v>2.6</v>
      </c>
      <c r="OB29" s="286">
        <f>'Data-temp_employment'!OB29-last_qrtr_tempemp!OC29</f>
        <v>-2.7</v>
      </c>
      <c r="OC29" s="286">
        <f>'Data-temp_employment'!OC29-last_qrtr_tempemp!OD29</f>
        <v>-0.5</v>
      </c>
      <c r="OD29" s="286">
        <f>'Data-temp_employment'!OD29-last_qrtr_tempemp!OE29</f>
        <v>-1</v>
      </c>
      <c r="OE29" s="286">
        <f>'Data-temp_employment'!OE29-last_qrtr_tempemp!OF29</f>
        <v>1.9</v>
      </c>
      <c r="OF29" s="286">
        <f>'Data-temp_employment'!OF29-last_qrtr_tempemp!OG29</f>
        <v>-0.19999999999999973</v>
      </c>
      <c r="OG29" s="286">
        <f>'Data-temp_employment'!OG29</f>
        <v>0</v>
      </c>
      <c r="OH29" s="287" t="s">
        <v>56</v>
      </c>
      <c r="OI29" s="286"/>
      <c r="OJ29" s="286"/>
      <c r="OK29" s="286"/>
      <c r="OL29" s="286"/>
      <c r="OM29" s="286"/>
      <c r="ON29" s="286"/>
      <c r="OO29" s="286"/>
      <c r="OP29" s="286"/>
      <c r="OQ29" s="286"/>
      <c r="OR29" s="286"/>
      <c r="OS29" s="303" t="s">
        <v>56</v>
      </c>
      <c r="OT29" s="286" t="e">
        <f>'Data-temp_employment'!#REF!-last_qrtr_tempemp!OU29</f>
        <v>#REF!</v>
      </c>
      <c r="OU29" s="286">
        <f>'Data-temp_employment'!OT29-last_qrtr_tempemp!OV29</f>
        <v>-0.4</v>
      </c>
      <c r="OV29" s="286">
        <f>'Data-temp_employment'!OU29-last_qrtr_tempemp!OW29</f>
        <v>-0.4</v>
      </c>
      <c r="OW29" s="286">
        <f>'Data-temp_employment'!OV29-last_qrtr_tempemp!OX29</f>
        <v>-0.8</v>
      </c>
      <c r="OX29" s="286">
        <f>'Data-temp_employment'!OW29-last_qrtr_tempemp!OY29</f>
        <v>-0.3</v>
      </c>
      <c r="OY29" s="286">
        <f>'Data-temp_employment'!OX29-last_qrtr_tempemp!OZ29</f>
        <v>-0.9</v>
      </c>
      <c r="OZ29" s="286">
        <f>'Data-temp_employment'!OY29-last_qrtr_tempemp!PA29</f>
        <v>-0.7</v>
      </c>
      <c r="PA29" s="286">
        <f>'Data-temp_employment'!OZ29-last_qrtr_tempemp!PB29</f>
        <v>-0.6</v>
      </c>
      <c r="PB29" s="286">
        <f>'Data-temp_employment'!PA29-last_qrtr_tempemp!PC29</f>
        <v>-1.5</v>
      </c>
      <c r="PC29" s="286">
        <f>'Data-temp_employment'!PB29</f>
        <v>0</v>
      </c>
      <c r="PE29" s="319"/>
      <c r="PF29" s="319"/>
      <c r="PG29" s="319"/>
      <c r="PH29" s="319"/>
      <c r="PI29" s="319"/>
      <c r="PJ29" s="319"/>
      <c r="PK29" s="319"/>
      <c r="PL29" s="319"/>
      <c r="PM29" s="319"/>
      <c r="PN29" s="319"/>
      <c r="PO29" s="319"/>
      <c r="PP29" s="319"/>
      <c r="PQ29" s="319"/>
      <c r="PR29" s="319"/>
      <c r="PS29" s="319"/>
      <c r="PT29" s="319"/>
      <c r="PU29" s="319"/>
      <c r="PV29" s="319"/>
      <c r="PW29" s="319"/>
      <c r="PX29" s="319"/>
      <c r="PY29" s="319"/>
      <c r="PZ29" s="319"/>
      <c r="QA29" s="319"/>
      <c r="QB29" s="319"/>
      <c r="QC29" s="319"/>
      <c r="QD29" s="319"/>
      <c r="QE29" s="319"/>
      <c r="QF29" s="319"/>
      <c r="QG29" s="319"/>
      <c r="QH29" s="319"/>
      <c r="QI29" s="319"/>
      <c r="QJ29" s="319"/>
      <c r="QK29" s="319"/>
      <c r="QL29" s="319"/>
      <c r="QM29" s="319"/>
      <c r="QN29" s="319"/>
      <c r="QO29" s="319"/>
      <c r="QP29" s="319"/>
      <c r="QQ29" s="319"/>
      <c r="QR29" s="319"/>
      <c r="QS29" s="319"/>
      <c r="QT29" s="319"/>
      <c r="QU29" s="319"/>
      <c r="QV29" s="319"/>
      <c r="QW29" s="319"/>
      <c r="QX29" s="319"/>
      <c r="QY29" s="319"/>
      <c r="QZ29" s="319"/>
      <c r="RA29" s="319"/>
      <c r="RB29" s="319"/>
      <c r="RC29" s="319"/>
      <c r="RD29" s="319"/>
      <c r="RE29" s="319"/>
      <c r="RF29" s="319"/>
      <c r="RG29" s="319"/>
      <c r="RH29" s="319"/>
      <c r="RI29" s="319"/>
      <c r="RJ29" s="319"/>
      <c r="RK29" s="319"/>
      <c r="RL29" s="319"/>
      <c r="RM29" s="319"/>
      <c r="RN29" s="319"/>
      <c r="RO29" s="319"/>
      <c r="RP29" s="319"/>
      <c r="RQ29" s="318"/>
    </row>
    <row r="30" spans="1:485" s="272" customFormat="1">
      <c r="A30" s="269">
        <v>27</v>
      </c>
      <c r="B30" s="303" t="s">
        <v>33</v>
      </c>
      <c r="C30" s="286">
        <f>'Data-temp_employment'!C30-last_qrtr_tempemp!D30</f>
        <v>0.40000000000000036</v>
      </c>
      <c r="D30" s="286">
        <f>'Data-temp_employment'!D30-last_qrtr_tempemp!E30</f>
        <v>-1.2000000000000011</v>
      </c>
      <c r="E30" s="286">
        <f>'Data-temp_employment'!E30-last_qrtr_tempemp!F30</f>
        <v>9.9999999999999645E-2</v>
      </c>
      <c r="F30" s="286">
        <f>'Data-temp_employment'!F30-last_qrtr_tempemp!G30</f>
        <v>1.0000000000000009</v>
      </c>
      <c r="G30" s="286">
        <f>'Data-temp_employment'!G30-last_qrtr_tempemp!H30</f>
        <v>-0.59999999999999964</v>
      </c>
      <c r="H30" s="286">
        <f>'Data-temp_employment'!H30-last_qrtr_tempemp!I30</f>
        <v>-2.0999999999999996</v>
      </c>
      <c r="I30" s="286">
        <f>'Data-temp_employment'!I30-last_qrtr_tempemp!J30</f>
        <v>-2.2999999999999998</v>
      </c>
      <c r="J30" s="286">
        <f>'Data-temp_employment'!J30-last_qrtr_tempemp!K30</f>
        <v>9.9999999999999645E-2</v>
      </c>
      <c r="K30" s="286">
        <f>'Data-temp_employment'!K30-last_qrtr_tempemp!L30</f>
        <v>2.0999999999999996</v>
      </c>
      <c r="L30" s="286">
        <f>'Data-temp_employment'!L30</f>
        <v>7.7</v>
      </c>
      <c r="M30" s="303" t="s">
        <v>33</v>
      </c>
      <c r="N30" s="286">
        <f>'Data-temp_employment'!N30-last_qrtr_tempemp!O30</f>
        <v>1.6000000000000014</v>
      </c>
      <c r="O30" s="286">
        <f>'Data-temp_employment'!O30-last_qrtr_tempemp!P30</f>
        <v>-1</v>
      </c>
      <c r="P30" s="286">
        <f>'Data-temp_employment'!P30-last_qrtr_tempemp!Q30</f>
        <v>1.8999999999999986</v>
      </c>
      <c r="Q30" s="286">
        <f>'Data-temp_employment'!Q30-last_qrtr_tempemp!R30</f>
        <v>3.2000000000000011</v>
      </c>
      <c r="R30" s="286">
        <f>'Data-temp_employment'!R30-last_qrtr_tempemp!S30</f>
        <v>-0.19999999999999929</v>
      </c>
      <c r="S30" s="286">
        <f>'Data-temp_employment'!S30-last_qrtr_tempemp!T30</f>
        <v>-2.4000000000000004</v>
      </c>
      <c r="T30" s="286">
        <f>'Data-temp_employment'!T30-last_qrtr_tempemp!U30</f>
        <v>-2.4000000000000004</v>
      </c>
      <c r="U30" s="286">
        <f>'Data-temp_employment'!U30-last_qrtr_tempemp!V30</f>
        <v>1.8000000000000007</v>
      </c>
      <c r="V30" s="286">
        <f>'Data-temp_employment'!V30-last_qrtr_tempemp!W30</f>
        <v>5.4</v>
      </c>
      <c r="W30" s="286">
        <f>'Data-temp_employment'!W30</f>
        <v>15.1</v>
      </c>
      <c r="X30" s="303" t="s">
        <v>33</v>
      </c>
      <c r="Y30" s="286">
        <f>'Data-temp_employment'!Y30-last_qrtr_tempemp!Z30</f>
        <v>0</v>
      </c>
      <c r="Z30" s="286">
        <f>'Data-temp_employment'!Z30-last_qrtr_tempemp!AA30</f>
        <v>0</v>
      </c>
      <c r="AA30" s="286">
        <f>'Data-temp_employment'!AA30-last_qrtr_tempemp!AB30</f>
        <v>0</v>
      </c>
      <c r="AB30" s="286">
        <f>'Data-temp_employment'!AB30-last_qrtr_tempemp!AC30</f>
        <v>0</v>
      </c>
      <c r="AC30" s="286">
        <f>'Data-temp_employment'!AC30-last_qrtr_tempemp!AD30</f>
        <v>0</v>
      </c>
      <c r="AD30" s="286">
        <f>'Data-temp_employment'!AD30-last_qrtr_tempemp!AE30</f>
        <v>0</v>
      </c>
      <c r="AE30" s="286">
        <f>'Data-temp_employment'!AE30-last_qrtr_tempemp!AF30</f>
        <v>0</v>
      </c>
      <c r="AF30" s="286">
        <f>'Data-temp_employment'!AF30-last_qrtr_tempemp!AG30</f>
        <v>0</v>
      </c>
      <c r="AG30" s="286">
        <f>'Data-temp_employment'!AG30-last_qrtr_tempemp!AH30</f>
        <v>0</v>
      </c>
      <c r="AH30" s="286">
        <f>'Data-temp_employment'!AH30</f>
        <v>0</v>
      </c>
      <c r="AI30" s="303" t="s">
        <v>33</v>
      </c>
      <c r="AJ30" s="286">
        <f>'Data-temp_employment'!AJ30-last_qrtr_tempemp!AK30</f>
        <v>0</v>
      </c>
      <c r="AK30" s="286">
        <f>'Data-temp_employment'!AK30-last_qrtr_tempemp!AL30</f>
        <v>0</v>
      </c>
      <c r="AL30" s="286">
        <f>'Data-temp_employment'!AL30-last_qrtr_tempemp!AM30</f>
        <v>0</v>
      </c>
      <c r="AM30" s="286">
        <f>'Data-temp_employment'!AM30-last_qrtr_tempemp!AN30</f>
        <v>0</v>
      </c>
      <c r="AN30" s="286">
        <f>'Data-temp_employment'!AN30-last_qrtr_tempemp!AO30</f>
        <v>0</v>
      </c>
      <c r="AO30" s="286">
        <f>'Data-temp_employment'!AO30-last_qrtr_tempemp!AP30</f>
        <v>0</v>
      </c>
      <c r="AP30" s="286">
        <f>'Data-temp_employment'!AP30-last_qrtr_tempemp!AQ30</f>
        <v>0</v>
      </c>
      <c r="AQ30" s="286">
        <f>'Data-temp_employment'!AQ30-last_qrtr_tempemp!AR30</f>
        <v>0</v>
      </c>
      <c r="AR30" s="286">
        <f>'Data-temp_employment'!AR30-last_qrtr_tempemp!AS30</f>
        <v>0</v>
      </c>
      <c r="AS30" s="286">
        <f>'Data-temp_employment'!AS30</f>
        <v>0</v>
      </c>
      <c r="AT30" s="303" t="s">
        <v>33</v>
      </c>
      <c r="AU30" s="286">
        <f>'Data-temp_employment'!AU30-last_qrtr_tempemp!AV30</f>
        <v>1.0999999999999996</v>
      </c>
      <c r="AV30" s="286">
        <f>'Data-temp_employment'!AV30-last_qrtr_tempemp!AW30</f>
        <v>-1</v>
      </c>
      <c r="AW30" s="286">
        <f>'Data-temp_employment'!AW30-last_qrtr_tempemp!AX30</f>
        <v>-1.2000000000000002</v>
      </c>
      <c r="AX30" s="286">
        <f>'Data-temp_employment'!AX30-last_qrtr_tempemp!AY30</f>
        <v>2.1999999999999997</v>
      </c>
      <c r="AY30" s="286">
        <f>'Data-temp_employment'!AY30-last_qrtr_tempemp!AZ30</f>
        <v>0.29999999999999982</v>
      </c>
      <c r="AZ30" s="286">
        <f>'Data-temp_employment'!AZ30-last_qrtr_tempemp!BA30</f>
        <v>0.29999999999999982</v>
      </c>
      <c r="BA30" s="286">
        <f>'Data-temp_employment'!BA30-last_qrtr_tempemp!BB30</f>
        <v>-1.4</v>
      </c>
      <c r="BB30" s="286">
        <f>'Data-temp_employment'!BB30-last_qrtr_tempemp!BC30</f>
        <v>1.6</v>
      </c>
      <c r="BC30" s="286">
        <f>'Data-temp_employment'!BC30-last_qrtr_tempemp!BD30</f>
        <v>1.5</v>
      </c>
      <c r="BD30" s="286">
        <f>'Data-temp_employment'!BD30</f>
        <v>1.6</v>
      </c>
      <c r="BE30" s="303" t="s">
        <v>33</v>
      </c>
      <c r="BF30" s="286">
        <f>'Data-temp_employment'!BF30-last_qrtr_tempemp!BG30</f>
        <v>0.70000000000000018</v>
      </c>
      <c r="BG30" s="286">
        <f>'Data-temp_employment'!BG30-last_qrtr_tempemp!BH30</f>
        <v>9.9999999999999645E-2</v>
      </c>
      <c r="BH30" s="286">
        <f>'Data-temp_employment'!BH30-last_qrtr_tempemp!BI30</f>
        <v>-0.30000000000000027</v>
      </c>
      <c r="BI30" s="286">
        <f>'Data-temp_employment'!BI30-last_qrtr_tempemp!BJ30</f>
        <v>0.79999999999999982</v>
      </c>
      <c r="BJ30" s="286">
        <f>'Data-temp_employment'!BJ30-last_qrtr_tempemp!BK30</f>
        <v>-0.29999999999999982</v>
      </c>
      <c r="BK30" s="286">
        <f>'Data-temp_employment'!BK30-last_qrtr_tempemp!BL30</f>
        <v>-0.40000000000000036</v>
      </c>
      <c r="BL30" s="286">
        <f>'Data-temp_employment'!BL30-last_qrtr_tempemp!BM30</f>
        <v>-2.6</v>
      </c>
      <c r="BM30" s="286">
        <f>'Data-temp_employment'!BM30-last_qrtr_tempemp!BN30</f>
        <v>-0.5</v>
      </c>
      <c r="BN30" s="286">
        <f>'Data-temp_employment'!BN30-last_qrtr_tempemp!BO30</f>
        <v>0.39999999999999991</v>
      </c>
      <c r="BO30" s="286">
        <f>'Data-temp_employment'!BO30</f>
        <v>5.8</v>
      </c>
      <c r="BP30" s="303" t="s">
        <v>33</v>
      </c>
      <c r="BQ30" s="286">
        <f>'Data-temp_employment'!BQ30-last_qrtr_tempemp!BR30</f>
        <v>0</v>
      </c>
      <c r="BR30" s="286">
        <f>'Data-temp_employment'!BR30-last_qrtr_tempemp!BS30</f>
        <v>0</v>
      </c>
      <c r="BS30" s="286">
        <f>'Data-temp_employment'!BS30-last_qrtr_tempemp!BT30</f>
        <v>2.2000000000000002</v>
      </c>
      <c r="BT30" s="286">
        <f>'Data-temp_employment'!BT30-last_qrtr_tempemp!BU30</f>
        <v>0</v>
      </c>
      <c r="BU30" s="286">
        <f>'Data-temp_employment'!BU30-last_qrtr_tempemp!BV30</f>
        <v>0</v>
      </c>
      <c r="BV30" s="286">
        <f>'Data-temp_employment'!BV30-last_qrtr_tempemp!BW30</f>
        <v>0</v>
      </c>
      <c r="BW30" s="286">
        <f>'Data-temp_employment'!BW30-last_qrtr_tempemp!BX30</f>
        <v>1.8</v>
      </c>
      <c r="BX30" s="286">
        <f>'Data-temp_employment'!BX30-last_qrtr_tempemp!BY30</f>
        <v>1.8</v>
      </c>
      <c r="BY30" s="286">
        <f>'Data-temp_employment'!BY30-last_qrtr_tempemp!BZ30</f>
        <v>3.6</v>
      </c>
      <c r="BZ30" s="286">
        <f>'Data-temp_employment'!BZ30</f>
        <v>2</v>
      </c>
      <c r="CA30" s="303" t="s">
        <v>33</v>
      </c>
      <c r="CB30" s="286">
        <f>'Data-temp_employment'!CB30-last_qrtr_tempemp!CC30</f>
        <v>0</v>
      </c>
      <c r="CC30" s="286">
        <f>'Data-temp_employment'!CC30-last_qrtr_tempemp!CD30</f>
        <v>0</v>
      </c>
      <c r="CD30" s="286">
        <f>'Data-temp_employment'!CD30-last_qrtr_tempemp!CE30</f>
        <v>0</v>
      </c>
      <c r="CE30" s="286">
        <f>'Data-temp_employment'!CE30-last_qrtr_tempemp!CF30</f>
        <v>0</v>
      </c>
      <c r="CF30" s="286">
        <f>'Data-temp_employment'!CF30-last_qrtr_tempemp!CG30</f>
        <v>0</v>
      </c>
      <c r="CG30" s="286">
        <f>'Data-temp_employment'!CG30-last_qrtr_tempemp!CH30</f>
        <v>0</v>
      </c>
      <c r="CH30" s="286">
        <f>'Data-temp_employment'!CH30-last_qrtr_tempemp!CI30</f>
        <v>0</v>
      </c>
      <c r="CI30" s="286">
        <f>'Data-temp_employment'!CI30-last_qrtr_tempemp!CJ30</f>
        <v>0</v>
      </c>
      <c r="CJ30" s="286">
        <f>'Data-temp_employment'!CJ30-last_qrtr_tempemp!CK30</f>
        <v>0</v>
      </c>
      <c r="CK30" s="286">
        <f>'Data-temp_employment'!CK30</f>
        <v>0</v>
      </c>
      <c r="CL30" s="303" t="s">
        <v>33</v>
      </c>
      <c r="CM30" s="286">
        <f>'Data-temp_employment'!CM30-last_qrtr_tempemp!CN30</f>
        <v>-0.5</v>
      </c>
      <c r="CN30" s="286">
        <f>'Data-temp_employment'!CN30-last_qrtr_tempemp!CO30</f>
        <v>-0.70000000000000018</v>
      </c>
      <c r="CO30" s="286">
        <f>'Data-temp_employment'!CO30-last_qrtr_tempemp!CP30</f>
        <v>-0.90000000000000036</v>
      </c>
      <c r="CP30" s="286">
        <f>'Data-temp_employment'!CP30-last_qrtr_tempemp!CQ30</f>
        <v>1</v>
      </c>
      <c r="CQ30" s="286">
        <f>'Data-temp_employment'!CQ30-last_qrtr_tempemp!CR30</f>
        <v>-0.5</v>
      </c>
      <c r="CR30" s="286">
        <f>'Data-temp_employment'!CR30-last_qrtr_tempemp!CS30</f>
        <v>-0.40000000000000036</v>
      </c>
      <c r="CS30" s="286">
        <f>'Data-temp_employment'!CS30-last_qrtr_tempemp!CT30</f>
        <v>-0.89999999999999991</v>
      </c>
      <c r="CT30" s="286">
        <f>'Data-temp_employment'!CT30-last_qrtr_tempemp!CU30</f>
        <v>0.30000000000000027</v>
      </c>
      <c r="CU30" s="286">
        <f>'Data-temp_employment'!CU30-last_qrtr_tempemp!CV30</f>
        <v>0.40000000000000036</v>
      </c>
      <c r="CV30" s="286">
        <f>'Data-temp_employment'!CV30</f>
        <v>4.9000000000000004</v>
      </c>
      <c r="CW30" s="303" t="s">
        <v>33</v>
      </c>
      <c r="CX30" s="286">
        <f>'Data-temp_employment'!CX30-last_qrtr_tempemp!CY30</f>
        <v>0.29999999999999982</v>
      </c>
      <c r="CY30" s="286">
        <f>'Data-temp_employment'!CY30-last_qrtr_tempemp!CZ30</f>
        <v>-0.70000000000000018</v>
      </c>
      <c r="CZ30" s="286">
        <f>'Data-temp_employment'!CZ30-last_qrtr_tempemp!DA30</f>
        <v>2.4000000000000004</v>
      </c>
      <c r="DA30" s="286">
        <f>'Data-temp_employment'!DA30-last_qrtr_tempemp!DB30</f>
        <v>1.5</v>
      </c>
      <c r="DB30" s="286">
        <f>'Data-temp_employment'!DB30-last_qrtr_tempemp!DC30</f>
        <v>-0.30000000000000027</v>
      </c>
      <c r="DC30" s="286">
        <f>'Data-temp_employment'!DC30-last_qrtr_tempemp!DD30</f>
        <v>-1.5</v>
      </c>
      <c r="DD30" s="286">
        <f>'Data-temp_employment'!DD30-last_qrtr_tempemp!DE30</f>
        <v>-1.1999999999999997</v>
      </c>
      <c r="DE30" s="286">
        <f>'Data-temp_employment'!DE30-last_qrtr_tempemp!DF30</f>
        <v>0.80000000000000027</v>
      </c>
      <c r="DF30" s="286">
        <f>'Data-temp_employment'!DF30-last_qrtr_tempemp!DG30</f>
        <v>3</v>
      </c>
      <c r="DG30" s="286">
        <f>'Data-temp_employment'!DG30</f>
        <v>6</v>
      </c>
      <c r="DH30" s="303" t="s">
        <v>33</v>
      </c>
      <c r="DI30" s="286">
        <f>'Data-temp_employment'!DI30-last_qrtr_tempemp!DJ30</f>
        <v>1.8000000000000003</v>
      </c>
      <c r="DJ30" s="286">
        <f>'Data-temp_employment'!DJ30-last_qrtr_tempemp!DK30</f>
        <v>0.5</v>
      </c>
      <c r="DK30" s="286">
        <f>'Data-temp_employment'!DK30-last_qrtr_tempemp!DL30</f>
        <v>0.30000000000000027</v>
      </c>
      <c r="DL30" s="286">
        <f>'Data-temp_employment'!DL30-last_qrtr_tempemp!DM30</f>
        <v>0.60000000000000009</v>
      </c>
      <c r="DM30" s="286">
        <f>'Data-temp_employment'!DM30-last_qrtr_tempemp!DN30</f>
        <v>0.60000000000000009</v>
      </c>
      <c r="DN30" s="286">
        <f>'Data-temp_employment'!DN30-last_qrtr_tempemp!DO30</f>
        <v>-0.40000000000000036</v>
      </c>
      <c r="DO30" s="286">
        <f>'Data-temp_employment'!DO30-last_qrtr_tempemp!DP30</f>
        <v>-0.29999999999999982</v>
      </c>
      <c r="DP30" s="286">
        <f>'Data-temp_employment'!DP30-last_qrtr_tempemp!DQ30</f>
        <v>0.59999999999999964</v>
      </c>
      <c r="DQ30" s="286">
        <f>'Data-temp_employment'!DQ30-last_qrtr_tempemp!DR30</f>
        <v>2.0000000000000004</v>
      </c>
      <c r="DR30" s="286">
        <f>'Data-temp_employment'!DR30</f>
        <v>4.3</v>
      </c>
      <c r="DS30" s="303" t="s">
        <v>33</v>
      </c>
      <c r="DT30" s="286">
        <f>'Data-temp_employment'!DT30-last_qrtr_tempemp!DU30</f>
        <v>0</v>
      </c>
      <c r="DU30" s="286">
        <f>'Data-temp_employment'!DU30-last_qrtr_tempemp!DV30</f>
        <v>0</v>
      </c>
      <c r="DV30" s="286">
        <f>'Data-temp_employment'!DV30-last_qrtr_tempemp!DW30</f>
        <v>0</v>
      </c>
      <c r="DW30" s="286">
        <f>'Data-temp_employment'!DW30-last_qrtr_tempemp!DX30</f>
        <v>0</v>
      </c>
      <c r="DX30" s="286">
        <f>'Data-temp_employment'!DX30-last_qrtr_tempemp!DY30</f>
        <v>0</v>
      </c>
      <c r="DY30" s="286">
        <f>'Data-temp_employment'!DY30-last_qrtr_tempemp!DZ30</f>
        <v>0</v>
      </c>
      <c r="DZ30" s="286">
        <f>'Data-temp_employment'!DZ30-last_qrtr_tempemp!EA30</f>
        <v>0</v>
      </c>
      <c r="EA30" s="286">
        <f>'Data-temp_employment'!EA30-last_qrtr_tempemp!EB30</f>
        <v>0</v>
      </c>
      <c r="EB30" s="286">
        <f>'Data-temp_employment'!EB30-last_qrtr_tempemp!EC30</f>
        <v>0</v>
      </c>
      <c r="EC30" s="286">
        <f>'Data-temp_employment'!EC30</f>
        <v>0</v>
      </c>
      <c r="ED30" s="303" t="s">
        <v>33</v>
      </c>
      <c r="EE30" s="286">
        <f>'Data-temp_employment'!EE30-last_qrtr_tempemp!EF30</f>
        <v>0</v>
      </c>
      <c r="EF30" s="286">
        <f>'Data-temp_employment'!EF30-last_qrtr_tempemp!EG30</f>
        <v>0</v>
      </c>
      <c r="EG30" s="286">
        <f>'Data-temp_employment'!EG30-last_qrtr_tempemp!EH30</f>
        <v>0</v>
      </c>
      <c r="EH30" s="286">
        <f>'Data-temp_employment'!EH30-last_qrtr_tempemp!EI30</f>
        <v>0</v>
      </c>
      <c r="EI30" s="286">
        <f>'Data-temp_employment'!EI30-last_qrtr_tempemp!EJ30</f>
        <v>0</v>
      </c>
      <c r="EJ30" s="286">
        <f>'Data-temp_employment'!EJ30-last_qrtr_tempemp!EK30</f>
        <v>0</v>
      </c>
      <c r="EK30" s="286">
        <f>'Data-temp_employment'!EK30-last_qrtr_tempemp!EL30</f>
        <v>0</v>
      </c>
      <c r="EL30" s="286">
        <f>'Data-temp_employment'!EL30-last_qrtr_tempemp!EM30</f>
        <v>0</v>
      </c>
      <c r="EM30" s="286">
        <f>'Data-temp_employment'!EM30-last_qrtr_tempemp!EN30</f>
        <v>0</v>
      </c>
      <c r="EN30" s="286">
        <f>'Data-temp_employment'!EN30</f>
        <v>0</v>
      </c>
      <c r="EO30" s="303" t="s">
        <v>33</v>
      </c>
      <c r="EP30" s="286">
        <f>'Data-temp_employment'!EP30-last_qrtr_tempemp!EQ30</f>
        <v>0</v>
      </c>
      <c r="EQ30" s="286">
        <f>'Data-temp_employment'!EQ30-last_qrtr_tempemp!ER30</f>
        <v>2.1</v>
      </c>
      <c r="ER30" s="286">
        <f>'Data-temp_employment'!ER30-last_qrtr_tempemp!ES30</f>
        <v>2.5</v>
      </c>
      <c r="ES30" s="286">
        <f>'Data-temp_employment'!ES30-last_qrtr_tempemp!ET30</f>
        <v>1.9</v>
      </c>
      <c r="ET30" s="286">
        <f>'Data-temp_employment'!ET30-last_qrtr_tempemp!EU30</f>
        <v>0</v>
      </c>
      <c r="EU30" s="286">
        <f>'Data-temp_employment'!EU30-last_qrtr_tempemp!EV30</f>
        <v>1.5</v>
      </c>
      <c r="EV30" s="286">
        <f>'Data-temp_employment'!EV30-last_qrtr_tempemp!EW30</f>
        <v>2.5</v>
      </c>
      <c r="EW30" s="286">
        <f>'Data-temp_employment'!EW30-last_qrtr_tempemp!EX30</f>
        <v>2.2000000000000002</v>
      </c>
      <c r="EX30" s="286">
        <f>'Data-temp_employment'!EX30-last_qrtr_tempemp!EY30</f>
        <v>1.9</v>
      </c>
      <c r="EY30" s="286">
        <f>'Data-temp_employment'!EY30</f>
        <v>3.7</v>
      </c>
      <c r="EZ30" s="303" t="s">
        <v>33</v>
      </c>
      <c r="FA30" s="286">
        <f>'Data-temp_employment'!FA30-last_qrtr_tempemp!FB30</f>
        <v>0</v>
      </c>
      <c r="FB30" s="286">
        <f>'Data-temp_employment'!FB30-last_qrtr_tempemp!FC30</f>
        <v>1.6</v>
      </c>
      <c r="FC30" s="286">
        <f>'Data-temp_employment'!FC30-last_qrtr_tempemp!FD30</f>
        <v>1.6</v>
      </c>
      <c r="FD30" s="286">
        <f>'Data-temp_employment'!FD30-last_qrtr_tempemp!FE30</f>
        <v>2.1</v>
      </c>
      <c r="FE30" s="286">
        <f>'Data-temp_employment'!FE30-last_qrtr_tempemp!FF30</f>
        <v>1.8</v>
      </c>
      <c r="FF30" s="286">
        <f>'Data-temp_employment'!FF30-last_qrtr_tempemp!FG30</f>
        <v>0</v>
      </c>
      <c r="FG30" s="286">
        <f>'Data-temp_employment'!FG30-last_qrtr_tempemp!FH30</f>
        <v>0</v>
      </c>
      <c r="FH30" s="286">
        <f>'Data-temp_employment'!FH30-last_qrtr_tempemp!FI30</f>
        <v>0</v>
      </c>
      <c r="FI30" s="286">
        <f>'Data-temp_employment'!FI30-last_qrtr_tempemp!FJ30</f>
        <v>3.2</v>
      </c>
      <c r="FJ30" s="286">
        <f>'Data-temp_employment'!FJ30</f>
        <v>3.5</v>
      </c>
      <c r="FK30" s="303" t="s">
        <v>33</v>
      </c>
      <c r="FL30" s="286">
        <f>'Data-temp_employment'!FL30-last_qrtr_tempemp!FM30</f>
        <v>2.8</v>
      </c>
      <c r="FM30" s="286">
        <f>'Data-temp_employment'!FM30-last_qrtr_tempemp!FN30</f>
        <v>-2</v>
      </c>
      <c r="FN30" s="286">
        <f>'Data-temp_employment'!FN30-last_qrtr_tempemp!FO30</f>
        <v>0</v>
      </c>
      <c r="FO30" s="286">
        <f>'Data-temp_employment'!FO30-last_qrtr_tempemp!FP30</f>
        <v>0.39999999999999991</v>
      </c>
      <c r="FP30" s="286">
        <f>'Data-temp_employment'!FP30-last_qrtr_tempemp!FQ30</f>
        <v>0</v>
      </c>
      <c r="FQ30" s="286">
        <f>'Data-temp_employment'!FQ30-last_qrtr_tempemp!FR30</f>
        <v>-2.1</v>
      </c>
      <c r="FR30" s="286">
        <f>'Data-temp_employment'!FR30-last_qrtr_tempemp!FS30</f>
        <v>-2.5</v>
      </c>
      <c r="FS30" s="286">
        <f>'Data-temp_employment'!FS30-last_qrtr_tempemp!FT30</f>
        <v>0</v>
      </c>
      <c r="FT30" s="286">
        <f>'Data-temp_employment'!FT30-last_qrtr_tempemp!FU30</f>
        <v>1.9</v>
      </c>
      <c r="FU30" s="286">
        <f>'Data-temp_employment'!FU30</f>
        <v>2.5</v>
      </c>
      <c r="FV30" s="303" t="s">
        <v>33</v>
      </c>
      <c r="FW30" s="286">
        <f>'Data-temp_employment'!FW30-last_qrtr_tempemp!FX30</f>
        <v>0.89999999999999991</v>
      </c>
      <c r="FX30" s="286">
        <f>'Data-temp_employment'!FX30-last_qrtr_tempemp!FY30</f>
        <v>0</v>
      </c>
      <c r="FY30" s="286">
        <f>'Data-temp_employment'!FY30-last_qrtr_tempemp!FZ30</f>
        <v>1.1000000000000001</v>
      </c>
      <c r="FZ30" s="286">
        <f>'Data-temp_employment'!FZ30-last_qrtr_tempemp!GA30</f>
        <v>-0.40000000000000036</v>
      </c>
      <c r="GA30" s="286">
        <f>'Data-temp_employment'!GA30-last_qrtr_tempemp!GB30</f>
        <v>0.70000000000000018</v>
      </c>
      <c r="GB30" s="286">
        <f>'Data-temp_employment'!GB30-last_qrtr_tempemp!GC30</f>
        <v>0</v>
      </c>
      <c r="GC30" s="286">
        <f>'Data-temp_employment'!GC30-last_qrtr_tempemp!GD30</f>
        <v>-0.5</v>
      </c>
      <c r="GD30" s="286">
        <f>'Data-temp_employment'!GD30-last_qrtr_tempemp!GE30</f>
        <v>-0.89999999999999991</v>
      </c>
      <c r="GE30" s="286">
        <f>'Data-temp_employment'!GE30-last_qrtr_tempemp!GF30</f>
        <v>-0.20000000000000018</v>
      </c>
      <c r="GF30" s="286">
        <f>'Data-temp_employment'!GF30</f>
        <v>2</v>
      </c>
      <c r="GG30" s="303" t="s">
        <v>33</v>
      </c>
      <c r="GH30" s="286">
        <f>'Data-temp_employment'!GH30-last_qrtr_tempemp!GI30</f>
        <v>0</v>
      </c>
      <c r="GI30" s="286">
        <f>'Data-temp_employment'!GI30-last_qrtr_tempemp!GJ30</f>
        <v>0</v>
      </c>
      <c r="GJ30" s="286">
        <f>'Data-temp_employment'!GJ30-last_qrtr_tempemp!GK30</f>
        <v>0</v>
      </c>
      <c r="GK30" s="286">
        <f>'Data-temp_employment'!GK30-last_qrtr_tempemp!GL30</f>
        <v>0</v>
      </c>
      <c r="GL30" s="286">
        <f>'Data-temp_employment'!GL30-last_qrtr_tempemp!GM30</f>
        <v>0</v>
      </c>
      <c r="GM30" s="286">
        <f>'Data-temp_employment'!GM30-last_qrtr_tempemp!GN30</f>
        <v>0</v>
      </c>
      <c r="GN30" s="286">
        <f>'Data-temp_employment'!GN30-last_qrtr_tempemp!GO30</f>
        <v>0</v>
      </c>
      <c r="GO30" s="286">
        <f>'Data-temp_employment'!GO30-last_qrtr_tempemp!GP30</f>
        <v>0</v>
      </c>
      <c r="GP30" s="286">
        <f>'Data-temp_employment'!GP30-last_qrtr_tempemp!GQ30</f>
        <v>0</v>
      </c>
      <c r="GQ30" s="286">
        <f>'Data-temp_employment'!GQ30</f>
        <v>0</v>
      </c>
      <c r="GR30" s="303" t="s">
        <v>33</v>
      </c>
      <c r="GS30" s="286">
        <f>'Data-temp_employment'!GS30-last_qrtr_tempemp!GT30</f>
        <v>0</v>
      </c>
      <c r="GT30" s="286">
        <f>'Data-temp_employment'!GT30-last_qrtr_tempemp!GU30</f>
        <v>0</v>
      </c>
      <c r="GU30" s="286">
        <f>'Data-temp_employment'!GU30-last_qrtr_tempemp!GV30</f>
        <v>0</v>
      </c>
      <c r="GV30" s="286">
        <f>'Data-temp_employment'!GV30-last_qrtr_tempemp!GW30</f>
        <v>0</v>
      </c>
      <c r="GW30" s="286">
        <f>'Data-temp_employment'!GW30-last_qrtr_tempemp!GX30</f>
        <v>0</v>
      </c>
      <c r="GX30" s="286">
        <f>'Data-temp_employment'!GX30-last_qrtr_tempemp!GY30</f>
        <v>0</v>
      </c>
      <c r="GY30" s="286">
        <f>'Data-temp_employment'!GY30-last_qrtr_tempemp!GZ30</f>
        <v>0</v>
      </c>
      <c r="GZ30" s="286">
        <f>'Data-temp_employment'!GZ30-last_qrtr_tempemp!HA30</f>
        <v>0</v>
      </c>
      <c r="HA30" s="286">
        <f>'Data-temp_employment'!HA30-last_qrtr_tempemp!HB30</f>
        <v>0</v>
      </c>
      <c r="HB30" s="286">
        <f>'Data-temp_employment'!HB30</f>
        <v>0</v>
      </c>
      <c r="HC30" s="303" t="s">
        <v>33</v>
      </c>
      <c r="HD30" s="286">
        <f>'Data-temp_employment'!HD30-last_qrtr_tempemp!HE30</f>
        <v>0</v>
      </c>
      <c r="HE30" s="286">
        <f>'Data-temp_employment'!HE30-last_qrtr_tempemp!HF30</f>
        <v>0</v>
      </c>
      <c r="HF30" s="286">
        <f>'Data-temp_employment'!HF30-last_qrtr_tempemp!HG30</f>
        <v>0</v>
      </c>
      <c r="HG30" s="286">
        <f>'Data-temp_employment'!HG30-last_qrtr_tempemp!HH30</f>
        <v>0</v>
      </c>
      <c r="HH30" s="286">
        <f>'Data-temp_employment'!HH30-last_qrtr_tempemp!HI30</f>
        <v>0</v>
      </c>
      <c r="HI30" s="286">
        <f>'Data-temp_employment'!HI30-last_qrtr_tempemp!HJ30</f>
        <v>0</v>
      </c>
      <c r="HJ30" s="286">
        <f>'Data-temp_employment'!HJ30-last_qrtr_tempemp!HK30</f>
        <v>0</v>
      </c>
      <c r="HK30" s="286">
        <f>'Data-temp_employment'!HK30-last_qrtr_tempemp!HL30</f>
        <v>0</v>
      </c>
      <c r="HL30" s="286">
        <f>'Data-temp_employment'!HL30-last_qrtr_tempemp!HM30</f>
        <v>0</v>
      </c>
      <c r="HM30" s="286">
        <f>'Data-temp_employment'!HM30</f>
        <v>0</v>
      </c>
      <c r="HN30" s="303" t="s">
        <v>33</v>
      </c>
      <c r="HO30" s="286">
        <f>'Data-temp_employment'!HO30-last_qrtr_tempemp!HP30</f>
        <v>0</v>
      </c>
      <c r="HP30" s="286">
        <f>'Data-temp_employment'!HP30-last_qrtr_tempemp!HQ30</f>
        <v>0</v>
      </c>
      <c r="HQ30" s="286">
        <f>'Data-temp_employment'!HQ30-last_qrtr_tempemp!HR30</f>
        <v>0</v>
      </c>
      <c r="HR30" s="286">
        <f>'Data-temp_employment'!HR30-last_qrtr_tempemp!HS30</f>
        <v>0</v>
      </c>
      <c r="HS30" s="286">
        <f>'Data-temp_employment'!HS30-last_qrtr_tempemp!HT30</f>
        <v>0</v>
      </c>
      <c r="HT30" s="286">
        <f>'Data-temp_employment'!HT30-last_qrtr_tempemp!HU30</f>
        <v>0</v>
      </c>
      <c r="HU30" s="286">
        <f>'Data-temp_employment'!HU30-last_qrtr_tempemp!HV30</f>
        <v>0</v>
      </c>
      <c r="HV30" s="286">
        <f>'Data-temp_employment'!HV30-last_qrtr_tempemp!HW30</f>
        <v>0</v>
      </c>
      <c r="HW30" s="286">
        <f>'Data-temp_employment'!HW30-last_qrtr_tempemp!HX30</f>
        <v>0</v>
      </c>
      <c r="HX30" s="286">
        <f>'Data-temp_employment'!HX30</f>
        <v>0</v>
      </c>
      <c r="HY30" s="303" t="s">
        <v>33</v>
      </c>
      <c r="HZ30" s="286">
        <f>'Data-temp_employment'!HZ30-last_qrtr_tempemp!IA30</f>
        <v>0</v>
      </c>
      <c r="IA30" s="286">
        <f>'Data-temp_employment'!IA30-last_qrtr_tempemp!IB30</f>
        <v>0</v>
      </c>
      <c r="IB30" s="286">
        <f>'Data-temp_employment'!IB30-last_qrtr_tempemp!IC30</f>
        <v>0</v>
      </c>
      <c r="IC30" s="286">
        <f>'Data-temp_employment'!IC30-last_qrtr_tempemp!ID30</f>
        <v>0</v>
      </c>
      <c r="ID30" s="286">
        <f>'Data-temp_employment'!ID30-last_qrtr_tempemp!IE30</f>
        <v>0</v>
      </c>
      <c r="IE30" s="286">
        <f>'Data-temp_employment'!IE30-last_qrtr_tempemp!IF30</f>
        <v>0</v>
      </c>
      <c r="IF30" s="286">
        <f>'Data-temp_employment'!IF30-last_qrtr_tempemp!IG30</f>
        <v>0</v>
      </c>
      <c r="IG30" s="286">
        <f>'Data-temp_employment'!IG30-last_qrtr_tempemp!IH30</f>
        <v>0</v>
      </c>
      <c r="IH30" s="286">
        <f>'Data-temp_employment'!IH30-last_qrtr_tempemp!II30</f>
        <v>0</v>
      </c>
      <c r="II30" s="286">
        <f>'Data-temp_employment'!II30</f>
        <v>0</v>
      </c>
      <c r="IJ30" s="303" t="s">
        <v>33</v>
      </c>
      <c r="IK30" s="286">
        <f>'Data-temp_employment'!IK30-last_qrtr_tempemp!IL30</f>
        <v>0</v>
      </c>
      <c r="IL30" s="286">
        <f>'Data-temp_employment'!IL30-last_qrtr_tempemp!IM30</f>
        <v>0</v>
      </c>
      <c r="IM30" s="286">
        <f>'Data-temp_employment'!IM30-last_qrtr_tempemp!IN30</f>
        <v>0</v>
      </c>
      <c r="IN30" s="286">
        <f>'Data-temp_employment'!IN30-last_qrtr_tempemp!IO30</f>
        <v>0</v>
      </c>
      <c r="IO30" s="286">
        <f>'Data-temp_employment'!IO30-last_qrtr_tempemp!IP30</f>
        <v>0</v>
      </c>
      <c r="IP30" s="286">
        <f>'Data-temp_employment'!IP30-last_qrtr_tempemp!IQ30</f>
        <v>0</v>
      </c>
      <c r="IQ30" s="286">
        <f>'Data-temp_employment'!IQ30-last_qrtr_tempemp!IR30</f>
        <v>0</v>
      </c>
      <c r="IR30" s="286">
        <f>'Data-temp_employment'!IR30-last_qrtr_tempemp!IS30</f>
        <v>0</v>
      </c>
      <c r="IS30" s="286">
        <f>'Data-temp_employment'!IS30-last_qrtr_tempemp!IT30</f>
        <v>0</v>
      </c>
      <c r="IT30" s="286">
        <f>'Data-temp_employment'!IT30</f>
        <v>0</v>
      </c>
      <c r="IU30" s="303" t="s">
        <v>33</v>
      </c>
      <c r="IV30" s="286">
        <f>'Data-temp_employment'!IV30-last_qrtr_tempemp!IW30</f>
        <v>0</v>
      </c>
      <c r="IW30" s="286">
        <f>'Data-temp_employment'!IW30-last_qrtr_tempemp!IX30</f>
        <v>0</v>
      </c>
      <c r="IX30" s="286">
        <f>'Data-temp_employment'!IX30-last_qrtr_tempemp!IY30</f>
        <v>0</v>
      </c>
      <c r="IY30" s="286">
        <f>'Data-temp_employment'!IY30-last_qrtr_tempemp!IZ30</f>
        <v>0</v>
      </c>
      <c r="IZ30" s="286">
        <f>'Data-temp_employment'!IZ30-last_qrtr_tempemp!JA30</f>
        <v>0</v>
      </c>
      <c r="JA30" s="286">
        <f>'Data-temp_employment'!JA30-last_qrtr_tempemp!JB30</f>
        <v>0</v>
      </c>
      <c r="JB30" s="286">
        <f>'Data-temp_employment'!JB30-last_qrtr_tempemp!JC30</f>
        <v>0</v>
      </c>
      <c r="JC30" s="286">
        <f>'Data-temp_employment'!JC30-last_qrtr_tempemp!JD30</f>
        <v>0</v>
      </c>
      <c r="JD30" s="286">
        <f>'Data-temp_employment'!JD30-last_qrtr_tempemp!JE30</f>
        <v>0</v>
      </c>
      <c r="JE30" s="286">
        <f>'Data-temp_employment'!JE30</f>
        <v>0</v>
      </c>
      <c r="JF30" s="303" t="s">
        <v>33</v>
      </c>
      <c r="JG30" s="286">
        <f>'Data-temp_employment'!JG30-last_qrtr_tempemp!JH30</f>
        <v>0</v>
      </c>
      <c r="JH30" s="286">
        <f>'Data-temp_employment'!JH30-last_qrtr_tempemp!JI30</f>
        <v>0</v>
      </c>
      <c r="JI30" s="286">
        <f>'Data-temp_employment'!JI30-last_qrtr_tempemp!JJ30</f>
        <v>0</v>
      </c>
      <c r="JJ30" s="286">
        <f>'Data-temp_employment'!JJ30-last_qrtr_tempemp!JK30</f>
        <v>0</v>
      </c>
      <c r="JK30" s="286">
        <f>'Data-temp_employment'!JK30-last_qrtr_tempemp!JL30</f>
        <v>0</v>
      </c>
      <c r="JL30" s="286">
        <f>'Data-temp_employment'!JL30-last_qrtr_tempemp!JM30</f>
        <v>0</v>
      </c>
      <c r="JM30" s="286">
        <f>'Data-temp_employment'!JM30-last_qrtr_tempemp!JN30</f>
        <v>0</v>
      </c>
      <c r="JN30" s="286">
        <f>'Data-temp_employment'!JN30-last_qrtr_tempemp!JO30</f>
        <v>0</v>
      </c>
      <c r="JO30" s="286">
        <f>'Data-temp_employment'!JO30-last_qrtr_tempemp!JP30</f>
        <v>0</v>
      </c>
      <c r="JP30" s="286">
        <f>'Data-temp_employment'!JP30</f>
        <v>0</v>
      </c>
      <c r="JQ30" s="303" t="s">
        <v>33</v>
      </c>
      <c r="JR30" s="286">
        <f>'Data-temp_employment'!JR30-last_qrtr_tempemp!JS30</f>
        <v>0</v>
      </c>
      <c r="JS30" s="286">
        <f>'Data-temp_employment'!JS30-last_qrtr_tempemp!JT30</f>
        <v>0</v>
      </c>
      <c r="JT30" s="286">
        <f>'Data-temp_employment'!JT30-last_qrtr_tempemp!JU30</f>
        <v>0</v>
      </c>
      <c r="JU30" s="286">
        <f>'Data-temp_employment'!JU30-last_qrtr_tempemp!JV30</f>
        <v>0</v>
      </c>
      <c r="JV30" s="286">
        <f>'Data-temp_employment'!JV30-last_qrtr_tempemp!JW30</f>
        <v>0</v>
      </c>
      <c r="JW30" s="286">
        <f>'Data-temp_employment'!JW30-last_qrtr_tempemp!JX30</f>
        <v>0</v>
      </c>
      <c r="JX30" s="286">
        <f>'Data-temp_employment'!JX30-last_qrtr_tempemp!JY30</f>
        <v>0</v>
      </c>
      <c r="JY30" s="286">
        <f>'Data-temp_employment'!JY30-last_qrtr_tempemp!JZ30</f>
        <v>0</v>
      </c>
      <c r="JZ30" s="286">
        <f>'Data-temp_employment'!JZ30-last_qrtr_tempemp!KA30</f>
        <v>0</v>
      </c>
      <c r="KA30" s="286">
        <f>'Data-temp_employment'!KA30</f>
        <v>0</v>
      </c>
      <c r="KB30" s="303" t="s">
        <v>33</v>
      </c>
      <c r="KC30" s="286">
        <f>'Data-temp_employment'!KC30-last_qrtr_tempemp!KD30</f>
        <v>0</v>
      </c>
      <c r="KD30" s="286">
        <f>'Data-temp_employment'!KD30-last_qrtr_tempemp!KE30</f>
        <v>0</v>
      </c>
      <c r="KE30" s="286">
        <f>'Data-temp_employment'!KE30-last_qrtr_tempemp!KF30</f>
        <v>0</v>
      </c>
      <c r="KF30" s="286">
        <f>'Data-temp_employment'!KF30-last_qrtr_tempemp!KG30</f>
        <v>0</v>
      </c>
      <c r="KG30" s="286">
        <f>'Data-temp_employment'!KG30-last_qrtr_tempemp!KH30</f>
        <v>0</v>
      </c>
      <c r="KH30" s="286">
        <f>'Data-temp_employment'!KH30-last_qrtr_tempemp!KI30</f>
        <v>0</v>
      </c>
      <c r="KI30" s="286">
        <f>'Data-temp_employment'!KI30-last_qrtr_tempemp!KJ30</f>
        <v>0</v>
      </c>
      <c r="KJ30" s="286">
        <f>'Data-temp_employment'!KJ30-last_qrtr_tempemp!KK30</f>
        <v>0</v>
      </c>
      <c r="KK30" s="286">
        <f>'Data-temp_employment'!KK30-last_qrtr_tempemp!KL30</f>
        <v>0</v>
      </c>
      <c r="KL30" s="286">
        <f>'Data-temp_employment'!KL30</f>
        <v>0</v>
      </c>
      <c r="KM30" s="303" t="s">
        <v>33</v>
      </c>
      <c r="KN30" s="286">
        <f>'Data-temp_employment'!KN30-last_qrtr_tempemp!KO30</f>
        <v>0</v>
      </c>
      <c r="KO30" s="286">
        <f>'Data-temp_employment'!KO30-last_qrtr_tempemp!KP30</f>
        <v>0</v>
      </c>
      <c r="KP30" s="286">
        <f>'Data-temp_employment'!KP30-last_qrtr_tempemp!KQ30</f>
        <v>0</v>
      </c>
      <c r="KQ30" s="286">
        <f>'Data-temp_employment'!KQ30-last_qrtr_tempemp!KR30</f>
        <v>0</v>
      </c>
      <c r="KR30" s="286">
        <f>'Data-temp_employment'!KR30-last_qrtr_tempemp!KS30</f>
        <v>0</v>
      </c>
      <c r="KS30" s="286">
        <f>'Data-temp_employment'!KS30-last_qrtr_tempemp!KT30</f>
        <v>0</v>
      </c>
      <c r="KT30" s="286">
        <f>'Data-temp_employment'!KT30-last_qrtr_tempemp!KU30</f>
        <v>0</v>
      </c>
      <c r="KU30" s="286">
        <f>'Data-temp_employment'!KU30-last_qrtr_tempemp!KV30</f>
        <v>0</v>
      </c>
      <c r="KV30" s="286">
        <f>'Data-temp_employment'!KV30-last_qrtr_tempemp!KW30</f>
        <v>0</v>
      </c>
      <c r="KW30" s="286">
        <f>'Data-temp_employment'!KW30</f>
        <v>0</v>
      </c>
      <c r="KX30" s="303" t="s">
        <v>33</v>
      </c>
      <c r="KY30" s="286">
        <f>'Data-temp_employment'!KY30-last_qrtr_tempemp!KZ30</f>
        <v>0</v>
      </c>
      <c r="KZ30" s="286">
        <f>'Data-temp_employment'!KZ30-last_qrtr_tempemp!LA30</f>
        <v>0</v>
      </c>
      <c r="LA30" s="286">
        <f>'Data-temp_employment'!LA30-last_qrtr_tempemp!LB30</f>
        <v>0</v>
      </c>
      <c r="LB30" s="286">
        <f>'Data-temp_employment'!LB30-last_qrtr_tempemp!LC30</f>
        <v>0</v>
      </c>
      <c r="LC30" s="286">
        <f>'Data-temp_employment'!LC30-last_qrtr_tempemp!LD30</f>
        <v>0</v>
      </c>
      <c r="LD30" s="286">
        <f>'Data-temp_employment'!LD30-last_qrtr_tempemp!LE30</f>
        <v>0</v>
      </c>
      <c r="LE30" s="286">
        <f>'Data-temp_employment'!LE30-last_qrtr_tempemp!LF30</f>
        <v>0</v>
      </c>
      <c r="LF30" s="286">
        <f>'Data-temp_employment'!LF30-last_qrtr_tempemp!LG30</f>
        <v>0</v>
      </c>
      <c r="LG30" s="286">
        <f>'Data-temp_employment'!LG30-last_qrtr_tempemp!LH30</f>
        <v>0</v>
      </c>
      <c r="LH30" s="286">
        <f>'Data-temp_employment'!LH30</f>
        <v>0</v>
      </c>
      <c r="LI30" s="303" t="s">
        <v>33</v>
      </c>
      <c r="LJ30" s="286">
        <f>'Data-temp_employment'!LJ30-last_qrtr_tempemp!LK30</f>
        <v>0</v>
      </c>
      <c r="LK30" s="286">
        <f>'Data-temp_employment'!LK30-last_qrtr_tempemp!LL30</f>
        <v>0</v>
      </c>
      <c r="LL30" s="286">
        <f>'Data-temp_employment'!LL30-last_qrtr_tempemp!LM30</f>
        <v>0</v>
      </c>
      <c r="LM30" s="286">
        <f>'Data-temp_employment'!LM30-last_qrtr_tempemp!LN30</f>
        <v>0</v>
      </c>
      <c r="LN30" s="286">
        <f>'Data-temp_employment'!LN30-last_qrtr_tempemp!LO30</f>
        <v>0</v>
      </c>
      <c r="LO30" s="286">
        <f>'Data-temp_employment'!LO30-last_qrtr_tempemp!LP30</f>
        <v>0</v>
      </c>
      <c r="LP30" s="286">
        <f>'Data-temp_employment'!LP30-last_qrtr_tempemp!LQ30</f>
        <v>0</v>
      </c>
      <c r="LQ30" s="286">
        <f>'Data-temp_employment'!LQ30-last_qrtr_tempemp!LR30</f>
        <v>0</v>
      </c>
      <c r="LR30" s="286">
        <f>'Data-temp_employment'!LR30-last_qrtr_tempemp!LS30</f>
        <v>0</v>
      </c>
      <c r="LS30" s="286">
        <f>'Data-temp_employment'!LS30</f>
        <v>0</v>
      </c>
      <c r="LT30" s="303" t="s">
        <v>33</v>
      </c>
      <c r="LU30" s="286">
        <f>'Data-temp_employment'!LU30-last_qrtr_tempemp!LV30</f>
        <v>0</v>
      </c>
      <c r="LV30" s="286">
        <f>'Data-temp_employment'!LV30-last_qrtr_tempemp!LW30</f>
        <v>0</v>
      </c>
      <c r="LW30" s="286">
        <f>'Data-temp_employment'!LW30-last_qrtr_tempemp!LX30</f>
        <v>0</v>
      </c>
      <c r="LX30" s="286">
        <f>'Data-temp_employment'!LX30-last_qrtr_tempemp!LY30</f>
        <v>0</v>
      </c>
      <c r="LY30" s="286">
        <f>'Data-temp_employment'!LY30-last_qrtr_tempemp!LZ30</f>
        <v>0</v>
      </c>
      <c r="LZ30" s="286">
        <f>'Data-temp_employment'!LZ30-last_qrtr_tempemp!MA30</f>
        <v>0</v>
      </c>
      <c r="MA30" s="286">
        <f>'Data-temp_employment'!MA30-last_qrtr_tempemp!MB30</f>
        <v>0</v>
      </c>
      <c r="MB30" s="286">
        <f>'Data-temp_employment'!MB30-last_qrtr_tempemp!MC30</f>
        <v>0</v>
      </c>
      <c r="MC30" s="286">
        <f>'Data-temp_employment'!MC30-last_qrtr_tempemp!MD30</f>
        <v>0</v>
      </c>
      <c r="MD30" s="286">
        <f>'Data-temp_employment'!MD30</f>
        <v>0</v>
      </c>
      <c r="ME30" s="303" t="s">
        <v>33</v>
      </c>
      <c r="MF30" s="286">
        <f>'Data-temp_employment'!MF30-last_qrtr_tempemp!MG30</f>
        <v>0</v>
      </c>
      <c r="MG30" s="286">
        <f>'Data-temp_employment'!MG30-last_qrtr_tempemp!MH30</f>
        <v>0</v>
      </c>
      <c r="MH30" s="286">
        <f>'Data-temp_employment'!MH30-last_qrtr_tempemp!MI30</f>
        <v>0</v>
      </c>
      <c r="MI30" s="286">
        <f>'Data-temp_employment'!MI30-last_qrtr_tempemp!MJ30</f>
        <v>0</v>
      </c>
      <c r="MJ30" s="286">
        <f>'Data-temp_employment'!MJ30-last_qrtr_tempemp!MK30</f>
        <v>0</v>
      </c>
      <c r="MK30" s="286">
        <f>'Data-temp_employment'!MK30-last_qrtr_tempemp!ML30</f>
        <v>0</v>
      </c>
      <c r="ML30" s="286">
        <f>'Data-temp_employment'!ML30-last_qrtr_tempemp!MM30</f>
        <v>0</v>
      </c>
      <c r="MM30" s="286">
        <f>'Data-temp_employment'!MM30-last_qrtr_tempemp!MN30</f>
        <v>0</v>
      </c>
      <c r="MN30" s="286">
        <f>'Data-temp_employment'!MN30-last_qrtr_tempemp!MO30</f>
        <v>0</v>
      </c>
      <c r="MO30" s="286">
        <f>'Data-temp_employment'!MO30</f>
        <v>0</v>
      </c>
      <c r="MP30" s="303" t="s">
        <v>33</v>
      </c>
      <c r="MQ30" s="286">
        <f>'Data-temp_employment'!MQ30-last_qrtr_tempemp!MR30</f>
        <v>0</v>
      </c>
      <c r="MR30" s="286">
        <f>'Data-temp_employment'!MR30-last_qrtr_tempemp!MS30</f>
        <v>0</v>
      </c>
      <c r="MS30" s="286">
        <f>'Data-temp_employment'!MS30-last_qrtr_tempemp!MT30</f>
        <v>0</v>
      </c>
      <c r="MT30" s="286">
        <f>'Data-temp_employment'!MT30-last_qrtr_tempemp!MU30</f>
        <v>0</v>
      </c>
      <c r="MU30" s="286">
        <f>'Data-temp_employment'!MU30-last_qrtr_tempemp!MV30</f>
        <v>0</v>
      </c>
      <c r="MV30" s="286">
        <f>'Data-temp_employment'!MV30-last_qrtr_tempemp!MW30</f>
        <v>0</v>
      </c>
      <c r="MW30" s="286">
        <f>'Data-temp_employment'!MW30-last_qrtr_tempemp!MX30</f>
        <v>0</v>
      </c>
      <c r="MX30" s="286">
        <f>'Data-temp_employment'!MX30-last_qrtr_tempemp!MY30</f>
        <v>0</v>
      </c>
      <c r="MY30" s="286">
        <f>'Data-temp_employment'!MY30-last_qrtr_tempemp!MZ30</f>
        <v>0</v>
      </c>
      <c r="MZ30" s="286">
        <f>'Data-temp_employment'!MZ30</f>
        <v>0</v>
      </c>
      <c r="NA30" s="303" t="s">
        <v>33</v>
      </c>
      <c r="NB30" s="286">
        <f>'Data-temp_employment'!NB30-last_qrtr_tempemp!NC30</f>
        <v>0</v>
      </c>
      <c r="NC30" s="286">
        <f>'Data-temp_employment'!NC30-last_qrtr_tempemp!ND30</f>
        <v>0</v>
      </c>
      <c r="ND30" s="286">
        <f>'Data-temp_employment'!ND30-last_qrtr_tempemp!NE30</f>
        <v>0</v>
      </c>
      <c r="NE30" s="286">
        <f>'Data-temp_employment'!NE30-last_qrtr_tempemp!NF30</f>
        <v>0</v>
      </c>
      <c r="NF30" s="286">
        <f>'Data-temp_employment'!NF30-last_qrtr_tempemp!NG30</f>
        <v>0</v>
      </c>
      <c r="NG30" s="286">
        <f>'Data-temp_employment'!NG30-last_qrtr_tempemp!NH30</f>
        <v>0</v>
      </c>
      <c r="NH30" s="286">
        <f>'Data-temp_employment'!NH30-last_qrtr_tempemp!NI30</f>
        <v>0</v>
      </c>
      <c r="NI30" s="286">
        <f>'Data-temp_employment'!NI30-last_qrtr_tempemp!NJ30</f>
        <v>0</v>
      </c>
      <c r="NJ30" s="286">
        <f>'Data-temp_employment'!NJ30-last_qrtr_tempemp!NK30</f>
        <v>0</v>
      </c>
      <c r="NK30" s="286">
        <f>'Data-temp_employment'!NK30</f>
        <v>0</v>
      </c>
      <c r="NL30" s="303" t="s">
        <v>33</v>
      </c>
      <c r="NM30" s="286">
        <f>'Data-temp_employment'!NM30-last_qrtr_tempemp!NN30</f>
        <v>2</v>
      </c>
      <c r="NN30" s="286">
        <f>'Data-temp_employment'!NN30-last_qrtr_tempemp!NO30</f>
        <v>0</v>
      </c>
      <c r="NO30" s="286">
        <f>'Data-temp_employment'!NO30-last_qrtr_tempemp!NP30</f>
        <v>2</v>
      </c>
      <c r="NP30" s="286">
        <f>'Data-temp_employment'!NP30-last_qrtr_tempemp!NQ30</f>
        <v>1.8</v>
      </c>
      <c r="NQ30" s="286">
        <f>'Data-temp_employment'!NQ30-last_qrtr_tempemp!NR30</f>
        <v>1.9</v>
      </c>
      <c r="NR30" s="286">
        <f>'Data-temp_employment'!NR30-last_qrtr_tempemp!NS30</f>
        <v>1.5</v>
      </c>
      <c r="NS30" s="286">
        <f>'Data-temp_employment'!NS30-last_qrtr_tempemp!NT30</f>
        <v>1.9</v>
      </c>
      <c r="NT30" s="286">
        <f>'Data-temp_employment'!NT30-last_qrtr_tempemp!NU30</f>
        <v>1.6</v>
      </c>
      <c r="NU30" s="286">
        <f>'Data-temp_employment'!NU30-last_qrtr_tempemp!NV30</f>
        <v>0</v>
      </c>
      <c r="NV30" s="286">
        <f>'Data-temp_employment'!NV30</f>
        <v>1.7</v>
      </c>
      <c r="NW30" s="303" t="s">
        <v>33</v>
      </c>
      <c r="NX30" s="286">
        <f>'Data-temp_employment'!NX30-last_qrtr_tempemp!NY30</f>
        <v>0</v>
      </c>
      <c r="NY30" s="286">
        <f>'Data-temp_employment'!NY30-last_qrtr_tempemp!NZ30</f>
        <v>1.5</v>
      </c>
      <c r="NZ30" s="286">
        <f>'Data-temp_employment'!NZ30-last_qrtr_tempemp!OA30</f>
        <v>1.7</v>
      </c>
      <c r="OA30" s="286">
        <f>'Data-temp_employment'!OA30-last_qrtr_tempemp!OB30</f>
        <v>0</v>
      </c>
      <c r="OB30" s="286">
        <f>'Data-temp_employment'!OB30-last_qrtr_tempemp!OC30</f>
        <v>1.6</v>
      </c>
      <c r="OC30" s="286">
        <f>'Data-temp_employment'!OC30-last_qrtr_tempemp!OD30</f>
        <v>0</v>
      </c>
      <c r="OD30" s="286">
        <f>'Data-temp_employment'!OD30-last_qrtr_tempemp!OE30</f>
        <v>0</v>
      </c>
      <c r="OE30" s="286">
        <f>'Data-temp_employment'!OE30-last_qrtr_tempemp!OF30</f>
        <v>0</v>
      </c>
      <c r="OF30" s="286">
        <f>'Data-temp_employment'!OF30-last_qrtr_tempemp!OG30</f>
        <v>1.8</v>
      </c>
      <c r="OG30" s="286">
        <f>'Data-temp_employment'!OG30</f>
        <v>3</v>
      </c>
      <c r="OH30" s="287" t="s">
        <v>33</v>
      </c>
      <c r="OI30" s="286"/>
      <c r="OJ30" s="286"/>
      <c r="OK30" s="286"/>
      <c r="OL30" s="286"/>
      <c r="OM30" s="286"/>
      <c r="ON30" s="286"/>
      <c r="OO30" s="286"/>
      <c r="OP30" s="286"/>
      <c r="OQ30" s="286"/>
      <c r="OR30" s="286"/>
      <c r="OS30" s="303" t="s">
        <v>33</v>
      </c>
      <c r="OT30" s="286" t="e">
        <f>'Data-temp_employment'!#REF!-last_qrtr_tempemp!OU30</f>
        <v>#REF!</v>
      </c>
      <c r="OU30" s="286">
        <f>'Data-temp_employment'!OT30-last_qrtr_tempemp!OV30</f>
        <v>-1.2</v>
      </c>
      <c r="OV30" s="286">
        <f>'Data-temp_employment'!OU30-last_qrtr_tempemp!OW30</f>
        <v>2</v>
      </c>
      <c r="OW30" s="286">
        <f>'Data-temp_employment'!OV30-last_qrtr_tempemp!OX30</f>
        <v>0.39999999999999991</v>
      </c>
      <c r="OX30" s="286">
        <f>'Data-temp_employment'!OW30-last_qrtr_tempemp!OY30</f>
        <v>2.4000000000000004</v>
      </c>
      <c r="OY30" s="286">
        <f>'Data-temp_employment'!OX30-last_qrtr_tempemp!OZ30</f>
        <v>2.5</v>
      </c>
      <c r="OZ30" s="286">
        <f>'Data-temp_employment'!OY30-last_qrtr_tempemp!PA30</f>
        <v>-0.49999999999999989</v>
      </c>
      <c r="PA30" s="286">
        <f>'Data-temp_employment'!OZ30-last_qrtr_tempemp!PB30</f>
        <v>2.5</v>
      </c>
      <c r="PB30" s="286">
        <f>'Data-temp_employment'!PA30-last_qrtr_tempemp!PC30</f>
        <v>-0.90000000000000013</v>
      </c>
      <c r="PC30" s="286">
        <f>'Data-temp_employment'!PB30</f>
        <v>0.9</v>
      </c>
      <c r="PE30" s="319"/>
      <c r="PF30" s="319"/>
      <c r="PG30" s="319"/>
      <c r="PH30" s="319"/>
      <c r="PI30" s="319"/>
      <c r="PJ30" s="319"/>
      <c r="PK30" s="319"/>
      <c r="PL30" s="319"/>
      <c r="PM30" s="319"/>
      <c r="PN30" s="319"/>
      <c r="PO30" s="319"/>
      <c r="PP30" s="319"/>
      <c r="PQ30" s="319"/>
      <c r="PR30" s="319"/>
      <c r="PS30" s="319"/>
      <c r="PT30" s="319"/>
      <c r="PU30" s="319"/>
      <c r="PV30" s="319"/>
      <c r="PW30" s="319"/>
      <c r="PX30" s="319"/>
      <c r="PY30" s="319"/>
      <c r="PZ30" s="319"/>
      <c r="QA30" s="319"/>
      <c r="QB30" s="319"/>
      <c r="QC30" s="319"/>
      <c r="QD30" s="319"/>
      <c r="QE30" s="319"/>
      <c r="QF30" s="319"/>
      <c r="QG30" s="319"/>
      <c r="QH30" s="319"/>
      <c r="QI30" s="319"/>
      <c r="QJ30" s="319"/>
      <c r="QK30" s="319"/>
      <c r="QL30" s="319"/>
      <c r="QM30" s="319"/>
      <c r="QN30" s="319"/>
      <c r="QO30" s="319"/>
      <c r="QP30" s="319"/>
      <c r="QQ30" s="319"/>
      <c r="QR30" s="319"/>
      <c r="QS30" s="319"/>
      <c r="QT30" s="319"/>
      <c r="QU30" s="319"/>
      <c r="QV30" s="319"/>
      <c r="QW30" s="319"/>
      <c r="QX30" s="319"/>
      <c r="QY30" s="319"/>
      <c r="QZ30" s="319"/>
      <c r="RA30" s="319"/>
      <c r="RB30" s="319"/>
      <c r="RC30" s="319"/>
      <c r="RD30" s="319"/>
      <c r="RE30" s="319"/>
      <c r="RF30" s="319"/>
      <c r="RG30" s="319"/>
      <c r="RH30" s="319"/>
      <c r="RI30" s="319"/>
      <c r="RJ30" s="319"/>
      <c r="RK30" s="319"/>
      <c r="RL30" s="319"/>
      <c r="RM30" s="319"/>
      <c r="RN30" s="319"/>
      <c r="RO30" s="319"/>
      <c r="RP30" s="319"/>
      <c r="RQ30" s="318"/>
    </row>
    <row r="31" spans="1:485">
      <c r="A31" s="269">
        <v>28</v>
      </c>
      <c r="B31" s="285" t="s">
        <v>34</v>
      </c>
      <c r="C31" s="286">
        <f>'Data-temp_employment'!C31-last_qrtr_tempemp!D31</f>
        <v>-0.19999999999999929</v>
      </c>
      <c r="D31" s="286">
        <f>'Data-temp_employment'!D31-last_qrtr_tempemp!E31</f>
        <v>-0.30000000000000071</v>
      </c>
      <c r="E31" s="286">
        <f>'Data-temp_employment'!E31-last_qrtr_tempemp!F31</f>
        <v>0.90000000000000213</v>
      </c>
      <c r="F31" s="286">
        <f>'Data-temp_employment'!F31-last_qrtr_tempemp!G31</f>
        <v>1.6000000000000014</v>
      </c>
      <c r="G31" s="286">
        <f>'Data-temp_employment'!G31-last_qrtr_tempemp!H31</f>
        <v>0.80000000000000071</v>
      </c>
      <c r="H31" s="286">
        <f>'Data-temp_employment'!H31-last_qrtr_tempemp!I31</f>
        <v>0.59999999999999787</v>
      </c>
      <c r="I31" s="286">
        <f>'Data-temp_employment'!I31-last_qrtr_tempemp!J31</f>
        <v>1</v>
      </c>
      <c r="J31" s="286">
        <f>'Data-temp_employment'!J31-last_qrtr_tempemp!K31</f>
        <v>0.60000000000000142</v>
      </c>
      <c r="K31" s="286">
        <f>'Data-temp_employment'!K31-last_qrtr_tempemp!L31</f>
        <v>-0.80000000000000071</v>
      </c>
      <c r="L31" s="286">
        <f>'Data-temp_employment'!L31</f>
        <v>21.4</v>
      </c>
      <c r="M31" s="285" t="s">
        <v>34</v>
      </c>
      <c r="N31" s="286">
        <f>'Data-temp_employment'!N31-last_qrtr_tempemp!O31</f>
        <v>-25</v>
      </c>
      <c r="O31" s="286">
        <f>'Data-temp_employment'!O31-last_qrtr_tempemp!P31</f>
        <v>-15.100000000000136</v>
      </c>
      <c r="P31" s="286">
        <f>'Data-temp_employment'!P31-last_qrtr_tempemp!Q31</f>
        <v>84.5</v>
      </c>
      <c r="Q31" s="286">
        <f>'Data-temp_employment'!Q31-last_qrtr_tempemp!R31</f>
        <v>142.10000000000014</v>
      </c>
      <c r="R31" s="286">
        <f>'Data-temp_employment'!R31-last_qrtr_tempemp!S31</f>
        <v>57.600000000000136</v>
      </c>
      <c r="S31" s="286">
        <f>'Data-temp_employment'!S31-last_qrtr_tempemp!T31</f>
        <v>55.199999999999818</v>
      </c>
      <c r="T31" s="286">
        <f>'Data-temp_employment'!T31-last_qrtr_tempemp!U31</f>
        <v>96.299999999999955</v>
      </c>
      <c r="U31" s="286">
        <f>'Data-temp_employment'!U31-last_qrtr_tempemp!V31</f>
        <v>80</v>
      </c>
      <c r="V31" s="286">
        <f>'Data-temp_employment'!V31-last_qrtr_tempemp!W31</f>
        <v>-41.5</v>
      </c>
      <c r="W31" s="286">
        <f>'Data-temp_employment'!W31</f>
        <v>1517.9</v>
      </c>
      <c r="X31" s="285" t="s">
        <v>34</v>
      </c>
      <c r="Y31" s="286">
        <f>'Data-temp_employment'!Y31-last_qrtr_tempemp!Z31</f>
        <v>-9.9999999999999645E-2</v>
      </c>
      <c r="Z31" s="286">
        <f>'Data-temp_employment'!Z31-last_qrtr_tempemp!AA31</f>
        <v>-5.1999999999999993</v>
      </c>
      <c r="AA31" s="286">
        <f>'Data-temp_employment'!AA31-last_qrtr_tempemp!AB31</f>
        <v>5.6</v>
      </c>
      <c r="AB31" s="286">
        <f>'Data-temp_employment'!AB31-last_qrtr_tempemp!AC31</f>
        <v>2</v>
      </c>
      <c r="AC31" s="286">
        <f>'Data-temp_employment'!AC31-last_qrtr_tempemp!AD31</f>
        <v>-0.90000000000000036</v>
      </c>
      <c r="AD31" s="286">
        <f>'Data-temp_employment'!AD31-last_qrtr_tempemp!AE31</f>
        <v>-5.8999999999999995</v>
      </c>
      <c r="AE31" s="286">
        <f>'Data-temp_employment'!AE31-last_qrtr_tempemp!AF31</f>
        <v>4.8</v>
      </c>
      <c r="AF31" s="286">
        <f>'Data-temp_employment'!AF31-last_qrtr_tempemp!AG31</f>
        <v>0.59999999999999964</v>
      </c>
      <c r="AG31" s="286">
        <f>'Data-temp_employment'!AG31-last_qrtr_tempemp!AH31</f>
        <v>1</v>
      </c>
      <c r="AH31" s="286">
        <f>'Data-temp_employment'!AH31</f>
        <v>2.8</v>
      </c>
      <c r="AI31" s="285" t="s">
        <v>34</v>
      </c>
      <c r="AJ31" s="286">
        <f>'Data-temp_employment'!AJ31-last_qrtr_tempemp!AK31</f>
        <v>-16.599999999999994</v>
      </c>
      <c r="AK31" s="286">
        <f>'Data-temp_employment'!AK31-last_qrtr_tempemp!AL31</f>
        <v>-35.9</v>
      </c>
      <c r="AL31" s="286">
        <f>'Data-temp_employment'!AL31-last_qrtr_tempemp!AM31</f>
        <v>17.5</v>
      </c>
      <c r="AM31" s="286">
        <f>'Data-temp_employment'!AM31-last_qrtr_tempemp!AN31</f>
        <v>7.7999999999999972</v>
      </c>
      <c r="AN31" s="286">
        <f>'Data-temp_employment'!AN31-last_qrtr_tempemp!AO31</f>
        <v>-3.6999999999999957</v>
      </c>
      <c r="AO31" s="286">
        <f>'Data-temp_employment'!AO31-last_qrtr_tempemp!AP31</f>
        <v>-21.599999999999994</v>
      </c>
      <c r="AP31" s="286">
        <f>'Data-temp_employment'!AP31-last_qrtr_tempemp!AQ31</f>
        <v>31</v>
      </c>
      <c r="AQ31" s="286">
        <f>'Data-temp_employment'!AQ31-last_qrtr_tempemp!AR31</f>
        <v>11.5</v>
      </c>
      <c r="AR31" s="286">
        <f>'Data-temp_employment'!AR31-last_qrtr_tempemp!AS31</f>
        <v>-13.700000000000003</v>
      </c>
      <c r="AS31" s="286">
        <f>'Data-temp_employment'!AS31</f>
        <v>67.2</v>
      </c>
      <c r="AT31" s="285" t="s">
        <v>34</v>
      </c>
      <c r="AU31" s="286">
        <f>'Data-temp_employment'!AU31-last_qrtr_tempemp!AV31</f>
        <v>-21.599999999999994</v>
      </c>
      <c r="AV31" s="286">
        <f>'Data-temp_employment'!AV31-last_qrtr_tempemp!AW31</f>
        <v>-7.2999999999999972</v>
      </c>
      <c r="AW31" s="286">
        <f>'Data-temp_employment'!AW31-last_qrtr_tempemp!AX31</f>
        <v>15.399999999999999</v>
      </c>
      <c r="AX31" s="286">
        <f>'Data-temp_employment'!AX31-last_qrtr_tempemp!AY31</f>
        <v>5.6000000000000014</v>
      </c>
      <c r="AY31" s="286">
        <f>'Data-temp_employment'!AY31-last_qrtr_tempemp!AZ31</f>
        <v>-4.2000000000000028</v>
      </c>
      <c r="AZ31" s="286">
        <f>'Data-temp_employment'!AZ31-last_qrtr_tempemp!BA31</f>
        <v>-4.0999999999999943</v>
      </c>
      <c r="BA31" s="286">
        <f>'Data-temp_employment'!BA31-last_qrtr_tempemp!BB31</f>
        <v>13.100000000000001</v>
      </c>
      <c r="BB31" s="286">
        <f>'Data-temp_employment'!BB31-last_qrtr_tempemp!BC31</f>
        <v>7.5</v>
      </c>
      <c r="BC31" s="286">
        <f>'Data-temp_employment'!BC31-last_qrtr_tempemp!BD31</f>
        <v>-6.1000000000000085</v>
      </c>
      <c r="BD31" s="286">
        <f>'Data-temp_employment'!BD31</f>
        <v>60.6</v>
      </c>
      <c r="BE31" s="285" t="s">
        <v>34</v>
      </c>
      <c r="BF31" s="286">
        <f>'Data-temp_employment'!BF31-last_qrtr_tempemp!BG31</f>
        <v>44.800000000000011</v>
      </c>
      <c r="BG31" s="286">
        <f>'Data-temp_employment'!BG31-last_qrtr_tempemp!BH31</f>
        <v>45.099999999999966</v>
      </c>
      <c r="BH31" s="286">
        <f>'Data-temp_employment'!BH31-last_qrtr_tempemp!BI31</f>
        <v>17.5</v>
      </c>
      <c r="BI31" s="286">
        <f>'Data-temp_employment'!BI31-last_qrtr_tempemp!BJ31</f>
        <v>-1.1000000000000227</v>
      </c>
      <c r="BJ31" s="286">
        <f>'Data-temp_employment'!BJ31-last_qrtr_tempemp!BK31</f>
        <v>15.600000000000023</v>
      </c>
      <c r="BK31" s="286">
        <f>'Data-temp_employment'!BK31-last_qrtr_tempemp!BL31</f>
        <v>20.100000000000023</v>
      </c>
      <c r="BL31" s="286">
        <f>'Data-temp_employment'!BL31-last_qrtr_tempemp!BM31</f>
        <v>7.3000000000000114</v>
      </c>
      <c r="BM31" s="286">
        <f>'Data-temp_employment'!BM31-last_qrtr_tempemp!BN31</f>
        <v>-3.6000000000000227</v>
      </c>
      <c r="BN31" s="286">
        <f>'Data-temp_employment'!BN31-last_qrtr_tempemp!BO31</f>
        <v>-31.600000000000023</v>
      </c>
      <c r="BO31" s="286">
        <f>'Data-temp_employment'!BO31</f>
        <v>390</v>
      </c>
      <c r="BP31" s="285" t="s">
        <v>34</v>
      </c>
      <c r="BQ31" s="286">
        <f>'Data-temp_employment'!BQ31-last_qrtr_tempemp!BR31</f>
        <v>3.5</v>
      </c>
      <c r="BR31" s="286">
        <f>'Data-temp_employment'!BR31-last_qrtr_tempemp!BS31</f>
        <v>-8.3000000000000043</v>
      </c>
      <c r="BS31" s="286">
        <f>'Data-temp_employment'!BS31-last_qrtr_tempemp!BT31</f>
        <v>11.700000000000003</v>
      </c>
      <c r="BT31" s="286">
        <f>'Data-temp_employment'!BT31-last_qrtr_tempemp!BU31</f>
        <v>6.1000000000000014</v>
      </c>
      <c r="BU31" s="286">
        <f>'Data-temp_employment'!BU31-last_qrtr_tempemp!BV31</f>
        <v>6.4000000000000057</v>
      </c>
      <c r="BV31" s="286">
        <f>'Data-temp_employment'!BV31-last_qrtr_tempemp!BW31</f>
        <v>1.1999999999999957</v>
      </c>
      <c r="BW31" s="286">
        <f>'Data-temp_employment'!BW31-last_qrtr_tempemp!BX31</f>
        <v>-4.3999999999999986</v>
      </c>
      <c r="BX31" s="286">
        <f>'Data-temp_employment'!BX31-last_qrtr_tempemp!BY31</f>
        <v>-1</v>
      </c>
      <c r="BY31" s="286">
        <f>'Data-temp_employment'!BY31-last_qrtr_tempemp!BZ31</f>
        <v>-18.199999999999996</v>
      </c>
      <c r="BZ31" s="286">
        <f>'Data-temp_employment'!BZ31</f>
        <v>45.8</v>
      </c>
      <c r="CA31" s="282" t="s">
        <v>34</v>
      </c>
      <c r="CB31" s="286">
        <f>'Data-temp_employment'!CB31-last_qrtr_tempemp!CC31</f>
        <v>-4.6000000000000014</v>
      </c>
      <c r="CC31" s="286">
        <f>'Data-temp_employment'!CC31-last_qrtr_tempemp!CD31</f>
        <v>-6.6999999999999993</v>
      </c>
      <c r="CD31" s="286">
        <f>'Data-temp_employment'!CD31-last_qrtr_tempemp!CE31</f>
        <v>-2.7000000000000028</v>
      </c>
      <c r="CE31" s="286">
        <f>'Data-temp_employment'!CE31-last_qrtr_tempemp!CF31</f>
        <v>2.6000000000000014</v>
      </c>
      <c r="CF31" s="286">
        <f>'Data-temp_employment'!CF31-last_qrtr_tempemp!CG31</f>
        <v>0.19999999999999929</v>
      </c>
      <c r="CG31" s="286">
        <f>'Data-temp_employment'!CG31-last_qrtr_tempemp!CH31</f>
        <v>0.10000000000000142</v>
      </c>
      <c r="CH31" s="286">
        <f>'Data-temp_employment'!CH31-last_qrtr_tempemp!CI31</f>
        <v>-1.2000000000000028</v>
      </c>
      <c r="CI31" s="286">
        <f>'Data-temp_employment'!CI31-last_qrtr_tempemp!CJ31</f>
        <v>2.5</v>
      </c>
      <c r="CJ31" s="286">
        <f>'Data-temp_employment'!CJ31-last_qrtr_tempemp!CK31</f>
        <v>3.1999999999999957</v>
      </c>
      <c r="CK31" s="286">
        <f>'Data-temp_employment'!CK31</f>
        <v>30.1</v>
      </c>
      <c r="CL31" s="285" t="s">
        <v>34</v>
      </c>
      <c r="CM31" s="286">
        <f>'Data-temp_employment'!CM31-last_qrtr_tempemp!CN31</f>
        <v>-0.59999999999996589</v>
      </c>
      <c r="CN31" s="286">
        <f>'Data-temp_employment'!CN31-last_qrtr_tempemp!CO31</f>
        <v>23.600000000000023</v>
      </c>
      <c r="CO31" s="286">
        <f>'Data-temp_employment'!CO31-last_qrtr_tempemp!CP31</f>
        <v>35</v>
      </c>
      <c r="CP31" s="286">
        <f>'Data-temp_employment'!CP31-last_qrtr_tempemp!CQ31</f>
        <v>30.800000000000011</v>
      </c>
      <c r="CQ31" s="286">
        <f>'Data-temp_employment'!CQ31-last_qrtr_tempemp!CR31</f>
        <v>1.5999999999999659</v>
      </c>
      <c r="CR31" s="286">
        <f>'Data-temp_employment'!CR31-last_qrtr_tempemp!CS31</f>
        <v>13.199999999999989</v>
      </c>
      <c r="CS31" s="286">
        <f>'Data-temp_employment'!CS31-last_qrtr_tempemp!CT31</f>
        <v>19</v>
      </c>
      <c r="CT31" s="286">
        <f>'Data-temp_employment'!CT31-last_qrtr_tempemp!CU31</f>
        <v>21.200000000000045</v>
      </c>
      <c r="CU31" s="286">
        <f>'Data-temp_employment'!CU31-last_qrtr_tempemp!CV31</f>
        <v>-8.6999999999999886</v>
      </c>
      <c r="CV31" s="286">
        <f>'Data-temp_employment'!CV31</f>
        <v>490.7</v>
      </c>
      <c r="CW31" s="285" t="s">
        <v>34</v>
      </c>
      <c r="CX31" s="286">
        <f>'Data-temp_employment'!CX31-last_qrtr_tempemp!CY31</f>
        <v>-25.700000000000045</v>
      </c>
      <c r="CY31" s="286">
        <f>'Data-temp_employment'!CY31-last_qrtr_tempemp!CZ31</f>
        <v>-32.399999999999977</v>
      </c>
      <c r="CZ31" s="286">
        <f>'Data-temp_employment'!CZ31-last_qrtr_tempemp!DA31</f>
        <v>47.199999999999932</v>
      </c>
      <c r="DA31" s="286">
        <f>'Data-temp_employment'!DA31-last_qrtr_tempemp!DB31</f>
        <v>62.300000000000068</v>
      </c>
      <c r="DB31" s="286">
        <f>'Data-temp_employment'!DB31-last_qrtr_tempemp!DC31</f>
        <v>21.100000000000023</v>
      </c>
      <c r="DC31" s="286">
        <f>'Data-temp_employment'!DC31-last_qrtr_tempemp!DD31</f>
        <v>-5.1000000000000227</v>
      </c>
      <c r="DD31" s="286">
        <f>'Data-temp_employment'!DD31-last_qrtr_tempemp!DE31</f>
        <v>70.599999999999909</v>
      </c>
      <c r="DE31" s="286">
        <f>'Data-temp_employment'!DE31-last_qrtr_tempemp!DF31</f>
        <v>42.899999999999977</v>
      </c>
      <c r="DF31" s="286">
        <f>'Data-temp_employment'!DF31-last_qrtr_tempemp!DG31</f>
        <v>-14.699999999999932</v>
      </c>
      <c r="DG31" s="286">
        <f>'Data-temp_employment'!DG31</f>
        <v>613.9</v>
      </c>
      <c r="DH31" s="285" t="s">
        <v>34</v>
      </c>
      <c r="DI31" s="286">
        <f>'Data-temp_employment'!DI31-last_qrtr_tempemp!DJ31</f>
        <v>1.3000000000000114</v>
      </c>
      <c r="DJ31" s="286">
        <f>'Data-temp_employment'!DJ31-last_qrtr_tempemp!DK31</f>
        <v>-9</v>
      </c>
      <c r="DK31" s="286">
        <f>'Data-temp_employment'!DK31-last_qrtr_tempemp!DL31</f>
        <v>-2.6000000000000227</v>
      </c>
      <c r="DL31" s="286">
        <f>'Data-temp_employment'!DL31-last_qrtr_tempemp!DM31</f>
        <v>43.299999999999955</v>
      </c>
      <c r="DM31" s="286">
        <f>'Data-temp_employment'!DM31-last_qrtr_tempemp!DN31</f>
        <v>31.599999999999966</v>
      </c>
      <c r="DN31" s="286">
        <f>'Data-temp_employment'!DN31-last_qrtr_tempemp!DO31</f>
        <v>43.800000000000011</v>
      </c>
      <c r="DO31" s="286">
        <f>'Data-temp_employment'!DO31-last_qrtr_tempemp!DP31</f>
        <v>3.8000000000000114</v>
      </c>
      <c r="DP31" s="286">
        <f>'Data-temp_employment'!DP31-last_qrtr_tempemp!DQ31</f>
        <v>19.300000000000011</v>
      </c>
      <c r="DQ31" s="286">
        <f>'Data-temp_employment'!DQ31-last_qrtr_tempemp!DR31</f>
        <v>-15.399999999999977</v>
      </c>
      <c r="DR31" s="286">
        <f>'Data-temp_employment'!DR31</f>
        <v>396.5</v>
      </c>
      <c r="DS31" s="285" t="s">
        <v>34</v>
      </c>
      <c r="DT31" s="286">
        <f>'Data-temp_employment'!DT31-last_qrtr_tempemp!DU31</f>
        <v>-9.9999999999999645E-2</v>
      </c>
      <c r="DU31" s="286">
        <f>'Data-temp_employment'!DU31-last_qrtr_tempemp!DV31</f>
        <v>2.8000000000000007</v>
      </c>
      <c r="DV31" s="286">
        <f>'Data-temp_employment'!DV31-last_qrtr_tempemp!DW31</f>
        <v>5</v>
      </c>
      <c r="DW31" s="286">
        <f>'Data-temp_employment'!DW31-last_qrtr_tempemp!DX31</f>
        <v>5.6999999999999993</v>
      </c>
      <c r="DX31" s="286">
        <f>'Data-temp_employment'!DX31-last_qrtr_tempemp!DY31</f>
        <v>3.1999999999999993</v>
      </c>
      <c r="DY31" s="286">
        <f>'Data-temp_employment'!DY31-last_qrtr_tempemp!DZ31</f>
        <v>3.2999999999999989</v>
      </c>
      <c r="DZ31" s="286">
        <f>'Data-temp_employment'!DZ31-last_qrtr_tempemp!EA31</f>
        <v>3</v>
      </c>
      <c r="EA31" s="286">
        <f>'Data-temp_employment'!EA31-last_qrtr_tempemp!EB31</f>
        <v>-3.3000000000000007</v>
      </c>
      <c r="EB31" s="286">
        <f>'Data-temp_employment'!EB31-last_qrtr_tempemp!EC31</f>
        <v>-2.5999999999999979</v>
      </c>
      <c r="EC31" s="286">
        <f>'Data-temp_employment'!EC31</f>
        <v>16.899999999999999</v>
      </c>
      <c r="ED31" s="285" t="s">
        <v>34</v>
      </c>
      <c r="EE31" s="286">
        <f>'Data-temp_employment'!EE31-last_qrtr_tempemp!EF31</f>
        <v>2.3000000000000007</v>
      </c>
      <c r="EF31" s="286">
        <f>'Data-temp_employment'!EF31-last_qrtr_tempemp!EG31</f>
        <v>5.8999999999999986</v>
      </c>
      <c r="EG31" s="286">
        <f>'Data-temp_employment'!EG31-last_qrtr_tempemp!EH31</f>
        <v>2.6000000000000014</v>
      </c>
      <c r="EH31" s="286">
        <f>'Data-temp_employment'!EH31-last_qrtr_tempemp!EI31</f>
        <v>4.5999999999999979</v>
      </c>
      <c r="EI31" s="286">
        <f>'Data-temp_employment'!EI31-last_qrtr_tempemp!EJ31</f>
        <v>-3</v>
      </c>
      <c r="EJ31" s="286">
        <f>'Data-temp_employment'!EJ31-last_qrtr_tempemp!EK31</f>
        <v>0.59999999999999787</v>
      </c>
      <c r="EK31" s="286">
        <f>'Data-temp_employment'!EK31-last_qrtr_tempemp!EL31</f>
        <v>-2.5999999999999979</v>
      </c>
      <c r="EL31" s="286">
        <f>'Data-temp_employment'!EL31-last_qrtr_tempemp!EM31</f>
        <v>2.4000000000000021</v>
      </c>
      <c r="EM31" s="286">
        <f>'Data-temp_employment'!EM31-last_qrtr_tempemp!EN31</f>
        <v>-5.2999999999999972</v>
      </c>
      <c r="EN31" s="286">
        <f>'Data-temp_employment'!EN31</f>
        <v>15.6</v>
      </c>
      <c r="EO31" s="285" t="s">
        <v>34</v>
      </c>
      <c r="EP31" s="286">
        <f>'Data-temp_employment'!EP31-last_qrtr_tempemp!EQ31</f>
        <v>8.2000000000000171</v>
      </c>
      <c r="EQ31" s="286">
        <f>'Data-temp_employment'!EQ31-last_qrtr_tempemp!ER31</f>
        <v>8.0999999999999943</v>
      </c>
      <c r="ER31" s="286">
        <f>'Data-temp_employment'!ER31-last_qrtr_tempemp!ES31</f>
        <v>-14.700000000000017</v>
      </c>
      <c r="ES31" s="286">
        <f>'Data-temp_employment'!ES31-last_qrtr_tempemp!ET31</f>
        <v>13.5</v>
      </c>
      <c r="ET31" s="286">
        <f>'Data-temp_employment'!ET31-last_qrtr_tempemp!EU31</f>
        <v>5.7999999999999829</v>
      </c>
      <c r="EU31" s="286">
        <f>'Data-temp_employment'!EU31-last_qrtr_tempemp!EV31</f>
        <v>28.200000000000017</v>
      </c>
      <c r="EV31" s="286">
        <f>'Data-temp_employment'!EV31-last_qrtr_tempemp!EW31</f>
        <v>-13.800000000000011</v>
      </c>
      <c r="EW31" s="286">
        <f>'Data-temp_employment'!EW31-last_qrtr_tempemp!EX31</f>
        <v>16.199999999999989</v>
      </c>
      <c r="EX31" s="286">
        <f>'Data-temp_employment'!EX31-last_qrtr_tempemp!EY31</f>
        <v>-3.1000000000000227</v>
      </c>
      <c r="EY31" s="286">
        <f>'Data-temp_employment'!EY31</f>
        <v>259.89999999999998</v>
      </c>
      <c r="EZ31" s="285" t="s">
        <v>34</v>
      </c>
      <c r="FA31" s="286">
        <f>'Data-temp_employment'!FA31-last_qrtr_tempemp!FB31</f>
        <v>-5.5999999999999943</v>
      </c>
      <c r="FB31" s="286">
        <f>'Data-temp_employment'!FB31-last_qrtr_tempemp!FC31</f>
        <v>-15.399999999999977</v>
      </c>
      <c r="FC31" s="286">
        <f>'Data-temp_employment'!FC31-last_qrtr_tempemp!FD31</f>
        <v>10.300000000000011</v>
      </c>
      <c r="FD31" s="286">
        <f>'Data-temp_employment'!FD31-last_qrtr_tempemp!FE31</f>
        <v>32.899999999999977</v>
      </c>
      <c r="FE31" s="286">
        <f>'Data-temp_employment'!FE31-last_qrtr_tempemp!FF31</f>
        <v>32.699999999999989</v>
      </c>
      <c r="FF31" s="286">
        <f>'Data-temp_employment'!FF31-last_qrtr_tempemp!FG31</f>
        <v>19.699999999999989</v>
      </c>
      <c r="FG31" s="286">
        <f>'Data-temp_employment'!FG31-last_qrtr_tempemp!FH31</f>
        <v>8.6000000000000227</v>
      </c>
      <c r="FH31" s="286">
        <f>'Data-temp_employment'!FH31-last_qrtr_tempemp!FI31</f>
        <v>4.0999999999999943</v>
      </c>
      <c r="FI31" s="286">
        <f>'Data-temp_employment'!FI31-last_qrtr_tempemp!FJ31</f>
        <v>-12.599999999999994</v>
      </c>
      <c r="FJ31" s="286">
        <f>'Data-temp_employment'!FJ31</f>
        <v>177.5</v>
      </c>
      <c r="FK31" s="285" t="s">
        <v>34</v>
      </c>
      <c r="FL31" s="286">
        <f>'Data-temp_employment'!FL31-last_qrtr_tempemp!FM31</f>
        <v>-11.399999999999991</v>
      </c>
      <c r="FM31" s="286">
        <f>'Data-temp_employment'!FM31-last_qrtr_tempemp!FN31</f>
        <v>3</v>
      </c>
      <c r="FN31" s="286">
        <f>'Data-temp_employment'!FN31-last_qrtr_tempemp!FO31</f>
        <v>13.100000000000023</v>
      </c>
      <c r="FO31" s="286">
        <f>'Data-temp_employment'!FO31-last_qrtr_tempemp!FP31</f>
        <v>21.299999999999997</v>
      </c>
      <c r="FP31" s="286">
        <f>'Data-temp_employment'!FP31-last_qrtr_tempemp!FQ31</f>
        <v>3</v>
      </c>
      <c r="FQ31" s="286">
        <f>'Data-temp_employment'!FQ31-last_qrtr_tempemp!FR31</f>
        <v>1.6999999999999886</v>
      </c>
      <c r="FR31" s="286">
        <f>'Data-temp_employment'!FR31-last_qrtr_tempemp!FS31</f>
        <v>4.4000000000000057</v>
      </c>
      <c r="FS31" s="286">
        <f>'Data-temp_employment'!FS31-last_qrtr_tempemp!FT31</f>
        <v>9.0999999999999943</v>
      </c>
      <c r="FT31" s="286">
        <f>'Data-temp_employment'!FT31-last_qrtr_tempemp!FU31</f>
        <v>-3.1999999999999886</v>
      </c>
      <c r="FU31" s="286">
        <f>'Data-temp_employment'!FU31</f>
        <v>144</v>
      </c>
      <c r="FV31" s="285" t="s">
        <v>34</v>
      </c>
      <c r="FW31" s="286">
        <f>'Data-temp_employment'!FW31-last_qrtr_tempemp!FX31</f>
        <v>-18.700000000000045</v>
      </c>
      <c r="FX31" s="286">
        <f>'Data-temp_employment'!FX31-last_qrtr_tempemp!FY31</f>
        <v>-5.6999999999999886</v>
      </c>
      <c r="FY31" s="286">
        <f>'Data-temp_employment'!FY31-last_qrtr_tempemp!FZ31</f>
        <v>17.5</v>
      </c>
      <c r="FZ31" s="286">
        <f>'Data-temp_employment'!FZ31-last_qrtr_tempemp!GA31</f>
        <v>35.5</v>
      </c>
      <c r="GA31" s="286">
        <f>'Data-temp_employment'!GA31-last_qrtr_tempemp!GB31</f>
        <v>5</v>
      </c>
      <c r="GB31" s="286">
        <f>'Data-temp_employment'!GB31-last_qrtr_tempemp!GC31</f>
        <v>11.899999999999977</v>
      </c>
      <c r="GC31" s="286">
        <f>'Data-temp_employment'!GC31-last_qrtr_tempemp!GD31</f>
        <v>35.700000000000045</v>
      </c>
      <c r="GD31" s="286">
        <f>'Data-temp_employment'!GD31-last_qrtr_tempemp!GE31</f>
        <v>10.699999999999989</v>
      </c>
      <c r="GE31" s="286">
        <f>'Data-temp_employment'!GE31-last_qrtr_tempemp!GF31</f>
        <v>-5.5</v>
      </c>
      <c r="GF31" s="286">
        <f>'Data-temp_employment'!GF31</f>
        <v>418.8</v>
      </c>
      <c r="GG31" s="285" t="s">
        <v>34</v>
      </c>
      <c r="GH31" s="286">
        <f>'Data-temp_employment'!GH31-last_qrtr_tempemp!GI31</f>
        <v>-4.8000000000000007</v>
      </c>
      <c r="GI31" s="286">
        <f>'Data-temp_employment'!GI31-last_qrtr_tempemp!GJ31</f>
        <v>3</v>
      </c>
      <c r="GJ31" s="286">
        <f>'Data-temp_employment'!GJ31-last_qrtr_tempemp!GK31</f>
        <v>4.4000000000000021</v>
      </c>
      <c r="GK31" s="286">
        <f>'Data-temp_employment'!GK31-last_qrtr_tempemp!GL31</f>
        <v>2.6999999999999993</v>
      </c>
      <c r="GL31" s="286">
        <f>'Data-temp_employment'!GL31-last_qrtr_tempemp!GM31</f>
        <v>-5.0000000000000018</v>
      </c>
      <c r="GM31" s="286">
        <f>'Data-temp_employment'!GM31-last_qrtr_tempemp!GN31</f>
        <v>-0.10000000000000142</v>
      </c>
      <c r="GN31" s="286">
        <f>'Data-temp_employment'!GN31-last_qrtr_tempemp!GO31</f>
        <v>3.1000000000000014</v>
      </c>
      <c r="GO31" s="286">
        <f>'Data-temp_employment'!GO31-last_qrtr_tempemp!GP31</f>
        <v>0.20000000000000107</v>
      </c>
      <c r="GP31" s="286">
        <f>'Data-temp_employment'!GP31-last_qrtr_tempemp!GQ31</f>
        <v>-5.5</v>
      </c>
      <c r="GQ31" s="286">
        <f>'Data-temp_employment'!GQ31</f>
        <v>16.600000000000001</v>
      </c>
      <c r="GR31" s="285" t="s">
        <v>34</v>
      </c>
      <c r="GS31" s="286">
        <f>'Data-temp_employment'!GS31-last_qrtr_tempemp!GT31</f>
        <v>1.5999999999999943</v>
      </c>
      <c r="GT31" s="286">
        <f>'Data-temp_employment'!GT31-last_qrtr_tempemp!GU31</f>
        <v>2</v>
      </c>
      <c r="GU31" s="286">
        <f>'Data-temp_employment'!GU31-last_qrtr_tempemp!GV31</f>
        <v>2.9000000000000057</v>
      </c>
      <c r="GV31" s="286">
        <f>'Data-temp_employment'!GV31-last_qrtr_tempemp!GW31</f>
        <v>10.900000000000006</v>
      </c>
      <c r="GW31" s="286">
        <f>'Data-temp_employment'!GW31-last_qrtr_tempemp!GX31</f>
        <v>-3.7999999999999972</v>
      </c>
      <c r="GX31" s="286">
        <f>'Data-temp_employment'!GX31-last_qrtr_tempemp!GY31</f>
        <v>-13</v>
      </c>
      <c r="GY31" s="286">
        <f>'Data-temp_employment'!GY31-last_qrtr_tempemp!GZ31</f>
        <v>-9.7000000000000028</v>
      </c>
      <c r="GZ31" s="286">
        <f>'Data-temp_employment'!GZ31-last_qrtr_tempemp!HA31</f>
        <v>-3.7000000000000028</v>
      </c>
      <c r="HA31" s="286">
        <f>'Data-temp_employment'!HA31-last_qrtr_tempemp!HB31</f>
        <v>-7</v>
      </c>
      <c r="HB31" s="286">
        <f>'Data-temp_employment'!HB31</f>
        <v>96.7</v>
      </c>
      <c r="HC31" s="279" t="s">
        <v>34</v>
      </c>
      <c r="HD31" s="286">
        <f>'Data-temp_employment'!HD31-last_qrtr_tempemp!HE31</f>
        <v>4</v>
      </c>
      <c r="HE31" s="286">
        <f>'Data-temp_employment'!HE31-last_qrtr_tempemp!HF31</f>
        <v>-1.6999999999999886</v>
      </c>
      <c r="HF31" s="286">
        <f>'Data-temp_employment'!HF31-last_qrtr_tempemp!HG31</f>
        <v>8</v>
      </c>
      <c r="HG31" s="286">
        <f>'Data-temp_employment'!HG31-last_qrtr_tempemp!HH31</f>
        <v>3</v>
      </c>
      <c r="HH31" s="286">
        <f>'Data-temp_employment'!HH31-last_qrtr_tempemp!HI31</f>
        <v>3.5</v>
      </c>
      <c r="HI31" s="286">
        <f>'Data-temp_employment'!HI31-last_qrtr_tempemp!HJ31</f>
        <v>1.4000000000000057</v>
      </c>
      <c r="HJ31" s="286">
        <f>'Data-temp_employment'!HJ31-last_qrtr_tempemp!HK31</f>
        <v>11.600000000000009</v>
      </c>
      <c r="HK31" s="286">
        <f>'Data-temp_employment'!HK31-last_qrtr_tempemp!HL31</f>
        <v>8.5</v>
      </c>
      <c r="HL31" s="286">
        <f>'Data-temp_employment'!HL31-last_qrtr_tempemp!HM31</f>
        <v>-0.70000000000000284</v>
      </c>
      <c r="HM31" s="286">
        <f>'Data-temp_employment'!HM31</f>
        <v>80.2</v>
      </c>
      <c r="HN31" s="285" t="s">
        <v>34</v>
      </c>
      <c r="HO31" s="286">
        <f>'Data-temp_employment'!HO31-last_qrtr_tempemp!HP31</f>
        <v>0.70000000000001705</v>
      </c>
      <c r="HP31" s="286">
        <f>'Data-temp_employment'!HP31-last_qrtr_tempemp!HQ31</f>
        <v>-14.400000000000034</v>
      </c>
      <c r="HQ31" s="286">
        <f>'Data-temp_employment'!HQ31-last_qrtr_tempemp!HR31</f>
        <v>36.200000000000017</v>
      </c>
      <c r="HR31" s="286">
        <f>'Data-temp_employment'!HR31-last_qrtr_tempemp!HS31</f>
        <v>13.899999999999977</v>
      </c>
      <c r="HS31" s="286">
        <f>'Data-temp_employment'!HS31-last_qrtr_tempemp!HT31</f>
        <v>16.300000000000011</v>
      </c>
      <c r="HT31" s="286">
        <f>'Data-temp_employment'!HT31-last_qrtr_tempemp!HU31</f>
        <v>-2</v>
      </c>
      <c r="HU31" s="286">
        <f>'Data-temp_employment'!HU31-last_qrtr_tempemp!HV31</f>
        <v>41.800000000000011</v>
      </c>
      <c r="HV31" s="286">
        <f>'Data-temp_employment'!HV31-last_qrtr_tempemp!HW31</f>
        <v>23.400000000000034</v>
      </c>
      <c r="HW31" s="286">
        <f>'Data-temp_employment'!HW31-last_qrtr_tempemp!HX31</f>
        <v>2.5999999999999659</v>
      </c>
      <c r="HX31" s="286">
        <f>'Data-temp_employment'!HX31</f>
        <v>283.8</v>
      </c>
      <c r="HY31" s="285" t="s">
        <v>34</v>
      </c>
      <c r="HZ31" s="286">
        <f>'Data-temp_employment'!HZ31-last_qrtr_tempemp!IA31</f>
        <v>0</v>
      </c>
      <c r="IA31" s="286">
        <f>'Data-temp_employment'!IA31-last_qrtr_tempemp!IB31</f>
        <v>0</v>
      </c>
      <c r="IB31" s="286">
        <f>'Data-temp_employment'!IB31-last_qrtr_tempemp!IC31</f>
        <v>0</v>
      </c>
      <c r="IC31" s="286">
        <f>'Data-temp_employment'!IC31-last_qrtr_tempemp!ID31</f>
        <v>0</v>
      </c>
      <c r="ID31" s="286">
        <f>'Data-temp_employment'!ID31-last_qrtr_tempemp!IE31</f>
        <v>0</v>
      </c>
      <c r="IE31" s="286">
        <f>'Data-temp_employment'!IE31-last_qrtr_tempemp!IF31</f>
        <v>0</v>
      </c>
      <c r="IF31" s="286">
        <f>'Data-temp_employment'!IF31-last_qrtr_tempemp!IG31</f>
        <v>0</v>
      </c>
      <c r="IG31" s="286">
        <f>'Data-temp_employment'!IG31-last_qrtr_tempemp!IH31</f>
        <v>0</v>
      </c>
      <c r="IH31" s="286">
        <f>'Data-temp_employment'!IH31-last_qrtr_tempemp!II31</f>
        <v>0</v>
      </c>
      <c r="II31" s="286">
        <f>'Data-temp_employment'!II31</f>
        <v>0</v>
      </c>
      <c r="IJ31" s="285" t="s">
        <v>34</v>
      </c>
      <c r="IK31" s="286">
        <f>'Data-temp_employment'!IK31-last_qrtr_tempemp!IL31</f>
        <v>-0.40000000000000213</v>
      </c>
      <c r="IL31" s="286">
        <f>'Data-temp_employment'!IL31-last_qrtr_tempemp!IM31</f>
        <v>0.5</v>
      </c>
      <c r="IM31" s="286">
        <f>'Data-temp_employment'!IM31-last_qrtr_tempemp!IN31</f>
        <v>4.7000000000000011</v>
      </c>
      <c r="IN31" s="286">
        <f>'Data-temp_employment'!IN31-last_qrtr_tempemp!IO31</f>
        <v>2.9000000000000021</v>
      </c>
      <c r="IO31" s="286">
        <f>'Data-temp_employment'!IO31-last_qrtr_tempemp!IP31</f>
        <v>2.5</v>
      </c>
      <c r="IP31" s="286">
        <f>'Data-temp_employment'!IP31-last_qrtr_tempemp!IQ31</f>
        <v>6.1999999999999993</v>
      </c>
      <c r="IQ31" s="286">
        <f>'Data-temp_employment'!IQ31-last_qrtr_tempemp!IR31</f>
        <v>17</v>
      </c>
      <c r="IR31" s="286">
        <f>'Data-temp_employment'!IR31-last_qrtr_tempemp!IS31</f>
        <v>8.2999999999999972</v>
      </c>
      <c r="IS31" s="286">
        <f>'Data-temp_employment'!IS31-last_qrtr_tempemp!IT31</f>
        <v>-1.4000000000000021</v>
      </c>
      <c r="IT31" s="286">
        <f>'Data-temp_employment'!IT31</f>
        <v>23.5</v>
      </c>
      <c r="IU31" s="285" t="s">
        <v>34</v>
      </c>
      <c r="IV31" s="286">
        <f>'Data-temp_employment'!IV31-last_qrtr_tempemp!IW31</f>
        <v>-2.4000000000000021</v>
      </c>
      <c r="IW31" s="286">
        <f>'Data-temp_employment'!IW31-last_qrtr_tempemp!IX31</f>
        <v>-1</v>
      </c>
      <c r="IX31" s="286">
        <f>'Data-temp_employment'!IX31-last_qrtr_tempemp!IY31</f>
        <v>2.8000000000000007</v>
      </c>
      <c r="IY31" s="286">
        <f>'Data-temp_employment'!IY31-last_qrtr_tempemp!IZ31</f>
        <v>-3.9999999999999982</v>
      </c>
      <c r="IZ31" s="286">
        <f>'Data-temp_employment'!IZ31-last_qrtr_tempemp!JA31</f>
        <v>-4.0999999999999979</v>
      </c>
      <c r="JA31" s="286">
        <f>'Data-temp_employment'!JA31-last_qrtr_tempemp!JB31</f>
        <v>-1.1999999999999993</v>
      </c>
      <c r="JB31" s="286">
        <f>'Data-temp_employment'!JB31-last_qrtr_tempemp!JC31</f>
        <v>2.0999999999999996</v>
      </c>
      <c r="JC31" s="286">
        <f>'Data-temp_employment'!JC31-last_qrtr_tempemp!JD31</f>
        <v>2.5999999999999979</v>
      </c>
      <c r="JD31" s="286">
        <f>'Data-temp_employment'!JD31-last_qrtr_tempemp!JE31</f>
        <v>-2.6999999999999993</v>
      </c>
      <c r="JE31" s="286">
        <f>'Data-temp_employment'!JE31</f>
        <v>19.399999999999999</v>
      </c>
      <c r="JF31" s="285" t="s">
        <v>34</v>
      </c>
      <c r="JG31" s="286">
        <f>'Data-temp_employment'!JG31-last_qrtr_tempemp!JH31</f>
        <v>-0.20000000000000284</v>
      </c>
      <c r="JH31" s="286">
        <f>'Data-temp_employment'!JH31-last_qrtr_tempemp!JI31</f>
        <v>-0.29999999999999716</v>
      </c>
      <c r="JI31" s="286">
        <f>'Data-temp_employment'!JI31-last_qrtr_tempemp!JJ31</f>
        <v>0.5</v>
      </c>
      <c r="JJ31" s="286">
        <f>'Data-temp_employment'!JJ31-last_qrtr_tempemp!JK31</f>
        <v>21.100000000000009</v>
      </c>
      <c r="JK31" s="286">
        <f>'Data-temp_employment'!JK31-last_qrtr_tempemp!JL31</f>
        <v>5.2999999999999972</v>
      </c>
      <c r="JL31" s="286">
        <f>'Data-temp_employment'!JL31-last_qrtr_tempemp!JM31</f>
        <v>-0.69999999999998863</v>
      </c>
      <c r="JM31" s="286">
        <f>'Data-temp_employment'!JM31-last_qrtr_tempemp!JN31</f>
        <v>-6.9000000000000057</v>
      </c>
      <c r="JN31" s="286">
        <f>'Data-temp_employment'!JN31-last_qrtr_tempemp!JO31</f>
        <v>-3.0999999999999943</v>
      </c>
      <c r="JO31" s="286">
        <f>'Data-temp_employment'!JO31-last_qrtr_tempemp!JP31</f>
        <v>0.79999999999999716</v>
      </c>
      <c r="JP31" s="286">
        <f>'Data-temp_employment'!JP31</f>
        <v>125</v>
      </c>
      <c r="JQ31" s="285" t="s">
        <v>34</v>
      </c>
      <c r="JR31" s="286">
        <f>'Data-temp_employment'!JR31-last_qrtr_tempemp!JS31</f>
        <v>-4.8999999999999986</v>
      </c>
      <c r="JS31" s="286">
        <f>'Data-temp_employment'!JS31-last_qrtr_tempemp!JT31</f>
        <v>-2.2000000000000028</v>
      </c>
      <c r="JT31" s="286">
        <f>'Data-temp_employment'!JT31-last_qrtr_tempemp!JU31</f>
        <v>3.6000000000000014</v>
      </c>
      <c r="JU31" s="286">
        <f>'Data-temp_employment'!JU31-last_qrtr_tempemp!JV31</f>
        <v>12.399999999999999</v>
      </c>
      <c r="JV31" s="286">
        <f>'Data-temp_employment'!JV31-last_qrtr_tempemp!JW31</f>
        <v>2.2000000000000028</v>
      </c>
      <c r="JW31" s="286">
        <f>'Data-temp_employment'!JW31-last_qrtr_tempemp!JX31</f>
        <v>-3.6000000000000014</v>
      </c>
      <c r="JX31" s="286">
        <f>'Data-temp_employment'!JX31-last_qrtr_tempemp!JY31</f>
        <v>0.80000000000000426</v>
      </c>
      <c r="JY31" s="286">
        <f>'Data-temp_employment'!JY31-last_qrtr_tempemp!JZ31</f>
        <v>4</v>
      </c>
      <c r="JZ31" s="286">
        <f>'Data-temp_employment'!JZ31-last_qrtr_tempemp!KA31</f>
        <v>0.70000000000000284</v>
      </c>
      <c r="KA31" s="286">
        <f>'Data-temp_employment'!KA31</f>
        <v>44.5</v>
      </c>
      <c r="KB31" s="285" t="s">
        <v>34</v>
      </c>
      <c r="KC31" s="286">
        <f>'Data-temp_employment'!KC31-last_qrtr_tempemp!KD31</f>
        <v>-2.7000000000000171</v>
      </c>
      <c r="KD31" s="286">
        <f>'Data-temp_employment'!KD31-last_qrtr_tempemp!KE31</f>
        <v>13.600000000000023</v>
      </c>
      <c r="KE31" s="286">
        <f>'Data-temp_employment'!KE31-last_qrtr_tempemp!KF31</f>
        <v>24.399999999999977</v>
      </c>
      <c r="KF31" s="286">
        <f>'Data-temp_employment'!KF31-last_qrtr_tempemp!KG31</f>
        <v>29.799999999999983</v>
      </c>
      <c r="KG31" s="286">
        <f>'Data-temp_employment'!KG31-last_qrtr_tempemp!KH31</f>
        <v>16.299999999999955</v>
      </c>
      <c r="KH31" s="286">
        <f>'Data-temp_employment'!KH31-last_qrtr_tempemp!KI31</f>
        <v>6.8000000000000114</v>
      </c>
      <c r="KI31" s="286">
        <f>'Data-temp_employment'!KI31-last_qrtr_tempemp!KJ31</f>
        <v>23.200000000000045</v>
      </c>
      <c r="KJ31" s="286">
        <f>'Data-temp_employment'!KJ31-last_qrtr_tempemp!KK31</f>
        <v>7.8000000000000114</v>
      </c>
      <c r="KK31" s="286">
        <f>'Data-temp_employment'!KK31-last_qrtr_tempemp!KL31</f>
        <v>4.3000000000000114</v>
      </c>
      <c r="KL31" s="286">
        <f>'Data-temp_employment'!KL31</f>
        <v>290.89999999999998</v>
      </c>
      <c r="KM31" s="285" t="s">
        <v>34</v>
      </c>
      <c r="KN31" s="286">
        <f>'Data-temp_employment'!KN31-last_qrtr_tempemp!KO31</f>
        <v>5.5999999999999943</v>
      </c>
      <c r="KO31" s="286">
        <f>'Data-temp_employment'!KO31-last_qrtr_tempemp!KP31</f>
        <v>2.2000000000000028</v>
      </c>
      <c r="KP31" s="286">
        <f>'Data-temp_employment'!KP31-last_qrtr_tempemp!KQ31</f>
        <v>8.5</v>
      </c>
      <c r="KQ31" s="286">
        <f>'Data-temp_employment'!KQ31-last_qrtr_tempemp!KR31</f>
        <v>4.1000000000000085</v>
      </c>
      <c r="KR31" s="286">
        <f>'Data-temp_employment'!KR31-last_qrtr_tempemp!KS31</f>
        <v>-3.5</v>
      </c>
      <c r="KS31" s="286">
        <f>'Data-temp_employment'!KS31-last_qrtr_tempemp!KT31</f>
        <v>0.5</v>
      </c>
      <c r="KT31" s="286">
        <f>'Data-temp_employment'!KT31-last_qrtr_tempemp!KU31</f>
        <v>8.5</v>
      </c>
      <c r="KU31" s="286">
        <f>'Data-temp_employment'!KU31-last_qrtr_tempemp!KV31</f>
        <v>11.899999999999991</v>
      </c>
      <c r="KV31" s="286">
        <f>'Data-temp_employment'!KV31-last_qrtr_tempemp!KW31</f>
        <v>2.3999999999999915</v>
      </c>
      <c r="KW31" s="286">
        <f>'Data-temp_employment'!KW31</f>
        <v>77.2</v>
      </c>
      <c r="KX31" s="285" t="s">
        <v>34</v>
      </c>
      <c r="KY31" s="286">
        <f>'Data-temp_employment'!KY31-last_qrtr_tempemp!KZ31</f>
        <v>-8.4000000000000057</v>
      </c>
      <c r="KZ31" s="286">
        <f>'Data-temp_employment'!KZ31-last_qrtr_tempemp!LA31</f>
        <v>-4.7999999999999829</v>
      </c>
      <c r="LA31" s="286">
        <f>'Data-temp_employment'!LA31-last_qrtr_tempemp!LB31</f>
        <v>15.900000000000006</v>
      </c>
      <c r="LB31" s="286">
        <f>'Data-temp_employment'!LB31-last_qrtr_tempemp!LC31</f>
        <v>-0.19999999999998863</v>
      </c>
      <c r="LC31" s="286">
        <f>'Data-temp_employment'!LC31-last_qrtr_tempemp!LD31</f>
        <v>-11.300000000000011</v>
      </c>
      <c r="LD31" s="286">
        <f>'Data-temp_employment'!LD31-last_qrtr_tempemp!LE31</f>
        <v>-14</v>
      </c>
      <c r="LE31" s="286">
        <f>'Data-temp_employment'!LE31-last_qrtr_tempemp!LF31</f>
        <v>21.099999999999994</v>
      </c>
      <c r="LF31" s="286">
        <f>'Data-temp_employment'!LF31-last_qrtr_tempemp!LG31</f>
        <v>7.5</v>
      </c>
      <c r="LG31" s="286">
        <f>'Data-temp_employment'!LG31-last_qrtr_tempemp!LH31</f>
        <v>7.7000000000000171</v>
      </c>
      <c r="LH31" s="286">
        <f>'Data-temp_employment'!LH31</f>
        <v>152.1</v>
      </c>
      <c r="LI31" s="285" t="s">
        <v>34</v>
      </c>
      <c r="LJ31" s="286">
        <f>'Data-temp_employment'!LJ31-last_qrtr_tempemp!LK31</f>
        <v>2.4000000000000021</v>
      </c>
      <c r="LK31" s="286">
        <f>'Data-temp_employment'!LK31-last_qrtr_tempemp!LL31</f>
        <v>4.3000000000000007</v>
      </c>
      <c r="LL31" s="286">
        <f>'Data-temp_employment'!LL31-last_qrtr_tempemp!LM31</f>
        <v>5.5000000000000036</v>
      </c>
      <c r="LM31" s="286">
        <f>'Data-temp_employment'!LM31-last_qrtr_tempemp!LN31</f>
        <v>3.9999999999999964</v>
      </c>
      <c r="LN31" s="286">
        <f>'Data-temp_employment'!LN31-last_qrtr_tempemp!LO31</f>
        <v>-4.1000000000000014</v>
      </c>
      <c r="LO31" s="286">
        <f>'Data-temp_employment'!LO31-last_qrtr_tempemp!LP31</f>
        <v>-3.4000000000000021</v>
      </c>
      <c r="LP31" s="286">
        <f>'Data-temp_employment'!LP31-last_qrtr_tempemp!LQ31</f>
        <v>-2.8999999999999986</v>
      </c>
      <c r="LQ31" s="286">
        <f>'Data-temp_employment'!LQ31-last_qrtr_tempemp!LR31</f>
        <v>6.3999999999999986</v>
      </c>
      <c r="LR31" s="286">
        <f>'Data-temp_employment'!LR31-last_qrtr_tempemp!LS31</f>
        <v>10.7</v>
      </c>
      <c r="LS31" s="286">
        <f>'Data-temp_employment'!LS31</f>
        <v>36.299999999999997</v>
      </c>
      <c r="LT31" s="285" t="s">
        <v>34</v>
      </c>
      <c r="LU31" s="286">
        <f>'Data-temp_employment'!LU31-last_qrtr_tempemp!LV31</f>
        <v>2.8000000000000007</v>
      </c>
      <c r="LV31" s="286">
        <f>'Data-temp_employment'!LV31-last_qrtr_tempemp!LW31</f>
        <v>2.9000000000000021</v>
      </c>
      <c r="LW31" s="286">
        <f>'Data-temp_employment'!LW31-last_qrtr_tempemp!LX31</f>
        <v>0.39999999999999858</v>
      </c>
      <c r="LX31" s="286">
        <f>'Data-temp_employment'!LX31-last_qrtr_tempemp!LY31</f>
        <v>4.5</v>
      </c>
      <c r="LY31" s="286">
        <f>'Data-temp_employment'!LY31-last_qrtr_tempemp!LZ31</f>
        <v>2.3000000000000007</v>
      </c>
      <c r="LZ31" s="286">
        <f>'Data-temp_employment'!LZ31-last_qrtr_tempemp!MA31</f>
        <v>3.3999999999999986</v>
      </c>
      <c r="MA31" s="286">
        <f>'Data-temp_employment'!MA31-last_qrtr_tempemp!MB31</f>
        <v>-4.5</v>
      </c>
      <c r="MB31" s="286">
        <f>'Data-temp_employment'!MB31-last_qrtr_tempemp!MC31</f>
        <v>-3.6000000000000014</v>
      </c>
      <c r="MC31" s="286">
        <f>'Data-temp_employment'!MC31-last_qrtr_tempemp!MD31</f>
        <v>-3.6999999999999993</v>
      </c>
      <c r="MD31" s="286">
        <f>'Data-temp_employment'!MD31</f>
        <v>22.3</v>
      </c>
      <c r="ME31" s="285" t="s">
        <v>34</v>
      </c>
      <c r="MF31" s="286">
        <f>'Data-temp_employment'!MF31-last_qrtr_tempemp!MG31</f>
        <v>5</v>
      </c>
      <c r="MG31" s="286">
        <f>'Data-temp_employment'!MG31-last_qrtr_tempemp!MH31</f>
        <v>0.30000000000000426</v>
      </c>
      <c r="MH31" s="286">
        <f>'Data-temp_employment'!MH31-last_qrtr_tempemp!MI31</f>
        <v>3.8000000000000043</v>
      </c>
      <c r="MI31" s="286">
        <f>'Data-temp_employment'!MI31-last_qrtr_tempemp!MJ31</f>
        <v>5.1000000000000014</v>
      </c>
      <c r="MJ31" s="286">
        <f>'Data-temp_employment'!MJ31-last_qrtr_tempemp!MK31</f>
        <v>1.6999999999999957</v>
      </c>
      <c r="MK31" s="286">
        <f>'Data-temp_employment'!MK31-last_qrtr_tempemp!ML31</f>
        <v>8.2999999999999972</v>
      </c>
      <c r="ML31" s="286">
        <f>'Data-temp_employment'!ML31-last_qrtr_tempemp!MM31</f>
        <v>-1.5</v>
      </c>
      <c r="MM31" s="286">
        <f>'Data-temp_employment'!MM31-last_qrtr_tempemp!MN31</f>
        <v>7.6000000000000014</v>
      </c>
      <c r="MN31" s="286">
        <f>'Data-temp_employment'!MN31-last_qrtr_tempemp!MO31</f>
        <v>-4</v>
      </c>
      <c r="MO31" s="286">
        <f>'Data-temp_employment'!MO31</f>
        <v>59.8</v>
      </c>
      <c r="MP31" s="285" t="s">
        <v>34</v>
      </c>
      <c r="MQ31" s="286">
        <f>'Data-temp_employment'!MQ31-last_qrtr_tempemp!MR31</f>
        <v>-2.4000000000000057</v>
      </c>
      <c r="MR31" s="286">
        <f>'Data-temp_employment'!MR31-last_qrtr_tempemp!MS31</f>
        <v>3.5</v>
      </c>
      <c r="MS31" s="286">
        <f>'Data-temp_employment'!MS31-last_qrtr_tempemp!MT31</f>
        <v>12.200000000000003</v>
      </c>
      <c r="MT31" s="286">
        <f>'Data-temp_employment'!MT31-last_qrtr_tempemp!MU31</f>
        <v>11.700000000000003</v>
      </c>
      <c r="MU31" s="286">
        <f>'Data-temp_employment'!MU31-last_qrtr_tempemp!MV31</f>
        <v>4</v>
      </c>
      <c r="MV31" s="286">
        <f>'Data-temp_employment'!MV31-last_qrtr_tempemp!MW31</f>
        <v>-6.7000000000000028</v>
      </c>
      <c r="MW31" s="286">
        <f>'Data-temp_employment'!MW31-last_qrtr_tempemp!MX31</f>
        <v>-1.2000000000000028</v>
      </c>
      <c r="MX31" s="286">
        <f>'Data-temp_employment'!MX31-last_qrtr_tempemp!MY31</f>
        <v>0.20000000000000284</v>
      </c>
      <c r="MY31" s="286">
        <f>'Data-temp_employment'!MY31-last_qrtr_tempemp!MZ31</f>
        <v>-9.5999999999999943</v>
      </c>
      <c r="MZ31" s="286">
        <f>'Data-temp_employment'!MZ31</f>
        <v>111.5</v>
      </c>
      <c r="NA31" s="285" t="s">
        <v>34</v>
      </c>
      <c r="NB31" s="286">
        <f>'Data-temp_employment'!NB31-last_qrtr_tempemp!NC31</f>
        <v>-7.4000000000000057</v>
      </c>
      <c r="NC31" s="286">
        <f>'Data-temp_employment'!NC31-last_qrtr_tempemp!ND31</f>
        <v>-3</v>
      </c>
      <c r="ND31" s="286">
        <f>'Data-temp_employment'!ND31-last_qrtr_tempemp!NE31</f>
        <v>-0.40000000000000568</v>
      </c>
      <c r="NE31" s="286">
        <f>'Data-temp_employment'!NE31-last_qrtr_tempemp!NF31</f>
        <v>6.5</v>
      </c>
      <c r="NF31" s="286">
        <f>'Data-temp_employment'!NF31-last_qrtr_tempemp!NG31</f>
        <v>8.1999999999999957</v>
      </c>
      <c r="NG31" s="286">
        <f>'Data-temp_employment'!NG31-last_qrtr_tempemp!NH31</f>
        <v>9.2000000000000028</v>
      </c>
      <c r="NH31" s="286">
        <f>'Data-temp_employment'!NH31-last_qrtr_tempemp!NI31</f>
        <v>5.3000000000000043</v>
      </c>
      <c r="NI31" s="286">
        <f>'Data-temp_employment'!NI31-last_qrtr_tempemp!NJ31</f>
        <v>1.6000000000000014</v>
      </c>
      <c r="NJ31" s="286">
        <f>'Data-temp_employment'!NJ31-last_qrtr_tempemp!NK31</f>
        <v>-6.2000000000000028</v>
      </c>
      <c r="NK31" s="286">
        <f>'Data-temp_employment'!NK31</f>
        <v>48.8</v>
      </c>
      <c r="NL31" s="285" t="s">
        <v>34</v>
      </c>
      <c r="NM31" s="286">
        <f>'Data-temp_employment'!NM31-last_qrtr_tempemp!NN31</f>
        <v>1.0999999999999943</v>
      </c>
      <c r="NN31" s="286">
        <f>'Data-temp_employment'!NN31-last_qrtr_tempemp!NO31</f>
        <v>0.40000000000000568</v>
      </c>
      <c r="NO31" s="286">
        <f>'Data-temp_employment'!NO31-last_qrtr_tempemp!NP31</f>
        <v>-14.900000000000006</v>
      </c>
      <c r="NP31" s="286">
        <f>'Data-temp_employment'!NP31-last_qrtr_tempemp!NQ31</f>
        <v>1.2999999999999972</v>
      </c>
      <c r="NQ31" s="286">
        <f>'Data-temp_employment'!NQ31-last_qrtr_tempemp!NR31</f>
        <v>2.8999999999999915</v>
      </c>
      <c r="NR31" s="286">
        <f>'Data-temp_employment'!NR31-last_qrtr_tempemp!NS31</f>
        <v>12.700000000000003</v>
      </c>
      <c r="NS31" s="286">
        <f>'Data-temp_employment'!NS31-last_qrtr_tempemp!NT31</f>
        <v>-13.099999999999994</v>
      </c>
      <c r="NT31" s="286">
        <f>'Data-temp_employment'!NT31-last_qrtr_tempemp!NU31</f>
        <v>2.4000000000000057</v>
      </c>
      <c r="NU31" s="286">
        <f>'Data-temp_employment'!NU31-last_qrtr_tempemp!NV31</f>
        <v>3.1000000000000085</v>
      </c>
      <c r="NV31" s="286">
        <f>'Data-temp_employment'!NV31</f>
        <v>84.5</v>
      </c>
      <c r="NW31" s="285" t="s">
        <v>34</v>
      </c>
      <c r="NX31" s="286">
        <f>'Data-temp_employment'!NX31-last_qrtr_tempemp!NY31</f>
        <v>4.3000000000000114</v>
      </c>
      <c r="NY31" s="286">
        <f>'Data-temp_employment'!NY31-last_qrtr_tempemp!NZ31</f>
        <v>-4.5999999999999943</v>
      </c>
      <c r="NZ31" s="286">
        <f>'Data-temp_employment'!NZ31-last_qrtr_tempemp!OA31</f>
        <v>20.300000000000011</v>
      </c>
      <c r="OA31" s="286">
        <f>'Data-temp_employment'!OA31-last_qrtr_tempemp!OB31</f>
        <v>22.299999999999983</v>
      </c>
      <c r="OB31" s="286">
        <f>'Data-temp_employment'!OB31-last_qrtr_tempemp!OC31</f>
        <v>5.0999999999999943</v>
      </c>
      <c r="OC31" s="286">
        <f>'Data-temp_employment'!OC31-last_qrtr_tempemp!OD31</f>
        <v>-16.900000000000006</v>
      </c>
      <c r="OD31" s="286">
        <f>'Data-temp_employment'!OD31-last_qrtr_tempemp!OE31</f>
        <v>1.0999999999999943</v>
      </c>
      <c r="OE31" s="286">
        <f>'Data-temp_employment'!OE31-last_qrtr_tempemp!OF31</f>
        <v>0.5</v>
      </c>
      <c r="OF31" s="286">
        <f>'Data-temp_employment'!OF31-last_qrtr_tempemp!OG31</f>
        <v>-2.4000000000000057</v>
      </c>
      <c r="OG31" s="286">
        <f>'Data-temp_employment'!OG31</f>
        <v>173.5</v>
      </c>
      <c r="OH31" s="287" t="s">
        <v>34</v>
      </c>
      <c r="OI31" s="286"/>
      <c r="OJ31" s="286"/>
      <c r="OK31" s="286"/>
      <c r="OL31" s="286"/>
      <c r="OM31" s="286"/>
      <c r="ON31" s="286"/>
      <c r="OO31" s="286"/>
      <c r="OP31" s="286"/>
      <c r="OQ31" s="286"/>
      <c r="OR31" s="286"/>
      <c r="OS31" s="285" t="s">
        <v>34</v>
      </c>
      <c r="OT31" s="286" t="e">
        <f>'Data-temp_employment'!#REF!-last_qrtr_tempemp!OU31</f>
        <v>#REF!</v>
      </c>
      <c r="OU31" s="286">
        <f>'Data-temp_employment'!OT31-last_qrtr_tempemp!OV31</f>
        <v>-0.19999999999999996</v>
      </c>
      <c r="OV31" s="286">
        <f>'Data-temp_employment'!OU31-last_qrtr_tempemp!OW31</f>
        <v>-0.7</v>
      </c>
      <c r="OW31" s="286">
        <f>'Data-temp_employment'!OV31-last_qrtr_tempemp!OX31</f>
        <v>1.1000000000000001</v>
      </c>
      <c r="OX31" s="286">
        <f>'Data-temp_employment'!OW31-last_qrtr_tempemp!OY31</f>
        <v>-0.30000000000000004</v>
      </c>
      <c r="OY31" s="286">
        <f>'Data-temp_employment'!OX31-last_qrtr_tempemp!OZ31</f>
        <v>0.2</v>
      </c>
      <c r="OZ31" s="286">
        <f>'Data-temp_employment'!OY31-last_qrtr_tempemp!PA31</f>
        <v>-0.9</v>
      </c>
      <c r="PA31" s="286">
        <f>'Data-temp_employment'!OZ31-last_qrtr_tempemp!PB31</f>
        <v>-0.30000000000000004</v>
      </c>
      <c r="PB31" s="286">
        <f>'Data-temp_employment'!PA31-last_qrtr_tempemp!PC31</f>
        <v>0</v>
      </c>
      <c r="PC31" s="286">
        <f>'Data-temp_employment'!PB31</f>
        <v>0.5</v>
      </c>
      <c r="PE31" s="319"/>
      <c r="PF31" s="319"/>
      <c r="PG31" s="319"/>
      <c r="PH31" s="319"/>
      <c r="PI31" s="319"/>
      <c r="PJ31" s="319"/>
      <c r="PK31" s="319"/>
      <c r="PL31" s="319"/>
      <c r="PM31" s="319"/>
      <c r="PN31" s="319"/>
      <c r="PO31" s="319"/>
      <c r="PP31" s="319"/>
      <c r="PQ31" s="319"/>
      <c r="PR31" s="319"/>
      <c r="PS31" s="319"/>
      <c r="PT31" s="319"/>
      <c r="PU31" s="319"/>
      <c r="PV31" s="319"/>
      <c r="PW31" s="319"/>
      <c r="PX31" s="319"/>
      <c r="PY31" s="319"/>
      <c r="PZ31" s="319"/>
      <c r="QA31" s="319"/>
      <c r="QB31" s="319"/>
      <c r="QC31" s="319"/>
      <c r="QD31" s="319"/>
      <c r="QE31" s="319"/>
      <c r="QF31" s="319"/>
      <c r="QG31" s="319"/>
      <c r="QH31" s="319"/>
      <c r="QI31" s="319"/>
      <c r="QJ31" s="319"/>
      <c r="QK31" s="319"/>
      <c r="QL31" s="319"/>
      <c r="QM31" s="319"/>
      <c r="QN31" s="319"/>
      <c r="QO31" s="319"/>
      <c r="QP31" s="319"/>
      <c r="QQ31" s="319"/>
      <c r="QR31" s="319"/>
      <c r="QS31" s="319"/>
      <c r="QT31" s="319"/>
      <c r="QU31" s="319"/>
      <c r="QV31" s="319"/>
      <c r="QW31" s="319"/>
      <c r="QX31" s="319"/>
      <c r="QY31" s="319"/>
      <c r="QZ31" s="319"/>
      <c r="RA31" s="319"/>
      <c r="RB31" s="319"/>
      <c r="RC31" s="319"/>
      <c r="RD31" s="319"/>
      <c r="RE31" s="319"/>
      <c r="RF31" s="319"/>
      <c r="RG31" s="319"/>
      <c r="RH31" s="319"/>
      <c r="RI31" s="319"/>
      <c r="RJ31" s="319"/>
      <c r="RK31" s="319"/>
      <c r="RL31" s="319"/>
      <c r="RM31" s="319"/>
      <c r="RN31" s="319"/>
      <c r="RO31" s="319"/>
      <c r="RP31" s="319"/>
    </row>
    <row r="32" spans="1:485">
      <c r="A32" s="269">
        <v>29</v>
      </c>
      <c r="B32" s="285" t="s">
        <v>45</v>
      </c>
      <c r="C32" s="286">
        <f>'Data-temp_employment'!C32-last_qrtr_tempemp!D32</f>
        <v>0.30000000000000071</v>
      </c>
      <c r="D32" s="286">
        <f>'Data-temp_employment'!D32-last_qrtr_tempemp!E32</f>
        <v>0.40000000000000036</v>
      </c>
      <c r="E32" s="286">
        <f>'Data-temp_employment'!E32-last_qrtr_tempemp!F32</f>
        <v>1.3000000000000007</v>
      </c>
      <c r="F32" s="286">
        <f>'Data-temp_employment'!F32-last_qrtr_tempemp!G32</f>
        <v>-0.20000000000000107</v>
      </c>
      <c r="G32" s="286">
        <f>'Data-temp_employment'!G32-last_qrtr_tempemp!H32</f>
        <v>-1.1000000000000005</v>
      </c>
      <c r="H32" s="286">
        <f>'Data-temp_employment'!H32-last_qrtr_tempemp!I32</f>
        <v>-0.80000000000000071</v>
      </c>
      <c r="I32" s="286">
        <f>'Data-temp_employment'!I32-last_qrtr_tempemp!J32</f>
        <v>1.1000000000000014</v>
      </c>
      <c r="J32" s="286">
        <f>'Data-temp_employment'!J32-last_qrtr_tempemp!K32</f>
        <v>0.50000000000000089</v>
      </c>
      <c r="K32" s="286">
        <f>'Data-temp_employment'!K32-last_qrtr_tempemp!L32</f>
        <v>-0.69999999999999929</v>
      </c>
      <c r="L32" s="286">
        <f>'Data-temp_employment'!L32</f>
        <v>8.4</v>
      </c>
      <c r="M32" s="285" t="s">
        <v>45</v>
      </c>
      <c r="N32" s="286">
        <f>'Data-temp_employment'!N32-last_qrtr_tempemp!O32</f>
        <v>6</v>
      </c>
      <c r="O32" s="286">
        <f>'Data-temp_employment'!O32-last_qrtr_tempemp!P32</f>
        <v>10.099999999999994</v>
      </c>
      <c r="P32" s="286">
        <f>'Data-temp_employment'!P32-last_qrtr_tempemp!Q32</f>
        <v>32.300000000000011</v>
      </c>
      <c r="Q32" s="286">
        <f>'Data-temp_employment'!Q32-last_qrtr_tempemp!R32</f>
        <v>-4.3000000000000114</v>
      </c>
      <c r="R32" s="286">
        <f>'Data-temp_employment'!R32-last_qrtr_tempemp!S32</f>
        <v>-27.800000000000011</v>
      </c>
      <c r="S32" s="286">
        <f>'Data-temp_employment'!S32-last_qrtr_tempemp!T32</f>
        <v>-17.300000000000011</v>
      </c>
      <c r="T32" s="286">
        <f>'Data-temp_employment'!T32-last_qrtr_tempemp!U32</f>
        <v>28</v>
      </c>
      <c r="U32" s="286">
        <f>'Data-temp_employment'!U32-last_qrtr_tempemp!V32</f>
        <v>13.200000000000017</v>
      </c>
      <c r="V32" s="286">
        <f>'Data-temp_employment'!V32-last_qrtr_tempemp!W32</f>
        <v>-17.5</v>
      </c>
      <c r="W32" s="286">
        <f>'Data-temp_employment'!W32</f>
        <v>204</v>
      </c>
      <c r="X32" s="285" t="s">
        <v>45</v>
      </c>
      <c r="Y32" s="286">
        <f>'Data-temp_employment'!Y32-last_qrtr_tempemp!Z32</f>
        <v>-2.7</v>
      </c>
      <c r="Z32" s="286">
        <f>'Data-temp_employment'!Z32-last_qrtr_tempemp!AA32</f>
        <v>-2.2999999999999998</v>
      </c>
      <c r="AA32" s="286">
        <f>'Data-temp_employment'!AA32-last_qrtr_tempemp!AB32</f>
        <v>5.6</v>
      </c>
      <c r="AB32" s="286">
        <f>'Data-temp_employment'!AB32-last_qrtr_tempemp!AC32</f>
        <v>0</v>
      </c>
      <c r="AC32" s="286">
        <f>'Data-temp_employment'!AC32-last_qrtr_tempemp!AD32</f>
        <v>-2.5</v>
      </c>
      <c r="AD32" s="286">
        <f>'Data-temp_employment'!AD32-last_qrtr_tempemp!AE32</f>
        <v>-5.6</v>
      </c>
      <c r="AE32" s="286">
        <f>'Data-temp_employment'!AE32-last_qrtr_tempemp!AF32</f>
        <v>8.1999999999999993</v>
      </c>
      <c r="AF32" s="286">
        <f>'Data-temp_employment'!AF32-last_qrtr_tempemp!AG32</f>
        <v>2.1</v>
      </c>
      <c r="AG32" s="286">
        <f>'Data-temp_employment'!AG32-last_qrtr_tempemp!AH32</f>
        <v>0</v>
      </c>
      <c r="AH32" s="286">
        <f>'Data-temp_employment'!AH32</f>
        <v>0</v>
      </c>
      <c r="AI32" s="285" t="s">
        <v>45</v>
      </c>
      <c r="AJ32" s="286">
        <f>'Data-temp_employment'!AJ32-last_qrtr_tempemp!AK32</f>
        <v>-6.5</v>
      </c>
      <c r="AK32" s="286">
        <f>'Data-temp_employment'!AK32-last_qrtr_tempemp!AL32</f>
        <v>-7.5</v>
      </c>
      <c r="AL32" s="286">
        <f>'Data-temp_employment'!AL32-last_qrtr_tempemp!AM32</f>
        <v>9.6999999999999993</v>
      </c>
      <c r="AM32" s="286">
        <f>'Data-temp_employment'!AM32-last_qrtr_tempemp!AN32</f>
        <v>5.1999999999999993</v>
      </c>
      <c r="AN32" s="286">
        <f>'Data-temp_employment'!AN32-last_qrtr_tempemp!AO32</f>
        <v>-7.6</v>
      </c>
      <c r="AO32" s="286">
        <f>'Data-temp_employment'!AO32-last_qrtr_tempemp!AP32</f>
        <v>-7.1</v>
      </c>
      <c r="AP32" s="286">
        <f>'Data-temp_employment'!AP32-last_qrtr_tempemp!AQ32</f>
        <v>8.6</v>
      </c>
      <c r="AQ32" s="286">
        <f>'Data-temp_employment'!AQ32-last_qrtr_tempemp!AR32</f>
        <v>0.59999999999999964</v>
      </c>
      <c r="AR32" s="286">
        <f>'Data-temp_employment'!AR32-last_qrtr_tempemp!AS32</f>
        <v>-8.9</v>
      </c>
      <c r="AS32" s="286">
        <f>'Data-temp_employment'!AS32</f>
        <v>15.4</v>
      </c>
      <c r="AT32" s="285" t="s">
        <v>45</v>
      </c>
      <c r="AU32" s="286">
        <f>'Data-temp_employment'!AU32-last_qrtr_tempemp!AV32</f>
        <v>2.3000000000000007</v>
      </c>
      <c r="AV32" s="286">
        <f>'Data-temp_employment'!AV32-last_qrtr_tempemp!AW32</f>
        <v>0.80000000000000071</v>
      </c>
      <c r="AW32" s="286">
        <f>'Data-temp_employment'!AW32-last_qrtr_tempemp!AX32</f>
        <v>1.8000000000000007</v>
      </c>
      <c r="AX32" s="286">
        <f>'Data-temp_employment'!AX32-last_qrtr_tempemp!AY32</f>
        <v>-3.5</v>
      </c>
      <c r="AY32" s="286">
        <f>'Data-temp_employment'!AY32-last_qrtr_tempemp!AZ32</f>
        <v>-0.20000000000000107</v>
      </c>
      <c r="AZ32" s="286">
        <f>'Data-temp_employment'!AZ32-last_qrtr_tempemp!BA32</f>
        <v>-0.5</v>
      </c>
      <c r="BA32" s="286">
        <f>'Data-temp_employment'!BA32-last_qrtr_tempemp!BB32</f>
        <v>3.4000000000000004</v>
      </c>
      <c r="BB32" s="286">
        <f>'Data-temp_employment'!BB32-last_qrtr_tempemp!BC32</f>
        <v>0</v>
      </c>
      <c r="BC32" s="286">
        <f>'Data-temp_employment'!BC32-last_qrtr_tempemp!BD32</f>
        <v>0.90000000000000036</v>
      </c>
      <c r="BD32" s="286">
        <f>'Data-temp_employment'!BD32</f>
        <v>13.7</v>
      </c>
      <c r="BE32" s="285" t="s">
        <v>45</v>
      </c>
      <c r="BF32" s="286">
        <f>'Data-temp_employment'!BF32-last_qrtr_tempemp!BG32</f>
        <v>7</v>
      </c>
      <c r="BG32" s="286">
        <f>'Data-temp_employment'!BG32-last_qrtr_tempemp!BH32</f>
        <v>3.8999999999999986</v>
      </c>
      <c r="BH32" s="286">
        <f>'Data-temp_employment'!BH32-last_qrtr_tempemp!BI32</f>
        <v>8.3000000000000007</v>
      </c>
      <c r="BI32" s="286">
        <f>'Data-temp_employment'!BI32-last_qrtr_tempemp!BJ32</f>
        <v>2</v>
      </c>
      <c r="BJ32" s="286">
        <f>'Data-temp_employment'!BJ32-last_qrtr_tempemp!BK32</f>
        <v>6.8000000000000007</v>
      </c>
      <c r="BK32" s="286">
        <f>'Data-temp_employment'!BK32-last_qrtr_tempemp!BL32</f>
        <v>-0.80000000000000071</v>
      </c>
      <c r="BL32" s="286">
        <f>'Data-temp_employment'!BL32-last_qrtr_tempemp!BM32</f>
        <v>-7.0999999999999979</v>
      </c>
      <c r="BM32" s="286">
        <f>'Data-temp_employment'!BM32-last_qrtr_tempemp!BN32</f>
        <v>-1.1999999999999993</v>
      </c>
      <c r="BN32" s="286">
        <f>'Data-temp_employment'!BN32-last_qrtr_tempemp!BO32</f>
        <v>-3.6999999999999993</v>
      </c>
      <c r="BO32" s="286">
        <f>'Data-temp_employment'!BO32</f>
        <v>23.7</v>
      </c>
      <c r="BP32" s="285" t="s">
        <v>45</v>
      </c>
      <c r="BQ32" s="286">
        <f>'Data-temp_employment'!BQ32-last_qrtr_tempemp!BR32</f>
        <v>-1</v>
      </c>
      <c r="BR32" s="286">
        <f>'Data-temp_employment'!BR32-last_qrtr_tempemp!BS32</f>
        <v>-1.7999999999999972</v>
      </c>
      <c r="BS32" s="286">
        <f>'Data-temp_employment'!BS32-last_qrtr_tempemp!BT32</f>
        <v>4.1000000000000014</v>
      </c>
      <c r="BT32" s="286">
        <f>'Data-temp_employment'!BT32-last_qrtr_tempemp!BU32</f>
        <v>-0.80000000000000426</v>
      </c>
      <c r="BU32" s="286">
        <f>'Data-temp_employment'!BU32-last_qrtr_tempemp!BV32</f>
        <v>-4.5000000000000036</v>
      </c>
      <c r="BV32" s="286">
        <f>'Data-temp_employment'!BV32-last_qrtr_tempemp!BW32</f>
        <v>-2.3000000000000007</v>
      </c>
      <c r="BW32" s="286">
        <f>'Data-temp_employment'!BW32-last_qrtr_tempemp!BX32</f>
        <v>3.4000000000000021</v>
      </c>
      <c r="BX32" s="286">
        <f>'Data-temp_employment'!BX32-last_qrtr_tempemp!BY32</f>
        <v>0.19999999999999929</v>
      </c>
      <c r="BY32" s="286">
        <f>'Data-temp_employment'!BY32-last_qrtr_tempemp!BZ32</f>
        <v>-1.5999999999999979</v>
      </c>
      <c r="BZ32" s="286">
        <f>'Data-temp_employment'!BZ32</f>
        <v>21.1</v>
      </c>
      <c r="CA32" s="282" t="s">
        <v>45</v>
      </c>
      <c r="CB32" s="286">
        <f>'Data-temp_employment'!CB32-last_qrtr_tempemp!CC32</f>
        <v>0.69999999999999574</v>
      </c>
      <c r="CC32" s="286">
        <f>'Data-temp_employment'!CC32-last_qrtr_tempemp!CD32</f>
        <v>6.6000000000000014</v>
      </c>
      <c r="CD32" s="286">
        <f>'Data-temp_employment'!CD32-last_qrtr_tempemp!CE32</f>
        <v>6.4000000000000057</v>
      </c>
      <c r="CE32" s="286">
        <f>'Data-temp_employment'!CE32-last_qrtr_tempemp!CF32</f>
        <v>-1.6999999999999957</v>
      </c>
      <c r="CF32" s="286">
        <f>'Data-temp_employment'!CF32-last_qrtr_tempemp!CG32</f>
        <v>-3.6000000000000014</v>
      </c>
      <c r="CG32" s="286">
        <f>'Data-temp_employment'!CG32-last_qrtr_tempemp!CH32</f>
        <v>1.7999999999999972</v>
      </c>
      <c r="CH32" s="286">
        <f>'Data-temp_employment'!CH32-last_qrtr_tempemp!CI32</f>
        <v>-3.8999999999999986</v>
      </c>
      <c r="CI32" s="286">
        <f>'Data-temp_employment'!CI32-last_qrtr_tempemp!CJ32</f>
        <v>-2.3999999999999986</v>
      </c>
      <c r="CJ32" s="286">
        <f>'Data-temp_employment'!CJ32-last_qrtr_tempemp!CK32</f>
        <v>-2.7999999999999972</v>
      </c>
      <c r="CK32" s="286">
        <f>'Data-temp_employment'!CK32</f>
        <v>33.5</v>
      </c>
      <c r="CL32" s="285" t="s">
        <v>45</v>
      </c>
      <c r="CM32" s="286">
        <f>'Data-temp_employment'!CM32-last_qrtr_tempemp!CN32</f>
        <v>13.200000000000003</v>
      </c>
      <c r="CN32" s="286">
        <f>'Data-temp_employment'!CN32-last_qrtr_tempemp!CO32</f>
        <v>12.299999999999997</v>
      </c>
      <c r="CO32" s="286">
        <f>'Data-temp_employment'!CO32-last_qrtr_tempemp!CP32</f>
        <v>13.200000000000003</v>
      </c>
      <c r="CP32" s="286">
        <f>'Data-temp_employment'!CP32-last_qrtr_tempemp!CQ32</f>
        <v>0.39999999999999858</v>
      </c>
      <c r="CQ32" s="286">
        <f>'Data-temp_employment'!CQ32-last_qrtr_tempemp!CR32</f>
        <v>-8.1000000000000014</v>
      </c>
      <c r="CR32" s="286">
        <f>'Data-temp_employment'!CR32-last_qrtr_tempemp!CS32</f>
        <v>-6.7999999999999972</v>
      </c>
      <c r="CS32" s="286">
        <f>'Data-temp_employment'!CS32-last_qrtr_tempemp!CT32</f>
        <v>3.2999999999999972</v>
      </c>
      <c r="CT32" s="286">
        <f>'Data-temp_employment'!CT32-last_qrtr_tempemp!CU32</f>
        <v>-0.69999999999999574</v>
      </c>
      <c r="CU32" s="286">
        <f>'Data-temp_employment'!CU32-last_qrtr_tempemp!CV32</f>
        <v>-11</v>
      </c>
      <c r="CV32" s="286">
        <f>'Data-temp_employment'!CV32</f>
        <v>51</v>
      </c>
      <c r="CW32" s="285" t="s">
        <v>45</v>
      </c>
      <c r="CX32" s="286">
        <f>'Data-temp_employment'!CX32-last_qrtr_tempemp!CY32</f>
        <v>-5.0999999999999943</v>
      </c>
      <c r="CY32" s="286">
        <f>'Data-temp_employment'!CY32-last_qrtr_tempemp!CZ32</f>
        <v>-11.299999999999997</v>
      </c>
      <c r="CZ32" s="286">
        <f>'Data-temp_employment'!CZ32-last_qrtr_tempemp!DA32</f>
        <v>9</v>
      </c>
      <c r="DA32" s="286">
        <f>'Data-temp_employment'!DA32-last_qrtr_tempemp!DB32</f>
        <v>-6.2000000000000028</v>
      </c>
      <c r="DB32" s="286">
        <f>'Data-temp_employment'!DB32-last_qrtr_tempemp!DC32</f>
        <v>-5.2000000000000028</v>
      </c>
      <c r="DC32" s="286">
        <f>'Data-temp_employment'!DC32-last_qrtr_tempemp!DD32</f>
        <v>-10.100000000000009</v>
      </c>
      <c r="DD32" s="286">
        <f>'Data-temp_employment'!DD32-last_qrtr_tempemp!DE32</f>
        <v>18.599999999999994</v>
      </c>
      <c r="DE32" s="286">
        <f>'Data-temp_employment'!DE32-last_qrtr_tempemp!DF32</f>
        <v>6.7000000000000028</v>
      </c>
      <c r="DF32" s="286">
        <f>'Data-temp_employment'!DF32-last_qrtr_tempemp!DG32</f>
        <v>-2.3999999999999986</v>
      </c>
      <c r="DG32" s="286">
        <f>'Data-temp_employment'!DG32</f>
        <v>74.5</v>
      </c>
      <c r="DH32" s="285" t="s">
        <v>45</v>
      </c>
      <c r="DI32" s="286">
        <f>'Data-temp_employment'!DI32-last_qrtr_tempemp!DJ32</f>
        <v>-2</v>
      </c>
      <c r="DJ32" s="286">
        <f>'Data-temp_employment'!DJ32-last_qrtr_tempemp!DK32</f>
        <v>8.8999999999999915</v>
      </c>
      <c r="DK32" s="286">
        <f>'Data-temp_employment'!DK32-last_qrtr_tempemp!DL32</f>
        <v>10.099999999999994</v>
      </c>
      <c r="DL32" s="286">
        <f>'Data-temp_employment'!DL32-last_qrtr_tempemp!DM32</f>
        <v>1.4000000000000057</v>
      </c>
      <c r="DM32" s="286">
        <f>'Data-temp_employment'!DM32-last_qrtr_tempemp!DN32</f>
        <v>-14.399999999999991</v>
      </c>
      <c r="DN32" s="286">
        <f>'Data-temp_employment'!DN32-last_qrtr_tempemp!DO32</f>
        <v>-0.20000000000000284</v>
      </c>
      <c r="DO32" s="286">
        <f>'Data-temp_employment'!DO32-last_qrtr_tempemp!DP32</f>
        <v>6.1999999999999886</v>
      </c>
      <c r="DP32" s="286">
        <f>'Data-temp_employment'!DP32-last_qrtr_tempemp!DQ32</f>
        <v>7.1999999999999886</v>
      </c>
      <c r="DQ32" s="286">
        <f>'Data-temp_employment'!DQ32-last_qrtr_tempemp!DR32</f>
        <v>-4.2999999999999972</v>
      </c>
      <c r="DR32" s="286">
        <f>'Data-temp_employment'!DR32</f>
        <v>78.5</v>
      </c>
      <c r="DS32" s="285" t="s">
        <v>45</v>
      </c>
      <c r="DT32" s="286">
        <f>'Data-temp_employment'!DT32-last_qrtr_tempemp!DU32</f>
        <v>0</v>
      </c>
      <c r="DU32" s="286">
        <f>'Data-temp_employment'!DU32-last_qrtr_tempemp!DV32</f>
        <v>0</v>
      </c>
      <c r="DV32" s="286">
        <f>'Data-temp_employment'!DV32-last_qrtr_tempemp!DW32</f>
        <v>0</v>
      </c>
      <c r="DW32" s="286">
        <f>'Data-temp_employment'!DW32-last_qrtr_tempemp!DX32</f>
        <v>0</v>
      </c>
      <c r="DX32" s="286">
        <f>'Data-temp_employment'!DX32-last_qrtr_tempemp!DY32</f>
        <v>0</v>
      </c>
      <c r="DY32" s="286">
        <f>'Data-temp_employment'!DY32-last_qrtr_tempemp!DZ32</f>
        <v>0</v>
      </c>
      <c r="DZ32" s="286">
        <f>'Data-temp_employment'!DZ32-last_qrtr_tempemp!EA32</f>
        <v>0</v>
      </c>
      <c r="EA32" s="286">
        <f>'Data-temp_employment'!EA32-last_qrtr_tempemp!EB32</f>
        <v>0</v>
      </c>
      <c r="EB32" s="286">
        <f>'Data-temp_employment'!EB32-last_qrtr_tempemp!EC32</f>
        <v>0</v>
      </c>
      <c r="EC32" s="286">
        <f>'Data-temp_employment'!EC32</f>
        <v>0</v>
      </c>
      <c r="ED32" s="285" t="s">
        <v>45</v>
      </c>
      <c r="EE32" s="286">
        <f>'Data-temp_employment'!EE32-last_qrtr_tempemp!EF32</f>
        <v>0</v>
      </c>
      <c r="EF32" s="286">
        <f>'Data-temp_employment'!EF32-last_qrtr_tempemp!EG32</f>
        <v>0</v>
      </c>
      <c r="EG32" s="286">
        <f>'Data-temp_employment'!EG32-last_qrtr_tempemp!EH32</f>
        <v>0</v>
      </c>
      <c r="EH32" s="286">
        <f>'Data-temp_employment'!EH32-last_qrtr_tempemp!EI32</f>
        <v>0</v>
      </c>
      <c r="EI32" s="286">
        <f>'Data-temp_employment'!EI32-last_qrtr_tempemp!EJ32</f>
        <v>0</v>
      </c>
      <c r="EJ32" s="286">
        <f>'Data-temp_employment'!EJ32-last_qrtr_tempemp!EK32</f>
        <v>0</v>
      </c>
      <c r="EK32" s="286">
        <f>'Data-temp_employment'!EK32-last_qrtr_tempemp!EL32</f>
        <v>0</v>
      </c>
      <c r="EL32" s="286">
        <f>'Data-temp_employment'!EL32-last_qrtr_tempemp!EM32</f>
        <v>0</v>
      </c>
      <c r="EM32" s="286">
        <f>'Data-temp_employment'!EM32-last_qrtr_tempemp!EN32</f>
        <v>0</v>
      </c>
      <c r="EN32" s="286">
        <f>'Data-temp_employment'!EN32</f>
        <v>0</v>
      </c>
      <c r="EO32" s="285" t="s">
        <v>45</v>
      </c>
      <c r="EP32" s="286">
        <f>'Data-temp_employment'!EP32-last_qrtr_tempemp!EQ32</f>
        <v>2.7000000000000028</v>
      </c>
      <c r="EQ32" s="286">
        <f>'Data-temp_employment'!EQ32-last_qrtr_tempemp!ER32</f>
        <v>7.2999999999999972</v>
      </c>
      <c r="ER32" s="286">
        <f>'Data-temp_employment'!ER32-last_qrtr_tempemp!ES32</f>
        <v>4.8999999999999986</v>
      </c>
      <c r="ES32" s="286">
        <f>'Data-temp_employment'!ES32-last_qrtr_tempemp!ET32</f>
        <v>-3.7000000000000028</v>
      </c>
      <c r="ET32" s="286">
        <f>'Data-temp_employment'!ET32-last_qrtr_tempemp!EU32</f>
        <v>-3.7999999999999972</v>
      </c>
      <c r="EU32" s="286">
        <f>'Data-temp_employment'!EU32-last_qrtr_tempemp!EV32</f>
        <v>-2.8999999999999986</v>
      </c>
      <c r="EV32" s="286">
        <f>'Data-temp_employment'!EV32-last_qrtr_tempemp!EW32</f>
        <v>-0.39999999999999858</v>
      </c>
      <c r="EW32" s="286">
        <f>'Data-temp_employment'!EW32-last_qrtr_tempemp!EX32</f>
        <v>2.6000000000000014</v>
      </c>
      <c r="EX32" s="286">
        <f>'Data-temp_employment'!EX32-last_qrtr_tempemp!EY32</f>
        <v>1.2999999999999972</v>
      </c>
      <c r="EY32" s="286">
        <f>'Data-temp_employment'!EY32</f>
        <v>48.9</v>
      </c>
      <c r="EZ32" s="279" t="s">
        <v>45</v>
      </c>
      <c r="FA32" s="286">
        <f>'Data-temp_employment'!FA32-last_qrtr_tempemp!FB32</f>
        <v>-1</v>
      </c>
      <c r="FB32" s="286">
        <f>'Data-temp_employment'!FB32-last_qrtr_tempemp!FC32</f>
        <v>2.6999999999999993</v>
      </c>
      <c r="FC32" s="286">
        <f>'Data-temp_employment'!FC32-last_qrtr_tempemp!FD32</f>
        <v>2.1000000000000014</v>
      </c>
      <c r="FD32" s="286">
        <f>'Data-temp_employment'!FD32-last_qrtr_tempemp!FE32</f>
        <v>-2.8999999999999986</v>
      </c>
      <c r="FE32" s="286">
        <f>'Data-temp_employment'!FE32-last_qrtr_tempemp!FF32</f>
        <v>-3.4000000000000021</v>
      </c>
      <c r="FF32" s="286">
        <f>'Data-temp_employment'!FF32-last_qrtr_tempemp!FG32</f>
        <v>1.1000000000000014</v>
      </c>
      <c r="FG32" s="286">
        <f>'Data-temp_employment'!FG32-last_qrtr_tempemp!FH32</f>
        <v>4.6999999999999993</v>
      </c>
      <c r="FH32" s="286">
        <f>'Data-temp_employment'!FH32-last_qrtr_tempemp!FI32</f>
        <v>1.7000000000000028</v>
      </c>
      <c r="FI32" s="286">
        <f>'Data-temp_employment'!FI32-last_qrtr_tempemp!FJ32</f>
        <v>-2.8000000000000007</v>
      </c>
      <c r="FJ32" s="286">
        <f>'Data-temp_employment'!FJ32</f>
        <v>19.600000000000001</v>
      </c>
      <c r="FK32" s="279" t="s">
        <v>45</v>
      </c>
      <c r="FL32" s="286">
        <f>'Data-temp_employment'!FL32-last_qrtr_tempemp!FM32</f>
        <v>0.5</v>
      </c>
      <c r="FM32" s="286">
        <f>'Data-temp_employment'!FM32-last_qrtr_tempemp!FN32</f>
        <v>9.9999999999999645E-2</v>
      </c>
      <c r="FN32" s="286">
        <f>'Data-temp_employment'!FN32-last_qrtr_tempemp!FO32</f>
        <v>5.5</v>
      </c>
      <c r="FO32" s="286">
        <f>'Data-temp_employment'!FO32-last_qrtr_tempemp!FP32</f>
        <v>0.10000000000000142</v>
      </c>
      <c r="FP32" s="286">
        <f>'Data-temp_employment'!FP32-last_qrtr_tempemp!FQ32</f>
        <v>-3.8999999999999986</v>
      </c>
      <c r="FQ32" s="286">
        <f>'Data-temp_employment'!FQ32-last_qrtr_tempemp!FR32</f>
        <v>0.59999999999999964</v>
      </c>
      <c r="FR32" s="286">
        <f>'Data-temp_employment'!FR32-last_qrtr_tempemp!FS32</f>
        <v>1.5999999999999996</v>
      </c>
      <c r="FS32" s="286">
        <f>'Data-temp_employment'!FS32-last_qrtr_tempemp!FT32</f>
        <v>0</v>
      </c>
      <c r="FT32" s="286">
        <f>'Data-temp_employment'!FT32-last_qrtr_tempemp!FU32</f>
        <v>-4.8000000000000007</v>
      </c>
      <c r="FU32" s="286">
        <f>'Data-temp_employment'!FU32</f>
        <v>15.7</v>
      </c>
      <c r="FV32" s="279" t="s">
        <v>45</v>
      </c>
      <c r="FW32" s="286">
        <f>'Data-temp_employment'!FW32-last_qrtr_tempemp!FX32</f>
        <v>8.0000000000000071</v>
      </c>
      <c r="FX32" s="286">
        <f>'Data-temp_employment'!FX32-last_qrtr_tempemp!FY32</f>
        <v>6.9000000000000057</v>
      </c>
      <c r="FY32" s="286">
        <f>'Data-temp_employment'!FY32-last_qrtr_tempemp!FZ32</f>
        <v>15.299999999999997</v>
      </c>
      <c r="FZ32" s="286">
        <f>'Data-temp_employment'!FZ32-last_qrtr_tempemp!GA32</f>
        <v>-3.8000000000000114</v>
      </c>
      <c r="GA32" s="286">
        <f>'Data-temp_employment'!GA32-last_qrtr_tempemp!GB32</f>
        <v>-13.600000000000009</v>
      </c>
      <c r="GB32" s="286">
        <f>'Data-temp_employment'!GB32-last_qrtr_tempemp!GC32</f>
        <v>-9.2999999999999972</v>
      </c>
      <c r="GC32" s="286">
        <f>'Data-temp_employment'!GC32-last_qrtr_tempemp!GD32</f>
        <v>14.200000000000003</v>
      </c>
      <c r="GD32" s="286">
        <f>'Data-temp_employment'!GD32-last_qrtr_tempemp!GE32</f>
        <v>4.7000000000000028</v>
      </c>
      <c r="GE32" s="286">
        <f>'Data-temp_employment'!GE32-last_qrtr_tempemp!GF32</f>
        <v>-10</v>
      </c>
      <c r="GF32" s="286">
        <f>'Data-temp_employment'!GF32</f>
        <v>76.099999999999994</v>
      </c>
      <c r="GG32" s="279" t="s">
        <v>45</v>
      </c>
      <c r="GH32" s="286">
        <f>'Data-temp_employment'!GH32-last_qrtr_tempemp!GI32</f>
        <v>-3</v>
      </c>
      <c r="GI32" s="286">
        <f>'Data-temp_employment'!GI32-last_qrtr_tempemp!GJ32</f>
        <v>-1.2999999999999998</v>
      </c>
      <c r="GJ32" s="286">
        <f>'Data-temp_employment'!GJ32-last_qrtr_tempemp!GK32</f>
        <v>1</v>
      </c>
      <c r="GK32" s="286">
        <f>'Data-temp_employment'!GK32-last_qrtr_tempemp!GL32</f>
        <v>0</v>
      </c>
      <c r="GL32" s="286">
        <f>'Data-temp_employment'!GL32-last_qrtr_tempemp!GM32</f>
        <v>-2.6</v>
      </c>
      <c r="GM32" s="286">
        <f>'Data-temp_employment'!GM32-last_qrtr_tempemp!GN32</f>
        <v>-0.79999999999999982</v>
      </c>
      <c r="GN32" s="286">
        <f>'Data-temp_employment'!GN32-last_qrtr_tempemp!GO32</f>
        <v>4.5</v>
      </c>
      <c r="GO32" s="286">
        <f>'Data-temp_employment'!GO32-last_qrtr_tempemp!GP32</f>
        <v>0</v>
      </c>
      <c r="GP32" s="286">
        <f>'Data-temp_employment'!GP32-last_qrtr_tempemp!GQ32</f>
        <v>0</v>
      </c>
      <c r="GQ32" s="286">
        <f>'Data-temp_employment'!GQ32</f>
        <v>3.7</v>
      </c>
      <c r="GR32" s="285" t="s">
        <v>45</v>
      </c>
      <c r="GS32" s="286">
        <f>'Data-temp_employment'!GS32-last_qrtr_tempemp!GT32</f>
        <v>1.5</v>
      </c>
      <c r="GT32" s="286">
        <f>'Data-temp_employment'!GT32-last_qrtr_tempemp!GU32</f>
        <v>0.30000000000000071</v>
      </c>
      <c r="GU32" s="286">
        <f>'Data-temp_employment'!GU32-last_qrtr_tempemp!GV32</f>
        <v>-1.8000000000000007</v>
      </c>
      <c r="GV32" s="286">
        <f>'Data-temp_employment'!GV32-last_qrtr_tempemp!GW32</f>
        <v>1.6000000000000014</v>
      </c>
      <c r="GW32" s="286">
        <f>'Data-temp_employment'!GW32-last_qrtr_tempemp!GX32</f>
        <v>1.9000000000000004</v>
      </c>
      <c r="GX32" s="286">
        <f>'Data-temp_employment'!GX32-last_qrtr_tempemp!GY32</f>
        <v>-2.0999999999999996</v>
      </c>
      <c r="GY32" s="286">
        <f>'Data-temp_employment'!GY32-last_qrtr_tempemp!GZ32</f>
        <v>-1.9000000000000004</v>
      </c>
      <c r="GZ32" s="286">
        <f>'Data-temp_employment'!GZ32-last_qrtr_tempemp!HA32</f>
        <v>-1.8000000000000007</v>
      </c>
      <c r="HA32" s="286">
        <f>'Data-temp_employment'!HA32-last_qrtr_tempemp!HB32</f>
        <v>2.4000000000000004</v>
      </c>
      <c r="HB32" s="286">
        <f>'Data-temp_employment'!HB32</f>
        <v>13.6</v>
      </c>
      <c r="HC32" s="279" t="s">
        <v>45</v>
      </c>
      <c r="HD32" s="286">
        <f>'Data-temp_employment'!HD32-last_qrtr_tempemp!HE32</f>
        <v>-1</v>
      </c>
      <c r="HE32" s="286">
        <f>'Data-temp_employment'!HE32-last_qrtr_tempemp!HF32</f>
        <v>-2.4000000000000004</v>
      </c>
      <c r="HF32" s="286">
        <f>'Data-temp_employment'!HF32-last_qrtr_tempemp!HG32</f>
        <v>2.6999999999999993</v>
      </c>
      <c r="HG32" s="286">
        <f>'Data-temp_employment'!HG32-last_qrtr_tempemp!HH32</f>
        <v>3.3000000000000007</v>
      </c>
      <c r="HH32" s="286">
        <f>'Data-temp_employment'!HH32-last_qrtr_tempemp!HI32</f>
        <v>0.70000000000000107</v>
      </c>
      <c r="HI32" s="286">
        <f>'Data-temp_employment'!HI32-last_qrtr_tempemp!HJ32</f>
        <v>-1.6999999999999993</v>
      </c>
      <c r="HJ32" s="286">
        <f>'Data-temp_employment'!HJ32-last_qrtr_tempemp!HK32</f>
        <v>3.4000000000000004</v>
      </c>
      <c r="HK32" s="286">
        <f>'Data-temp_employment'!HK32-last_qrtr_tempemp!HL32</f>
        <v>2.7999999999999989</v>
      </c>
      <c r="HL32" s="286">
        <f>'Data-temp_employment'!HL32-last_qrtr_tempemp!HM32</f>
        <v>-1.9000000000000004</v>
      </c>
      <c r="HM32" s="286">
        <f>'Data-temp_employment'!HM32</f>
        <v>9</v>
      </c>
      <c r="HN32" s="285" t="s">
        <v>45</v>
      </c>
      <c r="HO32" s="286">
        <f>'Data-temp_employment'!HO32-last_qrtr_tempemp!HP32</f>
        <v>-1.0999999999999996</v>
      </c>
      <c r="HP32" s="286">
        <f>'Data-temp_employment'!HP32-last_qrtr_tempemp!HQ32</f>
        <v>-1.0999999999999996</v>
      </c>
      <c r="HQ32" s="286">
        <f>'Data-temp_employment'!HQ32-last_qrtr_tempemp!HR32</f>
        <v>3</v>
      </c>
      <c r="HR32" s="286">
        <f>'Data-temp_employment'!HR32-last_qrtr_tempemp!HS32</f>
        <v>-3.2000000000000011</v>
      </c>
      <c r="HS32" s="286">
        <f>'Data-temp_employment'!HS32-last_qrtr_tempemp!HT32</f>
        <v>-4.9000000000000004</v>
      </c>
      <c r="HT32" s="286">
        <f>'Data-temp_employment'!HT32-last_qrtr_tempemp!HU32</f>
        <v>-5.7000000000000011</v>
      </c>
      <c r="HU32" s="286">
        <f>'Data-temp_employment'!HU32-last_qrtr_tempemp!HV32</f>
        <v>2.6000000000000014</v>
      </c>
      <c r="HV32" s="286">
        <f>'Data-temp_employment'!HV32-last_qrtr_tempemp!HW32</f>
        <v>0.5</v>
      </c>
      <c r="HW32" s="286">
        <f>'Data-temp_employment'!HW32-last_qrtr_tempemp!HX32</f>
        <v>1.9000000000000004</v>
      </c>
      <c r="HX32" s="286">
        <f>'Data-temp_employment'!HX32</f>
        <v>13.7</v>
      </c>
      <c r="HY32" s="279" t="s">
        <v>45</v>
      </c>
      <c r="HZ32" s="286">
        <f>'Data-temp_employment'!HZ32-last_qrtr_tempemp!IA32</f>
        <v>-2.9</v>
      </c>
      <c r="IA32" s="286">
        <f>'Data-temp_employment'!IA32-last_qrtr_tempemp!IB32</f>
        <v>-1.8999999999999995</v>
      </c>
      <c r="IB32" s="286">
        <f>'Data-temp_employment'!IB32-last_qrtr_tempemp!IC32</f>
        <v>0.30000000000000027</v>
      </c>
      <c r="IC32" s="286">
        <f>'Data-temp_employment'!IC32-last_qrtr_tempemp!ID32</f>
        <v>4.4000000000000004</v>
      </c>
      <c r="ID32" s="286">
        <f>'Data-temp_employment'!ID32-last_qrtr_tempemp!IE32</f>
        <v>0.69999999999999973</v>
      </c>
      <c r="IE32" s="286">
        <f>'Data-temp_employment'!IE32-last_qrtr_tempemp!IF32</f>
        <v>1.7999999999999998</v>
      </c>
      <c r="IF32" s="286">
        <f>'Data-temp_employment'!IF32-last_qrtr_tempemp!IG32</f>
        <v>-0.80000000000000027</v>
      </c>
      <c r="IG32" s="286">
        <f>'Data-temp_employment'!IG32-last_qrtr_tempemp!IH32</f>
        <v>-0.29999999999999982</v>
      </c>
      <c r="IH32" s="286">
        <f>'Data-temp_employment'!IH32-last_qrtr_tempemp!II32</f>
        <v>-4.5</v>
      </c>
      <c r="II32" s="286">
        <f>'Data-temp_employment'!II32</f>
        <v>0</v>
      </c>
      <c r="IJ32" s="279" t="s">
        <v>45</v>
      </c>
      <c r="IK32" s="286">
        <f>'Data-temp_employment'!IK32-last_qrtr_tempemp!IL32</f>
        <v>0</v>
      </c>
      <c r="IL32" s="286">
        <f>'Data-temp_employment'!IL32-last_qrtr_tempemp!IM32</f>
        <v>0</v>
      </c>
      <c r="IM32" s="286">
        <f>'Data-temp_employment'!IM32-last_qrtr_tempemp!IN32</f>
        <v>0</v>
      </c>
      <c r="IN32" s="286">
        <f>'Data-temp_employment'!IN32-last_qrtr_tempemp!IO32</f>
        <v>0</v>
      </c>
      <c r="IO32" s="286">
        <f>'Data-temp_employment'!IO32-last_qrtr_tempemp!IP32</f>
        <v>0</v>
      </c>
      <c r="IP32" s="286">
        <f>'Data-temp_employment'!IP32-last_qrtr_tempemp!IQ32</f>
        <v>0</v>
      </c>
      <c r="IQ32" s="286">
        <f>'Data-temp_employment'!IQ32-last_qrtr_tempemp!IR32</f>
        <v>0</v>
      </c>
      <c r="IR32" s="286">
        <f>'Data-temp_employment'!IR32-last_qrtr_tempemp!IS32</f>
        <v>0</v>
      </c>
      <c r="IS32" s="286">
        <f>'Data-temp_employment'!IS32-last_qrtr_tempemp!IT32</f>
        <v>0</v>
      </c>
      <c r="IT32" s="286">
        <f>'Data-temp_employment'!IT32</f>
        <v>0</v>
      </c>
      <c r="IU32" s="279" t="s">
        <v>45</v>
      </c>
      <c r="IV32" s="286">
        <f>'Data-temp_employment'!IV32-last_qrtr_tempemp!IW32</f>
        <v>-3.8</v>
      </c>
      <c r="IW32" s="286">
        <f>'Data-temp_employment'!IW32-last_qrtr_tempemp!IX32</f>
        <v>-1.4000000000000004</v>
      </c>
      <c r="IX32" s="286">
        <f>'Data-temp_employment'!IX32-last_qrtr_tempemp!IY32</f>
        <v>1.7999999999999998</v>
      </c>
      <c r="IY32" s="286">
        <f>'Data-temp_employment'!IY32-last_qrtr_tempemp!IZ32</f>
        <v>0</v>
      </c>
      <c r="IZ32" s="286">
        <f>'Data-temp_employment'!IZ32-last_qrtr_tempemp!JA32</f>
        <v>-2.8</v>
      </c>
      <c r="JA32" s="286">
        <f>'Data-temp_employment'!JA32-last_qrtr_tempemp!JB32</f>
        <v>-1.5999999999999996</v>
      </c>
      <c r="JB32" s="286">
        <f>'Data-temp_employment'!JB32-last_qrtr_tempemp!JC32</f>
        <v>5</v>
      </c>
      <c r="JC32" s="286">
        <f>'Data-temp_employment'!JC32-last_qrtr_tempemp!JD32</f>
        <v>0</v>
      </c>
      <c r="JD32" s="286">
        <f>'Data-temp_employment'!JD32-last_qrtr_tempemp!JE32</f>
        <v>0.29999999999999982</v>
      </c>
      <c r="JE32" s="286">
        <f>'Data-temp_employment'!JE32</f>
        <v>4.0999999999999996</v>
      </c>
      <c r="JF32" s="279" t="s">
        <v>45</v>
      </c>
      <c r="JG32" s="286">
        <f>'Data-temp_employment'!JG32-last_qrtr_tempemp!JH32</f>
        <v>-4.2</v>
      </c>
      <c r="JH32" s="286">
        <f>'Data-temp_employment'!JH32-last_qrtr_tempemp!JI32</f>
        <v>1.6999999999999993</v>
      </c>
      <c r="JI32" s="286">
        <f>'Data-temp_employment'!JI32-last_qrtr_tempemp!JJ32</f>
        <v>1.9000000000000004</v>
      </c>
      <c r="JJ32" s="286">
        <f>'Data-temp_employment'!JJ32-last_qrtr_tempemp!JK32</f>
        <v>2.3999999999999995</v>
      </c>
      <c r="JK32" s="286">
        <f>'Data-temp_employment'!JK32-last_qrtr_tempemp!JL32</f>
        <v>-0.80000000000000071</v>
      </c>
      <c r="JL32" s="286">
        <f>'Data-temp_employment'!JL32-last_qrtr_tempemp!JM32</f>
        <v>-2.4000000000000004</v>
      </c>
      <c r="JM32" s="286">
        <f>'Data-temp_employment'!JM32-last_qrtr_tempemp!JN32</f>
        <v>2</v>
      </c>
      <c r="JN32" s="286">
        <f>'Data-temp_employment'!JN32-last_qrtr_tempemp!JO32</f>
        <v>1.2000000000000011</v>
      </c>
      <c r="JO32" s="286">
        <f>'Data-temp_employment'!JO32-last_qrtr_tempemp!JP32</f>
        <v>-2.5</v>
      </c>
      <c r="JP32" s="286">
        <f>'Data-temp_employment'!JP32</f>
        <v>6.8</v>
      </c>
      <c r="JQ32" s="285" t="s">
        <v>45</v>
      </c>
      <c r="JR32" s="286">
        <f>'Data-temp_employment'!JR32-last_qrtr_tempemp!JS32</f>
        <v>2.6000000000000005</v>
      </c>
      <c r="JS32" s="286">
        <f>'Data-temp_employment'!JS32-last_qrtr_tempemp!JT32</f>
        <v>-1.1999999999999993</v>
      </c>
      <c r="JT32" s="286">
        <f>'Data-temp_employment'!JT32-last_qrtr_tempemp!JU32</f>
        <v>1</v>
      </c>
      <c r="JU32" s="286">
        <f>'Data-temp_employment'!JU32-last_qrtr_tempemp!JV32</f>
        <v>-0.60000000000000142</v>
      </c>
      <c r="JV32" s="286">
        <f>'Data-temp_employment'!JV32-last_qrtr_tempemp!JW32</f>
        <v>-9.9999999999999645E-2</v>
      </c>
      <c r="JW32" s="286">
        <f>'Data-temp_employment'!JW32-last_qrtr_tempemp!JX32</f>
        <v>-3.4000000000000004</v>
      </c>
      <c r="JX32" s="286">
        <f>'Data-temp_employment'!JX32-last_qrtr_tempemp!JY32</f>
        <v>-0.99999999999999911</v>
      </c>
      <c r="JY32" s="286">
        <f>'Data-temp_employment'!JY32-last_qrtr_tempemp!JZ32</f>
        <v>-2.1000000000000005</v>
      </c>
      <c r="JZ32" s="286">
        <f>'Data-temp_employment'!JZ32-last_qrtr_tempemp!KA32</f>
        <v>1</v>
      </c>
      <c r="KA32" s="286">
        <f>'Data-temp_employment'!KA32</f>
        <v>9.4</v>
      </c>
      <c r="KB32" s="279" t="s">
        <v>45</v>
      </c>
      <c r="KC32" s="286">
        <f>'Data-temp_employment'!KC32-last_qrtr_tempemp!KD32</f>
        <v>1.4000000000000021</v>
      </c>
      <c r="KD32" s="286">
        <f>'Data-temp_employment'!KD32-last_qrtr_tempemp!KE32</f>
        <v>-5.4000000000000021</v>
      </c>
      <c r="KE32" s="286">
        <f>'Data-temp_employment'!KE32-last_qrtr_tempemp!KF32</f>
        <v>7.6000000000000014</v>
      </c>
      <c r="KF32" s="286">
        <f>'Data-temp_employment'!KF32-last_qrtr_tempemp!KG32</f>
        <v>-3.2000000000000028</v>
      </c>
      <c r="KG32" s="286">
        <f>'Data-temp_employment'!KG32-last_qrtr_tempemp!KH32</f>
        <v>-1.5</v>
      </c>
      <c r="KH32" s="286">
        <f>'Data-temp_employment'!KH32-last_qrtr_tempemp!KI32</f>
        <v>-6.3999999999999986</v>
      </c>
      <c r="KI32" s="286">
        <f>'Data-temp_employment'!KI32-last_qrtr_tempemp!KJ32</f>
        <v>6.4000000000000021</v>
      </c>
      <c r="KJ32" s="286">
        <f>'Data-temp_employment'!KJ32-last_qrtr_tempemp!KK32</f>
        <v>6.7000000000000028</v>
      </c>
      <c r="KK32" s="286">
        <f>'Data-temp_employment'!KK32-last_qrtr_tempemp!KL32</f>
        <v>-6.7000000000000028</v>
      </c>
      <c r="KL32" s="286">
        <f>'Data-temp_employment'!KL32</f>
        <v>19.2</v>
      </c>
      <c r="KM32" s="279" t="s">
        <v>45</v>
      </c>
      <c r="KN32" s="286">
        <f>'Data-temp_employment'!KN32-last_qrtr_tempemp!KO32</f>
        <v>-1.2000000000000002</v>
      </c>
      <c r="KO32" s="286">
        <f>'Data-temp_employment'!KO32-last_qrtr_tempemp!KP32</f>
        <v>-5.7</v>
      </c>
      <c r="KP32" s="286">
        <f>'Data-temp_employment'!KP32-last_qrtr_tempemp!KQ32</f>
        <v>-1.2999999999999998</v>
      </c>
      <c r="KQ32" s="286">
        <f>'Data-temp_employment'!KQ32-last_qrtr_tempemp!KR32</f>
        <v>-0.60000000000000053</v>
      </c>
      <c r="KR32" s="286">
        <f>'Data-temp_employment'!KR32-last_qrtr_tempemp!KS32</f>
        <v>-1.5</v>
      </c>
      <c r="KS32" s="286">
        <f>'Data-temp_employment'!KS32-last_qrtr_tempemp!KT32</f>
        <v>2.0999999999999996</v>
      </c>
      <c r="KT32" s="286">
        <f>'Data-temp_employment'!KT32-last_qrtr_tempemp!KU32</f>
        <v>4.9000000000000004</v>
      </c>
      <c r="KU32" s="286">
        <f>'Data-temp_employment'!KU32-last_qrtr_tempemp!KV32</f>
        <v>4.3</v>
      </c>
      <c r="KV32" s="286">
        <f>'Data-temp_employment'!KV32-last_qrtr_tempemp!KW32</f>
        <v>-0.69999999999999929</v>
      </c>
      <c r="KW32" s="286">
        <f>'Data-temp_employment'!KW32</f>
        <v>9.9</v>
      </c>
      <c r="KX32" s="279" t="s">
        <v>45</v>
      </c>
      <c r="KY32" s="286">
        <f>'Data-temp_employment'!KY32-last_qrtr_tempemp!KZ32</f>
        <v>0.30000000000000071</v>
      </c>
      <c r="KZ32" s="286">
        <f>'Data-temp_employment'!KZ32-last_qrtr_tempemp!LA32</f>
        <v>-1.0999999999999996</v>
      </c>
      <c r="LA32" s="286">
        <f>'Data-temp_employment'!LA32-last_qrtr_tempemp!LB32</f>
        <v>2.3000000000000007</v>
      </c>
      <c r="LB32" s="286">
        <f>'Data-temp_employment'!LB32-last_qrtr_tempemp!LC32</f>
        <v>-0.90000000000000036</v>
      </c>
      <c r="LC32" s="286">
        <f>'Data-temp_employment'!LC32-last_qrtr_tempemp!LD32</f>
        <v>-2.4000000000000004</v>
      </c>
      <c r="LD32" s="286">
        <f>'Data-temp_employment'!LD32-last_qrtr_tempemp!LE32</f>
        <v>-0.80000000000000071</v>
      </c>
      <c r="LE32" s="286">
        <f>'Data-temp_employment'!LE32-last_qrtr_tempemp!LF32</f>
        <v>3.6999999999999993</v>
      </c>
      <c r="LF32" s="286">
        <f>'Data-temp_employment'!LF32-last_qrtr_tempemp!LG32</f>
        <v>2.5</v>
      </c>
      <c r="LG32" s="286">
        <f>'Data-temp_employment'!LG32-last_qrtr_tempemp!LH32</f>
        <v>-9.9999999999999645E-2</v>
      </c>
      <c r="LH32" s="286">
        <f>'Data-temp_employment'!LH32</f>
        <v>11.5</v>
      </c>
      <c r="LI32" s="285" t="s">
        <v>45</v>
      </c>
      <c r="LJ32" s="286">
        <f>'Data-temp_employment'!LJ32-last_qrtr_tempemp!LK32</f>
        <v>-0.10000000000000053</v>
      </c>
      <c r="LK32" s="286">
        <f>'Data-temp_employment'!LK32-last_qrtr_tempemp!LL32</f>
        <v>-1.1000000000000001</v>
      </c>
      <c r="LL32" s="286">
        <f>'Data-temp_employment'!LL32-last_qrtr_tempemp!LM32</f>
        <v>-0.29999999999999982</v>
      </c>
      <c r="LM32" s="286">
        <f>'Data-temp_employment'!LM32-last_qrtr_tempemp!LN32</f>
        <v>-0.39999999999999947</v>
      </c>
      <c r="LN32" s="286">
        <f>'Data-temp_employment'!LN32-last_qrtr_tempemp!LO32</f>
        <v>0.49999999999999956</v>
      </c>
      <c r="LO32" s="286">
        <f>'Data-temp_employment'!LO32-last_qrtr_tempemp!LP32</f>
        <v>-0.20000000000000018</v>
      </c>
      <c r="LP32" s="286">
        <f>'Data-temp_employment'!LP32-last_qrtr_tempemp!LQ32</f>
        <v>9.9999999999999645E-2</v>
      </c>
      <c r="LQ32" s="286">
        <f>'Data-temp_employment'!LQ32-last_qrtr_tempemp!LR32</f>
        <v>-9.9999999999999645E-2</v>
      </c>
      <c r="LR32" s="286">
        <f>'Data-temp_employment'!LR32-last_qrtr_tempemp!LS32</f>
        <v>-0.60000000000000009</v>
      </c>
      <c r="LS32" s="286">
        <f>'Data-temp_employment'!LS32</f>
        <v>6</v>
      </c>
      <c r="LT32" s="279" t="s">
        <v>45</v>
      </c>
      <c r="LU32" s="286">
        <f>'Data-temp_employment'!LU32-last_qrtr_tempemp!LV32</f>
        <v>0</v>
      </c>
      <c r="LV32" s="286">
        <f>'Data-temp_employment'!LV32-last_qrtr_tempemp!LW32</f>
        <v>0</v>
      </c>
      <c r="LW32" s="286">
        <f>'Data-temp_employment'!LW32-last_qrtr_tempemp!LX32</f>
        <v>0</v>
      </c>
      <c r="LX32" s="286">
        <f>'Data-temp_employment'!LX32-last_qrtr_tempemp!LY32</f>
        <v>0</v>
      </c>
      <c r="LY32" s="286">
        <f>'Data-temp_employment'!LY32-last_qrtr_tempemp!LZ32</f>
        <v>0</v>
      </c>
      <c r="LZ32" s="286">
        <f>'Data-temp_employment'!LZ32-last_qrtr_tempemp!MA32</f>
        <v>0</v>
      </c>
      <c r="MA32" s="286">
        <f>'Data-temp_employment'!MA32-last_qrtr_tempemp!MB32</f>
        <v>0</v>
      </c>
      <c r="MB32" s="286">
        <f>'Data-temp_employment'!MB32-last_qrtr_tempemp!MC32</f>
        <v>0</v>
      </c>
      <c r="MC32" s="286">
        <f>'Data-temp_employment'!MC32-last_qrtr_tempemp!MD32</f>
        <v>0</v>
      </c>
      <c r="MD32" s="286">
        <f>'Data-temp_employment'!MD32</f>
        <v>0</v>
      </c>
      <c r="ME32" s="285" t="s">
        <v>45</v>
      </c>
      <c r="MF32" s="286">
        <f>'Data-temp_employment'!MF32-last_qrtr_tempemp!MG32</f>
        <v>1.2999999999999998</v>
      </c>
      <c r="MG32" s="286">
        <f>'Data-temp_employment'!MG32-last_qrtr_tempemp!MH32</f>
        <v>1.2000000000000002</v>
      </c>
      <c r="MH32" s="286">
        <f>'Data-temp_employment'!MH32-last_qrtr_tempemp!MI32</f>
        <v>-1.9000000000000004</v>
      </c>
      <c r="MI32" s="286">
        <f>'Data-temp_employment'!MI32-last_qrtr_tempemp!MJ32</f>
        <v>-2.5</v>
      </c>
      <c r="MJ32" s="286">
        <f>'Data-temp_employment'!MJ32-last_qrtr_tempemp!MK32</f>
        <v>-2.2000000000000002</v>
      </c>
      <c r="MK32" s="286">
        <f>'Data-temp_employment'!MK32-last_qrtr_tempemp!ML32</f>
        <v>0.70000000000000018</v>
      </c>
      <c r="ML32" s="286">
        <f>'Data-temp_employment'!ML32-last_qrtr_tempemp!MM32</f>
        <v>2.5999999999999996</v>
      </c>
      <c r="MM32" s="286">
        <f>'Data-temp_employment'!MM32-last_qrtr_tempemp!MN32</f>
        <v>-0.70000000000000018</v>
      </c>
      <c r="MN32" s="286">
        <f>'Data-temp_employment'!MN32-last_qrtr_tempemp!MO32</f>
        <v>-1.2000000000000002</v>
      </c>
      <c r="MO32" s="286">
        <f>'Data-temp_employment'!MO32</f>
        <v>5.7</v>
      </c>
      <c r="MP32" s="285" t="s">
        <v>45</v>
      </c>
      <c r="MQ32" s="286">
        <f>'Data-temp_employment'!MQ32-last_qrtr_tempemp!MR32</f>
        <v>-0.90000000000000036</v>
      </c>
      <c r="MR32" s="286">
        <f>'Data-temp_employment'!MR32-last_qrtr_tempemp!MS32</f>
        <v>1.2000000000000011</v>
      </c>
      <c r="MS32" s="286">
        <f>'Data-temp_employment'!MS32-last_qrtr_tempemp!MT32</f>
        <v>1.3999999999999986</v>
      </c>
      <c r="MT32" s="286">
        <f>'Data-temp_employment'!MT32-last_qrtr_tempemp!MU32</f>
        <v>2.4000000000000004</v>
      </c>
      <c r="MU32" s="286">
        <f>'Data-temp_employment'!MU32-last_qrtr_tempemp!MV32</f>
        <v>-0.90000000000000036</v>
      </c>
      <c r="MV32" s="286">
        <f>'Data-temp_employment'!MV32-last_qrtr_tempemp!MW32</f>
        <v>-0.19999999999999929</v>
      </c>
      <c r="MW32" s="286">
        <f>'Data-temp_employment'!MW32-last_qrtr_tempemp!MX32</f>
        <v>9.9999999999999645E-2</v>
      </c>
      <c r="MX32" s="286">
        <f>'Data-temp_employment'!MX32-last_qrtr_tempemp!MY32</f>
        <v>5.6000000000000014</v>
      </c>
      <c r="MY32" s="286">
        <f>'Data-temp_employment'!MY32-last_qrtr_tempemp!MZ32</f>
        <v>3.6999999999999993</v>
      </c>
      <c r="MZ32" s="286">
        <f>'Data-temp_employment'!MZ32</f>
        <v>17.8</v>
      </c>
      <c r="NA32" s="285" t="s">
        <v>45</v>
      </c>
      <c r="NB32" s="286">
        <f>'Data-temp_employment'!NB32-last_qrtr_tempemp!NC32</f>
        <v>0.5</v>
      </c>
      <c r="NC32" s="286">
        <f>'Data-temp_employment'!NC32-last_qrtr_tempemp!ND32</f>
        <v>2.8999999999999986</v>
      </c>
      <c r="ND32" s="286">
        <f>'Data-temp_employment'!ND32-last_qrtr_tempemp!NE32</f>
        <v>3</v>
      </c>
      <c r="NE32" s="286">
        <f>'Data-temp_employment'!NE32-last_qrtr_tempemp!NF32</f>
        <v>2.9000000000000004</v>
      </c>
      <c r="NF32" s="286">
        <f>'Data-temp_employment'!NF32-last_qrtr_tempemp!NG32</f>
        <v>1.4000000000000004</v>
      </c>
      <c r="NG32" s="286">
        <f>'Data-temp_employment'!NG32-last_qrtr_tempemp!NH32</f>
        <v>0.90000000000000036</v>
      </c>
      <c r="NH32" s="286">
        <f>'Data-temp_employment'!NH32-last_qrtr_tempemp!NI32</f>
        <v>-1.6999999999999993</v>
      </c>
      <c r="NI32" s="286">
        <f>'Data-temp_employment'!NI32-last_qrtr_tempemp!NJ32</f>
        <v>-4.7999999999999989</v>
      </c>
      <c r="NJ32" s="286">
        <f>'Data-temp_employment'!NJ32-last_qrtr_tempemp!NK32</f>
        <v>-5.0999999999999996</v>
      </c>
      <c r="NK32" s="286">
        <f>'Data-temp_employment'!NK32</f>
        <v>10</v>
      </c>
      <c r="NL32" s="285" t="s">
        <v>45</v>
      </c>
      <c r="NM32" s="286">
        <f>'Data-temp_employment'!NM32-last_qrtr_tempemp!NN32</f>
        <v>1.1999999999999993</v>
      </c>
      <c r="NN32" s="286">
        <f>'Data-temp_employment'!NN32-last_qrtr_tempemp!NO32</f>
        <v>10.399999999999999</v>
      </c>
      <c r="NO32" s="286">
        <f>'Data-temp_employment'!NO32-last_qrtr_tempemp!NP32</f>
        <v>3</v>
      </c>
      <c r="NP32" s="286">
        <f>'Data-temp_employment'!NP32-last_qrtr_tempemp!NQ32</f>
        <v>5.5000000000000036</v>
      </c>
      <c r="NQ32" s="286">
        <f>'Data-temp_employment'!NQ32-last_qrtr_tempemp!NR32</f>
        <v>-0.29999999999999716</v>
      </c>
      <c r="NR32" s="286">
        <f>'Data-temp_employment'!NR32-last_qrtr_tempemp!NS32</f>
        <v>2.7000000000000028</v>
      </c>
      <c r="NS32" s="286">
        <f>'Data-temp_employment'!NS32-last_qrtr_tempemp!NT32</f>
        <v>-9.8000000000000043</v>
      </c>
      <c r="NT32" s="286">
        <f>'Data-temp_employment'!NT32-last_qrtr_tempemp!NU32</f>
        <v>-2.3000000000000007</v>
      </c>
      <c r="NU32" s="286">
        <f>'Data-temp_employment'!NU32-last_qrtr_tempemp!NV32</f>
        <v>3</v>
      </c>
      <c r="NV32" s="286">
        <f>'Data-temp_employment'!NV32</f>
        <v>27.1</v>
      </c>
      <c r="NW32" s="279" t="s">
        <v>45</v>
      </c>
      <c r="NX32" s="286">
        <f>'Data-temp_employment'!NX32-last_qrtr_tempemp!NY32</f>
        <v>6.8000000000000043</v>
      </c>
      <c r="NY32" s="286">
        <f>'Data-temp_employment'!NY32-last_qrtr_tempemp!NZ32</f>
        <v>8.7000000000000028</v>
      </c>
      <c r="NZ32" s="286">
        <f>'Data-temp_employment'!NZ32-last_qrtr_tempemp!OA32</f>
        <v>10.100000000000001</v>
      </c>
      <c r="OA32" s="286">
        <f>'Data-temp_employment'!OA32-last_qrtr_tempemp!OB32</f>
        <v>-5.9000000000000057</v>
      </c>
      <c r="OB32" s="286">
        <f>'Data-temp_employment'!OB32-last_qrtr_tempemp!OC32</f>
        <v>-12.800000000000004</v>
      </c>
      <c r="OC32" s="286">
        <f>'Data-temp_employment'!OC32-last_qrtr_tempemp!OD32</f>
        <v>-3.8999999999999986</v>
      </c>
      <c r="OD32" s="286">
        <f>'Data-temp_employment'!OD32-last_qrtr_tempemp!OE32</f>
        <v>10.600000000000009</v>
      </c>
      <c r="OE32" s="286">
        <f>'Data-temp_employment'!OE32-last_qrtr_tempemp!OF32</f>
        <v>3.3999999999999986</v>
      </c>
      <c r="OF32" s="286">
        <f>'Data-temp_employment'!OF32-last_qrtr_tempemp!OG32</f>
        <v>-6.8999999999999986</v>
      </c>
      <c r="OG32" s="286">
        <f>'Data-temp_employment'!OG32</f>
        <v>60.1</v>
      </c>
      <c r="OH32" s="287" t="s">
        <v>45</v>
      </c>
      <c r="OI32" s="286"/>
      <c r="OJ32" s="286"/>
      <c r="OK32" s="286"/>
      <c r="OL32" s="286"/>
      <c r="OM32" s="286"/>
      <c r="ON32" s="286"/>
      <c r="OO32" s="286"/>
      <c r="OP32" s="286"/>
      <c r="OQ32" s="286"/>
      <c r="OR32" s="286"/>
      <c r="OS32" s="279" t="s">
        <v>45</v>
      </c>
      <c r="OT32" s="286" t="e">
        <f>'Data-temp_employment'!#REF!-last_qrtr_tempemp!OU32</f>
        <v>#REF!</v>
      </c>
      <c r="OU32" s="286">
        <f>'Data-temp_employment'!OT32-last_qrtr_tempemp!OV32</f>
        <v>0.9</v>
      </c>
      <c r="OV32" s="286">
        <f>'Data-temp_employment'!OU32-last_qrtr_tempemp!OW32</f>
        <v>-0.6</v>
      </c>
      <c r="OW32" s="286">
        <f>'Data-temp_employment'!OV32-last_qrtr_tempemp!OX32</f>
        <v>-1.1000000000000001</v>
      </c>
      <c r="OX32" s="286">
        <f>'Data-temp_employment'!OW32-last_qrtr_tempemp!OY32</f>
        <v>1.8</v>
      </c>
      <c r="OY32" s="286">
        <f>'Data-temp_employment'!OX32-last_qrtr_tempemp!OZ32</f>
        <v>-0.5</v>
      </c>
      <c r="OZ32" s="286">
        <f>'Data-temp_employment'!OY32-last_qrtr_tempemp!PA32</f>
        <v>0</v>
      </c>
      <c r="PA32" s="286">
        <f>'Data-temp_employment'!OZ32-last_qrtr_tempemp!PB32</f>
        <v>-0.4</v>
      </c>
      <c r="PB32" s="286">
        <f>'Data-temp_employment'!PA32-last_qrtr_tempemp!PC32</f>
        <v>-9.9999999999999978E-2</v>
      </c>
      <c r="PC32" s="286">
        <f>'Data-temp_employment'!PB32</f>
        <v>0.3</v>
      </c>
      <c r="PE32" s="319"/>
      <c r="PF32" s="319"/>
      <c r="PG32" s="319"/>
      <c r="PH32" s="319"/>
      <c r="PI32" s="319"/>
      <c r="PJ32" s="319"/>
      <c r="PK32" s="319"/>
      <c r="PL32" s="319"/>
      <c r="PM32" s="319"/>
      <c r="PN32" s="319"/>
      <c r="PO32" s="319"/>
      <c r="PP32" s="319"/>
      <c r="PQ32" s="319"/>
      <c r="PR32" s="319"/>
      <c r="PS32" s="319"/>
      <c r="PT32" s="319"/>
      <c r="PU32" s="319"/>
      <c r="PV32" s="319"/>
      <c r="PW32" s="319"/>
      <c r="PX32" s="319"/>
      <c r="PY32" s="319"/>
      <c r="PZ32" s="319"/>
      <c r="QA32" s="319"/>
      <c r="QB32" s="319"/>
      <c r="QC32" s="319"/>
      <c r="QD32" s="319"/>
      <c r="QE32" s="319"/>
      <c r="QF32" s="319"/>
      <c r="QG32" s="319"/>
      <c r="QH32" s="319"/>
      <c r="QI32" s="319"/>
      <c r="QJ32" s="319"/>
      <c r="QK32" s="319"/>
      <c r="QL32" s="319"/>
      <c r="QM32" s="319"/>
      <c r="QN32" s="319"/>
      <c r="QO32" s="319"/>
      <c r="QP32" s="319"/>
      <c r="QQ32" s="319"/>
      <c r="QR32" s="319"/>
      <c r="QS32" s="319"/>
      <c r="QT32" s="319"/>
      <c r="QU32" s="319"/>
      <c r="QV32" s="319"/>
      <c r="QW32" s="319"/>
      <c r="QX32" s="319"/>
      <c r="QY32" s="319"/>
      <c r="QZ32" s="319"/>
      <c r="RA32" s="319"/>
      <c r="RB32" s="319"/>
      <c r="RC32" s="319"/>
      <c r="RD32" s="319"/>
      <c r="RE32" s="319"/>
      <c r="RF32" s="319"/>
      <c r="RG32" s="319"/>
      <c r="RH32" s="319"/>
      <c r="RI32" s="319"/>
      <c r="RJ32" s="319"/>
      <c r="RK32" s="319"/>
      <c r="RL32" s="319"/>
      <c r="RM32" s="319"/>
      <c r="RN32" s="319"/>
      <c r="RO32" s="319"/>
      <c r="RP32" s="319"/>
    </row>
    <row r="33" spans="1:485">
      <c r="A33" s="269">
        <v>30</v>
      </c>
      <c r="B33" s="285" t="s">
        <v>36</v>
      </c>
      <c r="C33" s="286">
        <f>'Data-temp_employment'!C33-last_qrtr_tempemp!D33</f>
        <v>-0.5</v>
      </c>
      <c r="D33" s="286">
        <f>'Data-temp_employment'!D33-last_qrtr_tempemp!E33</f>
        <v>0.30000000000000071</v>
      </c>
      <c r="E33" s="286">
        <f>'Data-temp_employment'!E33-last_qrtr_tempemp!F33</f>
        <v>-0.5</v>
      </c>
      <c r="F33" s="286">
        <f>'Data-temp_employment'!F33-last_qrtr_tempemp!G33</f>
        <v>-1</v>
      </c>
      <c r="G33" s="286">
        <f>'Data-temp_employment'!G33-last_qrtr_tempemp!H33</f>
        <v>-1.8999999999999986</v>
      </c>
      <c r="H33" s="286">
        <f>'Data-temp_employment'!H33-last_qrtr_tempemp!I33</f>
        <v>-0.60000000000000142</v>
      </c>
      <c r="I33" s="286">
        <f>'Data-temp_employment'!I33-last_qrtr_tempemp!J33</f>
        <v>-0.69999999999999929</v>
      </c>
      <c r="J33" s="286">
        <f>'Data-temp_employment'!J33-last_qrtr_tempemp!K33</f>
        <v>-0.80000000000000071</v>
      </c>
      <c r="K33" s="286">
        <f>'Data-temp_employment'!K33-last_qrtr_tempemp!L33</f>
        <v>-1.3999999999999986</v>
      </c>
      <c r="L33" s="286">
        <f>'Data-temp_employment'!L33</f>
        <v>24.8</v>
      </c>
      <c r="M33" s="285" t="s">
        <v>36</v>
      </c>
      <c r="N33" s="286">
        <f>'Data-temp_employment'!N33-last_qrtr_tempemp!O33</f>
        <v>-46.5</v>
      </c>
      <c r="O33" s="286">
        <f>'Data-temp_employment'!O33-last_qrtr_tempemp!P33</f>
        <v>52.900000000000091</v>
      </c>
      <c r="P33" s="286">
        <f>'Data-temp_employment'!P33-last_qrtr_tempemp!Q33</f>
        <v>-57.400000000000091</v>
      </c>
      <c r="Q33" s="286">
        <f>'Data-temp_employment'!Q33-last_qrtr_tempemp!R33</f>
        <v>-47.400000000000091</v>
      </c>
      <c r="R33" s="286">
        <f>'Data-temp_employment'!R33-last_qrtr_tempemp!S33</f>
        <v>-223.30000000000018</v>
      </c>
      <c r="S33" s="286">
        <f>'Data-temp_employment'!S33-last_qrtr_tempemp!T33</f>
        <v>-10.199999999999818</v>
      </c>
      <c r="T33" s="286">
        <f>'Data-temp_employment'!T33-last_qrtr_tempemp!U33</f>
        <v>-63</v>
      </c>
      <c r="U33" s="286">
        <f>'Data-temp_employment'!U33-last_qrtr_tempemp!V33</f>
        <v>-64.099999999999909</v>
      </c>
      <c r="V33" s="286">
        <f>'Data-temp_employment'!V33-last_qrtr_tempemp!W33</f>
        <v>-206.80000000000018</v>
      </c>
      <c r="W33" s="286">
        <f>'Data-temp_employment'!W33</f>
        <v>3219.8</v>
      </c>
      <c r="X33" s="285" t="s">
        <v>36</v>
      </c>
      <c r="Y33" s="286">
        <f>'Data-temp_employment'!Y33-last_qrtr_tempemp!Z33</f>
        <v>15.5</v>
      </c>
      <c r="Z33" s="286">
        <f>'Data-temp_employment'!Z33-last_qrtr_tempemp!AA33</f>
        <v>-14.099999999999994</v>
      </c>
      <c r="AA33" s="286">
        <f>'Data-temp_employment'!AA33-last_qrtr_tempemp!AB33</f>
        <v>-5.7000000000000028</v>
      </c>
      <c r="AB33" s="286">
        <f>'Data-temp_employment'!AB33-last_qrtr_tempemp!AC33</f>
        <v>-29</v>
      </c>
      <c r="AC33" s="286">
        <f>'Data-temp_employment'!AC33-last_qrtr_tempemp!AD33</f>
        <v>-15.200000000000003</v>
      </c>
      <c r="AD33" s="286">
        <f>'Data-temp_employment'!AD33-last_qrtr_tempemp!AE33</f>
        <v>-1.7999999999999972</v>
      </c>
      <c r="AE33" s="286">
        <f>'Data-temp_employment'!AE33-last_qrtr_tempemp!AF33</f>
        <v>10.399999999999991</v>
      </c>
      <c r="AF33" s="286">
        <f>'Data-temp_employment'!AF33-last_qrtr_tempemp!AG33</f>
        <v>-7.2999999999999972</v>
      </c>
      <c r="AG33" s="286">
        <f>'Data-temp_employment'!AG33-last_qrtr_tempemp!AH33</f>
        <v>-9.7999999999999972</v>
      </c>
      <c r="AH33" s="286">
        <f>'Data-temp_employment'!AH33</f>
        <v>54.1</v>
      </c>
      <c r="AI33" s="285" t="s">
        <v>36</v>
      </c>
      <c r="AJ33" s="286">
        <f>'Data-temp_employment'!AJ33-last_qrtr_tempemp!AK33</f>
        <v>-35.199999999999932</v>
      </c>
      <c r="AK33" s="286">
        <f>'Data-temp_employment'!AK33-last_qrtr_tempemp!AL33</f>
        <v>-24.100000000000023</v>
      </c>
      <c r="AL33" s="286">
        <f>'Data-temp_employment'!AL33-last_qrtr_tempemp!AM33</f>
        <v>-18.699999999999932</v>
      </c>
      <c r="AM33" s="286">
        <f>'Data-temp_employment'!AM33-last_qrtr_tempemp!AN33</f>
        <v>44.600000000000023</v>
      </c>
      <c r="AN33" s="286">
        <f>'Data-temp_employment'!AN33-last_qrtr_tempemp!AO33</f>
        <v>-49.300000000000011</v>
      </c>
      <c r="AO33" s="286">
        <f>'Data-temp_employment'!AO33-last_qrtr_tempemp!AP33</f>
        <v>-72.200000000000045</v>
      </c>
      <c r="AP33" s="286">
        <f>'Data-temp_employment'!AP33-last_qrtr_tempemp!AQ33</f>
        <v>-68.100000000000023</v>
      </c>
      <c r="AQ33" s="286">
        <f>'Data-temp_employment'!AQ33-last_qrtr_tempemp!AR33</f>
        <v>-9.1999999999999886</v>
      </c>
      <c r="AR33" s="286">
        <f>'Data-temp_employment'!AR33-last_qrtr_tempemp!AS33</f>
        <v>7.6000000000000227</v>
      </c>
      <c r="AS33" s="286">
        <f>'Data-temp_employment'!AS33</f>
        <v>434.2</v>
      </c>
      <c r="AT33" s="285" t="s">
        <v>36</v>
      </c>
      <c r="AU33" s="286">
        <f>'Data-temp_employment'!AU33-last_qrtr_tempemp!AV33</f>
        <v>-71.400000000000034</v>
      </c>
      <c r="AV33" s="286">
        <f>'Data-temp_employment'!AV33-last_qrtr_tempemp!AW33</f>
        <v>-103.69999999999999</v>
      </c>
      <c r="AW33" s="286">
        <f>'Data-temp_employment'!AW33-last_qrtr_tempemp!AX33</f>
        <v>-28</v>
      </c>
      <c r="AX33" s="286">
        <f>'Data-temp_employment'!AX33-last_qrtr_tempemp!AY33</f>
        <v>42</v>
      </c>
      <c r="AY33" s="286">
        <f>'Data-temp_employment'!AY33-last_qrtr_tempemp!AZ33</f>
        <v>-57.5</v>
      </c>
      <c r="AZ33" s="286">
        <f>'Data-temp_employment'!AZ33-last_qrtr_tempemp!BA33</f>
        <v>-49</v>
      </c>
      <c r="BA33" s="286">
        <f>'Data-temp_employment'!BA33-last_qrtr_tempemp!BB33</f>
        <v>5.2000000000000455</v>
      </c>
      <c r="BB33" s="286">
        <f>'Data-temp_employment'!BB33-last_qrtr_tempemp!BC33</f>
        <v>57.400000000000034</v>
      </c>
      <c r="BC33" s="286">
        <f>'Data-temp_employment'!BC33-last_qrtr_tempemp!BD33</f>
        <v>-66.099999999999966</v>
      </c>
      <c r="BD33" s="286">
        <f>'Data-temp_employment'!BD33</f>
        <v>364.3</v>
      </c>
      <c r="BE33" s="285" t="s">
        <v>36</v>
      </c>
      <c r="BF33" s="286">
        <f>'Data-temp_employment'!BF33-last_qrtr_tempemp!BG33</f>
        <v>-5.6999999999999318</v>
      </c>
      <c r="BG33" s="286">
        <f>'Data-temp_employment'!BG33-last_qrtr_tempemp!BH33</f>
        <v>99.900000000000091</v>
      </c>
      <c r="BH33" s="286">
        <f>'Data-temp_employment'!BH33-last_qrtr_tempemp!BI33</f>
        <v>67.499999999999886</v>
      </c>
      <c r="BI33" s="286">
        <f>'Data-temp_employment'!BI33-last_qrtr_tempemp!BJ33</f>
        <v>19.299999999999955</v>
      </c>
      <c r="BJ33" s="286">
        <f>'Data-temp_employment'!BJ33-last_qrtr_tempemp!BK33</f>
        <v>-27.900000000000091</v>
      </c>
      <c r="BK33" s="286">
        <f>'Data-temp_employment'!BK33-last_qrtr_tempemp!BL33</f>
        <v>88.300000000000182</v>
      </c>
      <c r="BL33" s="286">
        <f>'Data-temp_employment'!BL33-last_qrtr_tempemp!BM33</f>
        <v>51.900000000000091</v>
      </c>
      <c r="BM33" s="286">
        <f>'Data-temp_employment'!BM33-last_qrtr_tempemp!BN33</f>
        <v>7.0999999999999091</v>
      </c>
      <c r="BN33" s="286">
        <f>'Data-temp_employment'!BN33-last_qrtr_tempemp!BO33</f>
        <v>-48.100000000000136</v>
      </c>
      <c r="BO33" s="286">
        <f>'Data-temp_employment'!BO33</f>
        <v>1066.0999999999999</v>
      </c>
      <c r="BP33" s="285" t="s">
        <v>36</v>
      </c>
      <c r="BQ33" s="286">
        <f>'Data-temp_employment'!BQ33-last_qrtr_tempemp!BR33</f>
        <v>2.4999999999998863</v>
      </c>
      <c r="BR33" s="286">
        <f>'Data-temp_employment'!BR33-last_qrtr_tempemp!BS33</f>
        <v>71.5</v>
      </c>
      <c r="BS33" s="286">
        <f>'Data-temp_employment'!BS33-last_qrtr_tempemp!BT33</f>
        <v>2.8999999999999773</v>
      </c>
      <c r="BT33" s="286">
        <f>'Data-temp_employment'!BT33-last_qrtr_tempemp!BU33</f>
        <v>-6.3999999999999773</v>
      </c>
      <c r="BU33" s="286">
        <f>'Data-temp_employment'!BU33-last_qrtr_tempemp!BV33</f>
        <v>0.59999999999990905</v>
      </c>
      <c r="BV33" s="286">
        <f>'Data-temp_employment'!BV33-last_qrtr_tempemp!BW33</f>
        <v>64.999999999999886</v>
      </c>
      <c r="BW33" s="286">
        <f>'Data-temp_employment'!BW33-last_qrtr_tempemp!BX33</f>
        <v>24.700000000000045</v>
      </c>
      <c r="BX33" s="286">
        <f>'Data-temp_employment'!BX33-last_qrtr_tempemp!BY33</f>
        <v>-37.5</v>
      </c>
      <c r="BY33" s="286">
        <f>'Data-temp_employment'!BY33-last_qrtr_tempemp!BZ33</f>
        <v>-46.699999999999932</v>
      </c>
      <c r="BZ33" s="286">
        <f>'Data-temp_employment'!BZ33</f>
        <v>694.9</v>
      </c>
      <c r="CA33" s="282" t="s">
        <v>36</v>
      </c>
      <c r="CB33" s="286">
        <f>'Data-temp_employment'!CB33-last_qrtr_tempemp!CC33</f>
        <v>47.699999999999932</v>
      </c>
      <c r="CC33" s="286">
        <f>'Data-temp_employment'!CC33-last_qrtr_tempemp!CD33</f>
        <v>23.5</v>
      </c>
      <c r="CD33" s="286">
        <f>'Data-temp_employment'!CD33-last_qrtr_tempemp!CE33</f>
        <v>-75.5</v>
      </c>
      <c r="CE33" s="286">
        <f>'Data-temp_employment'!CE33-last_qrtr_tempemp!CF33</f>
        <v>-117.69999999999982</v>
      </c>
      <c r="CF33" s="286">
        <f>'Data-temp_employment'!CF33-last_qrtr_tempemp!CG33</f>
        <v>-73.899999999999977</v>
      </c>
      <c r="CG33" s="286">
        <f>'Data-temp_employment'!CG33-last_qrtr_tempemp!CH33</f>
        <v>-40.5</v>
      </c>
      <c r="CH33" s="286">
        <f>'Data-temp_employment'!CH33-last_qrtr_tempemp!CI33</f>
        <v>-87.200000000000045</v>
      </c>
      <c r="CI33" s="286">
        <f>'Data-temp_employment'!CI33-last_qrtr_tempemp!CJ33</f>
        <v>-74.700000000000045</v>
      </c>
      <c r="CJ33" s="286">
        <f>'Data-temp_employment'!CJ33-last_qrtr_tempemp!CK33</f>
        <v>-43.699999999999932</v>
      </c>
      <c r="CK33" s="286">
        <f>'Data-temp_employment'!CK33</f>
        <v>606.20000000000005</v>
      </c>
      <c r="CL33" s="285" t="s">
        <v>36</v>
      </c>
      <c r="CM33" s="286">
        <f>'Data-temp_employment'!CM33-last_qrtr_tempemp!CN33</f>
        <v>-5.8999999999999773</v>
      </c>
      <c r="CN33" s="286">
        <f>'Data-temp_employment'!CN33-last_qrtr_tempemp!CO33</f>
        <v>-47</v>
      </c>
      <c r="CO33" s="286">
        <f>'Data-temp_employment'!CO33-last_qrtr_tempemp!CP33</f>
        <v>-53.600000000000023</v>
      </c>
      <c r="CP33" s="286">
        <f>'Data-temp_employment'!CP33-last_qrtr_tempemp!CQ33</f>
        <v>-6.4000000000000341</v>
      </c>
      <c r="CQ33" s="286">
        <f>'Data-temp_employment'!CQ33-last_qrtr_tempemp!CR33</f>
        <v>-14.300000000000011</v>
      </c>
      <c r="CR33" s="286">
        <f>'Data-temp_employment'!CR33-last_qrtr_tempemp!CS33</f>
        <v>12.100000000000023</v>
      </c>
      <c r="CS33" s="286">
        <f>'Data-temp_employment'!CS33-last_qrtr_tempemp!CT33</f>
        <v>14.900000000000034</v>
      </c>
      <c r="CT33" s="286">
        <f>'Data-temp_employment'!CT33-last_qrtr_tempemp!CU33</f>
        <v>6.8000000000000114</v>
      </c>
      <c r="CU33" s="286">
        <f>'Data-temp_employment'!CU33-last_qrtr_tempemp!CV33</f>
        <v>-15.800000000000011</v>
      </c>
      <c r="CV33" s="286">
        <f>'Data-temp_employment'!CV33</f>
        <v>267.39999999999998</v>
      </c>
      <c r="CW33" s="285" t="s">
        <v>36</v>
      </c>
      <c r="CX33" s="286">
        <f>'Data-temp_employment'!CX33-last_qrtr_tempemp!CY33</f>
        <v>-22.100000000000364</v>
      </c>
      <c r="CY33" s="286">
        <f>'Data-temp_employment'!CY33-last_qrtr_tempemp!CZ33</f>
        <v>61.5</v>
      </c>
      <c r="CZ33" s="286">
        <f>'Data-temp_employment'!CZ33-last_qrtr_tempemp!DA33</f>
        <v>37.799999999999727</v>
      </c>
      <c r="DA33" s="286">
        <f>'Data-temp_employment'!DA33-last_qrtr_tempemp!DB33</f>
        <v>-13.099999999999909</v>
      </c>
      <c r="DB33" s="286">
        <f>'Data-temp_employment'!DB33-last_qrtr_tempemp!DC33</f>
        <v>-173.59999999999991</v>
      </c>
      <c r="DC33" s="286">
        <f>'Data-temp_employment'!DC33-last_qrtr_tempemp!DD33</f>
        <v>-100.39999999999964</v>
      </c>
      <c r="DD33" s="286">
        <f>'Data-temp_employment'!DD33-last_qrtr_tempemp!DE33</f>
        <v>-97</v>
      </c>
      <c r="DE33" s="286">
        <f>'Data-temp_employment'!DE33-last_qrtr_tempemp!DF33</f>
        <v>-23.700000000000273</v>
      </c>
      <c r="DF33" s="286">
        <f>'Data-temp_employment'!DF33-last_qrtr_tempemp!DG33</f>
        <v>-115</v>
      </c>
      <c r="DG33" s="286">
        <f>'Data-temp_employment'!DG33</f>
        <v>2091.8000000000002</v>
      </c>
      <c r="DH33" s="285" t="s">
        <v>36</v>
      </c>
      <c r="DI33" s="286">
        <f>'Data-temp_employment'!DI33-last_qrtr_tempemp!DJ33</f>
        <v>-18.5</v>
      </c>
      <c r="DJ33" s="286">
        <f>'Data-temp_employment'!DJ33-last_qrtr_tempemp!DK33</f>
        <v>38.5</v>
      </c>
      <c r="DK33" s="286">
        <f>'Data-temp_employment'!DK33-last_qrtr_tempemp!DL33</f>
        <v>-41.700000000000045</v>
      </c>
      <c r="DL33" s="286">
        <f>'Data-temp_employment'!DL33-last_qrtr_tempemp!DM33</f>
        <v>-27.899999999999977</v>
      </c>
      <c r="DM33" s="286">
        <f>'Data-temp_employment'!DM33-last_qrtr_tempemp!DN33</f>
        <v>-35.399999999999977</v>
      </c>
      <c r="DN33" s="286">
        <f>'Data-temp_employment'!DN33-last_qrtr_tempemp!DO33</f>
        <v>78.200000000000045</v>
      </c>
      <c r="DO33" s="286">
        <f>'Data-temp_employment'!DO33-last_qrtr_tempemp!DP33</f>
        <v>19.100000000000023</v>
      </c>
      <c r="DP33" s="286">
        <f>'Data-temp_employment'!DP33-last_qrtr_tempemp!DQ33</f>
        <v>-47.200000000000045</v>
      </c>
      <c r="DQ33" s="286">
        <f>'Data-temp_employment'!DQ33-last_qrtr_tempemp!DR33</f>
        <v>-76</v>
      </c>
      <c r="DR33" s="286">
        <f>'Data-temp_employment'!DR33</f>
        <v>860.6</v>
      </c>
      <c r="DS33" s="285" t="s">
        <v>36</v>
      </c>
      <c r="DT33" s="286">
        <f>'Data-temp_employment'!DT33-last_qrtr_tempemp!DU33</f>
        <v>0</v>
      </c>
      <c r="DU33" s="286">
        <f>'Data-temp_employment'!DU33-last_qrtr_tempemp!DV33</f>
        <v>0</v>
      </c>
      <c r="DV33" s="286">
        <f>'Data-temp_employment'!DV33-last_qrtr_tempemp!DW33</f>
        <v>0</v>
      </c>
      <c r="DW33" s="286">
        <f>'Data-temp_employment'!DW33-last_qrtr_tempemp!DX33</f>
        <v>0</v>
      </c>
      <c r="DX33" s="286">
        <f>'Data-temp_employment'!DX33-last_qrtr_tempemp!DY33</f>
        <v>0</v>
      </c>
      <c r="DY33" s="286">
        <f>'Data-temp_employment'!DY33-last_qrtr_tempemp!DZ33</f>
        <v>0</v>
      </c>
      <c r="DZ33" s="286">
        <f>'Data-temp_employment'!DZ33-last_qrtr_tempemp!EA33</f>
        <v>0</v>
      </c>
      <c r="EA33" s="286">
        <f>'Data-temp_employment'!EA33-last_qrtr_tempemp!EB33</f>
        <v>0</v>
      </c>
      <c r="EB33" s="286">
        <f>'Data-temp_employment'!EB33-last_qrtr_tempemp!EC33</f>
        <v>0</v>
      </c>
      <c r="EC33" s="286">
        <f>'Data-temp_employment'!EC33</f>
        <v>0</v>
      </c>
      <c r="ED33" s="279" t="s">
        <v>36</v>
      </c>
      <c r="EE33" s="286">
        <f>'Data-temp_employment'!EE33-last_qrtr_tempemp!EF33</f>
        <v>3.0999999999999943</v>
      </c>
      <c r="EF33" s="286">
        <f>'Data-temp_employment'!EF33-last_qrtr_tempemp!EG33</f>
        <v>3.4000000000000057</v>
      </c>
      <c r="EG33" s="286">
        <f>'Data-temp_employment'!EG33-last_qrtr_tempemp!EH33</f>
        <v>17.100000000000001</v>
      </c>
      <c r="EH33" s="286">
        <f>'Data-temp_employment'!EH33-last_qrtr_tempemp!EI33</f>
        <v>7.7000000000000028</v>
      </c>
      <c r="EI33" s="286">
        <f>'Data-temp_employment'!EI33-last_qrtr_tempemp!EJ33</f>
        <v>-9.4000000000000057</v>
      </c>
      <c r="EJ33" s="286">
        <f>'Data-temp_employment'!EJ33-last_qrtr_tempemp!EK33</f>
        <v>-14.5</v>
      </c>
      <c r="EK33" s="286">
        <f>'Data-temp_employment'!EK33-last_qrtr_tempemp!EL33</f>
        <v>6</v>
      </c>
      <c r="EL33" s="286">
        <f>'Data-temp_employment'!EL33-last_qrtr_tempemp!EM33</f>
        <v>4.8000000000000043</v>
      </c>
      <c r="EM33" s="286">
        <f>'Data-temp_employment'!EM33-last_qrtr_tempemp!EN33</f>
        <v>-11.400000000000006</v>
      </c>
      <c r="EN33" s="286">
        <f>'Data-temp_employment'!EN33</f>
        <v>61.6</v>
      </c>
      <c r="EO33" s="279" t="s">
        <v>36</v>
      </c>
      <c r="EP33" s="286">
        <f>'Data-temp_employment'!EP33-last_qrtr_tempemp!EQ33</f>
        <v>17</v>
      </c>
      <c r="EQ33" s="286">
        <f>'Data-temp_employment'!EQ33-last_qrtr_tempemp!ER33</f>
        <v>12</v>
      </c>
      <c r="ER33" s="286">
        <f>'Data-temp_employment'!ER33-last_qrtr_tempemp!ES33</f>
        <v>-68.5</v>
      </c>
      <c r="ES33" s="286">
        <f>'Data-temp_employment'!ES33-last_qrtr_tempemp!ET33</f>
        <v>-70.400000000000034</v>
      </c>
      <c r="ET33" s="286">
        <f>'Data-temp_employment'!ET33-last_qrtr_tempemp!EU33</f>
        <v>-29.800000000000011</v>
      </c>
      <c r="EU33" s="286">
        <f>'Data-temp_employment'!EU33-last_qrtr_tempemp!EV33</f>
        <v>80</v>
      </c>
      <c r="EV33" s="286">
        <f>'Data-temp_employment'!EV33-last_qrtr_tempemp!EW33</f>
        <v>-4.5999999999999659</v>
      </c>
      <c r="EW33" s="286">
        <f>'Data-temp_employment'!EW33-last_qrtr_tempemp!EX33</f>
        <v>-26.5</v>
      </c>
      <c r="EX33" s="286">
        <f>'Data-temp_employment'!EX33-last_qrtr_tempemp!EY33</f>
        <v>-20.600000000000023</v>
      </c>
      <c r="EY33" s="286">
        <f>'Data-temp_employment'!EY33</f>
        <v>415.9</v>
      </c>
      <c r="EZ33" s="279" t="s">
        <v>36</v>
      </c>
      <c r="FA33" s="286">
        <f>'Data-temp_employment'!FA33-last_qrtr_tempemp!FB33</f>
        <v>-20.799999999999955</v>
      </c>
      <c r="FB33" s="286">
        <f>'Data-temp_employment'!FB33-last_qrtr_tempemp!FC33</f>
        <v>28.099999999999966</v>
      </c>
      <c r="FC33" s="286">
        <f>'Data-temp_employment'!FC33-last_qrtr_tempemp!FD33</f>
        <v>37.599999999999966</v>
      </c>
      <c r="FD33" s="286">
        <f>'Data-temp_employment'!FD33-last_qrtr_tempemp!FE33</f>
        <v>35.899999999999977</v>
      </c>
      <c r="FE33" s="286">
        <f>'Data-temp_employment'!FE33-last_qrtr_tempemp!FF33</f>
        <v>-46.5</v>
      </c>
      <c r="FF33" s="286">
        <f>'Data-temp_employment'!FF33-last_qrtr_tempemp!FG33</f>
        <v>-26.899999999999977</v>
      </c>
      <c r="FG33" s="286">
        <f>'Data-temp_employment'!FG33-last_qrtr_tempemp!FH33</f>
        <v>18.5</v>
      </c>
      <c r="FH33" s="286">
        <f>'Data-temp_employment'!FH33-last_qrtr_tempemp!FI33</f>
        <v>64.700000000000045</v>
      </c>
      <c r="FI33" s="286">
        <f>'Data-temp_employment'!FI33-last_qrtr_tempemp!FJ33</f>
        <v>5.8999999999999773</v>
      </c>
      <c r="FJ33" s="286">
        <f>'Data-temp_employment'!FJ33</f>
        <v>332.4</v>
      </c>
      <c r="FK33" s="279" t="s">
        <v>36</v>
      </c>
      <c r="FL33" s="286">
        <f>'Data-temp_employment'!FL33-last_qrtr_tempemp!FM33</f>
        <v>7.8000000000000114</v>
      </c>
      <c r="FM33" s="286">
        <f>'Data-temp_employment'!FM33-last_qrtr_tempemp!FN33</f>
        <v>-21</v>
      </c>
      <c r="FN33" s="286">
        <f>'Data-temp_employment'!FN33-last_qrtr_tempemp!FO33</f>
        <v>-1.0999999999999659</v>
      </c>
      <c r="FO33" s="286">
        <f>'Data-temp_employment'!FO33-last_qrtr_tempemp!FP33</f>
        <v>2</v>
      </c>
      <c r="FP33" s="286">
        <f>'Data-temp_employment'!FP33-last_qrtr_tempemp!FQ33</f>
        <v>37.600000000000023</v>
      </c>
      <c r="FQ33" s="286">
        <f>'Data-temp_employment'!FQ33-last_qrtr_tempemp!FR33</f>
        <v>-6.6999999999999886</v>
      </c>
      <c r="FR33" s="286">
        <f>'Data-temp_employment'!FR33-last_qrtr_tempemp!FS33</f>
        <v>-11.5</v>
      </c>
      <c r="FS33" s="286">
        <f>'Data-temp_employment'!FS33-last_qrtr_tempemp!FT33</f>
        <v>-44.5</v>
      </c>
      <c r="FT33" s="286">
        <f>'Data-temp_employment'!FT33-last_qrtr_tempemp!FU33</f>
        <v>-39.400000000000034</v>
      </c>
      <c r="FU33" s="286">
        <f>'Data-temp_employment'!FU33</f>
        <v>270.89999999999998</v>
      </c>
      <c r="FV33" s="279" t="s">
        <v>36</v>
      </c>
      <c r="FW33" s="286">
        <f>'Data-temp_employment'!FW33-last_qrtr_tempemp!FX33</f>
        <v>8.2999999999999545</v>
      </c>
      <c r="FX33" s="286">
        <f>'Data-temp_employment'!FX33-last_qrtr_tempemp!FY33</f>
        <v>-27.799999999999955</v>
      </c>
      <c r="FY33" s="286">
        <f>'Data-temp_employment'!FY33-last_qrtr_tempemp!FZ33</f>
        <v>-37.700000000000045</v>
      </c>
      <c r="FZ33" s="286">
        <f>'Data-temp_employment'!FZ33-last_qrtr_tempemp!GA33</f>
        <v>17.299999999999955</v>
      </c>
      <c r="GA33" s="286">
        <f>'Data-temp_employment'!GA33-last_qrtr_tempemp!GB33</f>
        <v>-18.100000000000023</v>
      </c>
      <c r="GB33" s="286">
        <f>'Data-temp_employment'!GB33-last_qrtr_tempemp!GC33</f>
        <v>-63</v>
      </c>
      <c r="GC33" s="286">
        <f>'Data-temp_employment'!GC33-last_qrtr_tempemp!GD33</f>
        <v>-79.599999999999909</v>
      </c>
      <c r="GD33" s="286">
        <f>'Data-temp_employment'!GD33-last_qrtr_tempemp!GE33</f>
        <v>-23.100000000000023</v>
      </c>
      <c r="GE33" s="286">
        <f>'Data-temp_employment'!GE33-last_qrtr_tempemp!GF33</f>
        <v>18.100000000000023</v>
      </c>
      <c r="GF33" s="286">
        <f>'Data-temp_employment'!GF33</f>
        <v>688.6</v>
      </c>
      <c r="GG33" s="279" t="s">
        <v>36</v>
      </c>
      <c r="GH33" s="286">
        <f>'Data-temp_employment'!GH33-last_qrtr_tempemp!GI33</f>
        <v>-5</v>
      </c>
      <c r="GI33" s="286">
        <f>'Data-temp_employment'!GI33-last_qrtr_tempemp!GJ33</f>
        <v>-8.6999999999999993</v>
      </c>
      <c r="GJ33" s="286">
        <f>'Data-temp_employment'!GJ33-last_qrtr_tempemp!GK33</f>
        <v>0</v>
      </c>
      <c r="GK33" s="286">
        <f>'Data-temp_employment'!GK33-last_qrtr_tempemp!GL33</f>
        <v>1.2999999999999972</v>
      </c>
      <c r="GL33" s="286">
        <f>'Data-temp_employment'!GL33-last_qrtr_tempemp!GM33</f>
        <v>1.1999999999999993</v>
      </c>
      <c r="GM33" s="286">
        <f>'Data-temp_employment'!GM33-last_qrtr_tempemp!GN33</f>
        <v>3.4000000000000021</v>
      </c>
      <c r="GN33" s="286">
        <f>'Data-temp_employment'!GN33-last_qrtr_tempemp!GO33</f>
        <v>4.8000000000000007</v>
      </c>
      <c r="GO33" s="286">
        <f>'Data-temp_employment'!GO33-last_qrtr_tempemp!GP33</f>
        <v>1.1000000000000014</v>
      </c>
      <c r="GP33" s="286">
        <f>'Data-temp_employment'!GP33-last_qrtr_tempemp!GQ33</f>
        <v>-6.1000000000000014</v>
      </c>
      <c r="GQ33" s="286">
        <f>'Data-temp_employment'!GQ33</f>
        <v>24.9</v>
      </c>
      <c r="GR33" s="285" t="s">
        <v>36</v>
      </c>
      <c r="GS33" s="286">
        <f>'Data-temp_employment'!GS33-last_qrtr_tempemp!GT33</f>
        <v>-41.5</v>
      </c>
      <c r="GT33" s="286">
        <f>'Data-temp_employment'!GT33-last_qrtr_tempemp!GU33</f>
        <v>34.899999999999977</v>
      </c>
      <c r="GU33" s="286">
        <f>'Data-temp_employment'!GU33-last_qrtr_tempemp!GV33</f>
        <v>19.899999999999977</v>
      </c>
      <c r="GV33" s="286">
        <f>'Data-temp_employment'!GV33-last_qrtr_tempemp!GW33</f>
        <v>-29.700000000000045</v>
      </c>
      <c r="GW33" s="286">
        <f>'Data-temp_employment'!GW33-last_qrtr_tempemp!GX33</f>
        <v>-82.199999999999932</v>
      </c>
      <c r="GX33" s="286">
        <f>'Data-temp_employment'!GX33-last_qrtr_tempemp!GY33</f>
        <v>3.3000000000000682</v>
      </c>
      <c r="GY33" s="286">
        <f>'Data-temp_employment'!GY33-last_qrtr_tempemp!GZ33</f>
        <v>3.8000000000000682</v>
      </c>
      <c r="GZ33" s="286">
        <f>'Data-temp_employment'!GZ33-last_qrtr_tempemp!HA33</f>
        <v>-29.100000000000023</v>
      </c>
      <c r="HA33" s="286">
        <f>'Data-temp_employment'!HA33-last_qrtr_tempemp!HB33</f>
        <v>-71.800000000000068</v>
      </c>
      <c r="HB33" s="286">
        <f>'Data-temp_employment'!HB33</f>
        <v>556.20000000000005</v>
      </c>
      <c r="HC33" s="279" t="s">
        <v>36</v>
      </c>
      <c r="HD33" s="286">
        <f>'Data-temp_employment'!HD33-last_qrtr_tempemp!HE33</f>
        <v>-3.6999999999999886</v>
      </c>
      <c r="HE33" s="286">
        <f>'Data-temp_employment'!HE33-last_qrtr_tempemp!HF33</f>
        <v>42.200000000000045</v>
      </c>
      <c r="HF33" s="286">
        <f>'Data-temp_employment'!HF33-last_qrtr_tempemp!HG33</f>
        <v>9.1999999999999886</v>
      </c>
      <c r="HG33" s="286">
        <f>'Data-temp_employment'!HG33-last_qrtr_tempemp!HH33</f>
        <v>10.199999999999989</v>
      </c>
      <c r="HH33" s="286">
        <f>'Data-temp_employment'!HH33-last_qrtr_tempemp!HI33</f>
        <v>-43.600000000000023</v>
      </c>
      <c r="HI33" s="286">
        <f>'Data-temp_employment'!HI33-last_qrtr_tempemp!HJ33</f>
        <v>-11.899999999999977</v>
      </c>
      <c r="HJ33" s="286">
        <f>'Data-temp_employment'!HJ33-last_qrtr_tempemp!HK33</f>
        <v>-46.899999999999977</v>
      </c>
      <c r="HK33" s="286">
        <f>'Data-temp_employment'!HK33-last_qrtr_tempemp!HL33</f>
        <v>6.1999999999999886</v>
      </c>
      <c r="HL33" s="286">
        <f>'Data-temp_employment'!HL33-last_qrtr_tempemp!HM33</f>
        <v>6.8999999999999773</v>
      </c>
      <c r="HM33" s="286">
        <f>'Data-temp_employment'!HM33</f>
        <v>394.5</v>
      </c>
      <c r="HN33" s="279" t="s">
        <v>36</v>
      </c>
      <c r="HO33" s="286">
        <f>'Data-temp_employment'!HO33-last_qrtr_tempemp!HP33</f>
        <v>0.30000000000001137</v>
      </c>
      <c r="HP33" s="286">
        <f>'Data-temp_employment'!HP33-last_qrtr_tempemp!HQ33</f>
        <v>-20.100000000000023</v>
      </c>
      <c r="HQ33" s="286">
        <f>'Data-temp_employment'!HQ33-last_qrtr_tempemp!HR33</f>
        <v>-36.5</v>
      </c>
      <c r="HR33" s="286">
        <f>'Data-temp_employment'!HR33-last_qrtr_tempemp!HS33</f>
        <v>-24.400000000000034</v>
      </c>
      <c r="HS33" s="286">
        <f>'Data-temp_employment'!HS33-last_qrtr_tempemp!HT33</f>
        <v>-25.699999999999989</v>
      </c>
      <c r="HT33" s="286">
        <f>'Data-temp_employment'!HT33-last_qrtr_tempemp!HU33</f>
        <v>25.199999999999989</v>
      </c>
      <c r="HU33" s="286">
        <f>'Data-temp_employment'!HU33-last_qrtr_tempemp!HV33</f>
        <v>44.900000000000034</v>
      </c>
      <c r="HV33" s="286">
        <f>'Data-temp_employment'!HV33-last_qrtr_tempemp!HW33</f>
        <v>-17.300000000000011</v>
      </c>
      <c r="HW33" s="286">
        <f>'Data-temp_employment'!HW33-last_qrtr_tempemp!HX33</f>
        <v>-91.300000000000011</v>
      </c>
      <c r="HX33" s="286">
        <f>'Data-temp_employment'!HX33</f>
        <v>439</v>
      </c>
      <c r="HY33" s="279" t="s">
        <v>36</v>
      </c>
      <c r="HZ33" s="286">
        <f>'Data-temp_employment'!HZ33-last_qrtr_tempemp!IA33</f>
        <v>-3.5</v>
      </c>
      <c r="IA33" s="286">
        <f>'Data-temp_employment'!IA33-last_qrtr_tempemp!IB33</f>
        <v>-4.8999999999999986</v>
      </c>
      <c r="IB33" s="286">
        <f>'Data-temp_employment'!IB33-last_qrtr_tempemp!IC33</f>
        <v>-3</v>
      </c>
      <c r="IC33" s="286">
        <f>'Data-temp_employment'!IC33-last_qrtr_tempemp!ID33</f>
        <v>-4.3000000000000007</v>
      </c>
      <c r="ID33" s="286">
        <f>'Data-temp_employment'!ID33-last_qrtr_tempemp!IE33</f>
        <v>-2.1000000000000014</v>
      </c>
      <c r="IE33" s="286">
        <f>'Data-temp_employment'!IE33-last_qrtr_tempemp!IF33</f>
        <v>4.3000000000000007</v>
      </c>
      <c r="IF33" s="286">
        <f>'Data-temp_employment'!IF33-last_qrtr_tempemp!IG33</f>
        <v>-4.6999999999999993</v>
      </c>
      <c r="IG33" s="286">
        <f>'Data-temp_employment'!IG33-last_qrtr_tempemp!IH33</f>
        <v>-2.8000000000000007</v>
      </c>
      <c r="IH33" s="286">
        <f>'Data-temp_employment'!IH33-last_qrtr_tempemp!II33</f>
        <v>-4.1000000000000014</v>
      </c>
      <c r="II33" s="286">
        <f>'Data-temp_employment'!II33</f>
        <v>20.7</v>
      </c>
      <c r="IJ33" s="279" t="s">
        <v>36</v>
      </c>
      <c r="IK33" s="286">
        <f>'Data-temp_employment'!IK33-last_qrtr_tempemp!IL33</f>
        <v>-8.2999999999999989</v>
      </c>
      <c r="IL33" s="286">
        <f>'Data-temp_employment'!IL33-last_qrtr_tempemp!IM33</f>
        <v>14.700000000000001</v>
      </c>
      <c r="IM33" s="286">
        <f>'Data-temp_employment'!IM33-last_qrtr_tempemp!IN33</f>
        <v>5.7000000000000011</v>
      </c>
      <c r="IN33" s="286">
        <f>'Data-temp_employment'!IN33-last_qrtr_tempemp!IO33</f>
        <v>7</v>
      </c>
      <c r="IO33" s="286">
        <f>'Data-temp_employment'!IO33-last_qrtr_tempemp!IP33</f>
        <v>-4.6000000000000014</v>
      </c>
      <c r="IP33" s="286">
        <f>'Data-temp_employment'!IP33-last_qrtr_tempemp!IQ33</f>
        <v>-3.4000000000000021</v>
      </c>
      <c r="IQ33" s="286">
        <f>'Data-temp_employment'!IQ33-last_qrtr_tempemp!IR33</f>
        <v>6.2000000000000011</v>
      </c>
      <c r="IR33" s="286">
        <f>'Data-temp_employment'!IR33-last_qrtr_tempemp!IS33</f>
        <v>2.4000000000000021</v>
      </c>
      <c r="IS33" s="286">
        <f>'Data-temp_employment'!IS33-last_qrtr_tempemp!IT33</f>
        <v>6.9000000000000021</v>
      </c>
      <c r="IT33" s="286">
        <f>'Data-temp_employment'!IT33</f>
        <v>15.2</v>
      </c>
      <c r="IU33" s="279" t="s">
        <v>36</v>
      </c>
      <c r="IV33" s="286">
        <f>'Data-temp_employment'!IV33-last_qrtr_tempemp!IW33</f>
        <v>-16.799999999999997</v>
      </c>
      <c r="IW33" s="286">
        <f>'Data-temp_employment'!IW33-last_qrtr_tempemp!IX33</f>
        <v>-13</v>
      </c>
      <c r="IX33" s="286">
        <f>'Data-temp_employment'!IX33-last_qrtr_tempemp!IY33</f>
        <v>3.4000000000000057</v>
      </c>
      <c r="IY33" s="286">
        <f>'Data-temp_employment'!IY33-last_qrtr_tempemp!IZ33</f>
        <v>3.5999999999999943</v>
      </c>
      <c r="IZ33" s="286">
        <f>'Data-temp_employment'!IZ33-last_qrtr_tempemp!JA33</f>
        <v>-7</v>
      </c>
      <c r="JA33" s="286">
        <f>'Data-temp_employment'!JA33-last_qrtr_tempemp!JB33</f>
        <v>20.299999999999997</v>
      </c>
      <c r="JB33" s="286">
        <f>'Data-temp_employment'!JB33-last_qrtr_tempemp!JC33</f>
        <v>38.900000000000006</v>
      </c>
      <c r="JC33" s="286">
        <f>'Data-temp_employment'!JC33-last_qrtr_tempemp!JD33</f>
        <v>10.700000000000003</v>
      </c>
      <c r="JD33" s="286">
        <f>'Data-temp_employment'!JD33-last_qrtr_tempemp!JE33</f>
        <v>-35</v>
      </c>
      <c r="JE33" s="286">
        <f>'Data-temp_employment'!JE33</f>
        <v>70.3</v>
      </c>
      <c r="JF33" s="279" t="s">
        <v>36</v>
      </c>
      <c r="JG33" s="286">
        <f>'Data-temp_employment'!JG33-last_qrtr_tempemp!JH33</f>
        <v>-10.799999999999955</v>
      </c>
      <c r="JH33" s="286">
        <f>'Data-temp_employment'!JH33-last_qrtr_tempemp!JI33</f>
        <v>92.5</v>
      </c>
      <c r="JI33" s="286">
        <f>'Data-temp_employment'!JI33-last_qrtr_tempemp!JJ33</f>
        <v>64.799999999999955</v>
      </c>
      <c r="JJ33" s="286">
        <f>'Data-temp_employment'!JJ33-last_qrtr_tempemp!JK33</f>
        <v>-30</v>
      </c>
      <c r="JK33" s="286">
        <f>'Data-temp_employment'!JK33-last_qrtr_tempemp!JL33</f>
        <v>-95.399999999999977</v>
      </c>
      <c r="JL33" s="286">
        <f>'Data-temp_employment'!JL33-last_qrtr_tempemp!JM33</f>
        <v>-0.70000000000004547</v>
      </c>
      <c r="JM33" s="286">
        <f>'Data-temp_employment'!JM33-last_qrtr_tempemp!JN33</f>
        <v>13.5</v>
      </c>
      <c r="JN33" s="286">
        <f>'Data-temp_employment'!JN33-last_qrtr_tempemp!JO33</f>
        <v>-18.100000000000023</v>
      </c>
      <c r="JO33" s="286">
        <f>'Data-temp_employment'!JO33-last_qrtr_tempemp!JP33</f>
        <v>-49.199999999999932</v>
      </c>
      <c r="JP33" s="286">
        <f>'Data-temp_employment'!JP33</f>
        <v>808.7</v>
      </c>
      <c r="JQ33" s="279" t="s">
        <v>36</v>
      </c>
      <c r="JR33" s="286">
        <f>'Data-temp_employment'!JR33-last_qrtr_tempemp!JS33</f>
        <v>-37.5</v>
      </c>
      <c r="JS33" s="286">
        <f>'Data-temp_employment'!JS33-last_qrtr_tempemp!JT33</f>
        <v>-53.300000000000011</v>
      </c>
      <c r="JT33" s="286">
        <f>'Data-temp_employment'!JT33-last_qrtr_tempemp!JU33</f>
        <v>-6.8000000000000114</v>
      </c>
      <c r="JU33" s="286">
        <f>'Data-temp_employment'!JU33-last_qrtr_tempemp!JV33</f>
        <v>7.3000000000000114</v>
      </c>
      <c r="JV33" s="286">
        <f>'Data-temp_employment'!JV33-last_qrtr_tempemp!JW33</f>
        <v>-35.5</v>
      </c>
      <c r="JW33" s="286">
        <f>'Data-temp_employment'!JW33-last_qrtr_tempemp!JX33</f>
        <v>-58.600000000000023</v>
      </c>
      <c r="JX33" s="286">
        <f>'Data-temp_employment'!JX33-last_qrtr_tempemp!JY33</f>
        <v>-28.700000000000045</v>
      </c>
      <c r="JY33" s="286">
        <f>'Data-temp_employment'!JY33-last_qrtr_tempemp!JZ33</f>
        <v>-4.8000000000000114</v>
      </c>
      <c r="JZ33" s="286">
        <f>'Data-temp_employment'!JZ33-last_qrtr_tempemp!KA33</f>
        <v>-18.599999999999966</v>
      </c>
      <c r="KA33" s="286">
        <f>'Data-temp_employment'!KA33</f>
        <v>282.2</v>
      </c>
      <c r="KB33" s="279" t="s">
        <v>36</v>
      </c>
      <c r="KC33" s="286">
        <f>'Data-temp_employment'!KC33-last_qrtr_tempemp!KD33</f>
        <v>37</v>
      </c>
      <c r="KD33" s="286">
        <f>'Data-temp_employment'!KD33-last_qrtr_tempemp!KE33</f>
        <v>21.399999999999977</v>
      </c>
      <c r="KE33" s="286">
        <f>'Data-temp_employment'!KE33-last_qrtr_tempemp!KF33</f>
        <v>-52.399999999999977</v>
      </c>
      <c r="KF33" s="286">
        <f>'Data-temp_employment'!KF33-last_qrtr_tempemp!KG33</f>
        <v>-28.799999999999955</v>
      </c>
      <c r="KG33" s="286">
        <f>'Data-temp_employment'!KG33-last_qrtr_tempemp!KH33</f>
        <v>-42.799999999999955</v>
      </c>
      <c r="KH33" s="286">
        <f>'Data-temp_employment'!KH33-last_qrtr_tempemp!KI33</f>
        <v>-22.100000000000023</v>
      </c>
      <c r="KI33" s="286">
        <f>'Data-temp_employment'!KI33-last_qrtr_tempemp!KJ33</f>
        <v>-70.899999999999977</v>
      </c>
      <c r="KJ33" s="286">
        <f>'Data-temp_employment'!KJ33-last_qrtr_tempemp!KK33</f>
        <v>-40</v>
      </c>
      <c r="KK33" s="286">
        <f>'Data-temp_employment'!KK33-last_qrtr_tempemp!KL33</f>
        <v>-51</v>
      </c>
      <c r="KL33" s="286">
        <f>'Data-temp_employment'!KL33</f>
        <v>579.4</v>
      </c>
      <c r="KM33" s="279" t="s">
        <v>36</v>
      </c>
      <c r="KN33" s="286">
        <f>'Data-temp_employment'!KN33-last_qrtr_tempemp!KO33</f>
        <v>39.300000000000011</v>
      </c>
      <c r="KO33" s="286">
        <f>'Data-temp_employment'!KO33-last_qrtr_tempemp!KP33</f>
        <v>3.2999999999999829</v>
      </c>
      <c r="KP33" s="286">
        <f>'Data-temp_employment'!KP33-last_qrtr_tempemp!KQ33</f>
        <v>-31.799999999999983</v>
      </c>
      <c r="KQ33" s="286">
        <f>'Data-temp_employment'!KQ33-last_qrtr_tempemp!KR33</f>
        <v>-11</v>
      </c>
      <c r="KR33" s="286">
        <f>'Data-temp_employment'!KR33-last_qrtr_tempemp!KS33</f>
        <v>-9.9999999999994316E-2</v>
      </c>
      <c r="KS33" s="286">
        <f>'Data-temp_employment'!KS33-last_qrtr_tempemp!KT33</f>
        <v>8.7999999999999829</v>
      </c>
      <c r="KT33" s="286">
        <f>'Data-temp_employment'!KT33-last_qrtr_tempemp!KU33</f>
        <v>-12.099999999999994</v>
      </c>
      <c r="KU33" s="286">
        <f>'Data-temp_employment'!KU33-last_qrtr_tempemp!KV33</f>
        <v>-1</v>
      </c>
      <c r="KV33" s="286">
        <f>'Data-temp_employment'!KV33-last_qrtr_tempemp!KW33</f>
        <v>5.9000000000000057</v>
      </c>
      <c r="KW33" s="286">
        <f>'Data-temp_employment'!KW33</f>
        <v>204.9</v>
      </c>
      <c r="KX33" s="279" t="s">
        <v>36</v>
      </c>
      <c r="KY33" s="286">
        <f>'Data-temp_employment'!KY33-last_qrtr_tempemp!KZ33</f>
        <v>-14.5</v>
      </c>
      <c r="KZ33" s="286">
        <f>'Data-temp_employment'!KZ33-last_qrtr_tempemp!LA33</f>
        <v>13.800000000000011</v>
      </c>
      <c r="LA33" s="286">
        <f>'Data-temp_employment'!LA33-last_qrtr_tempemp!LB33</f>
        <v>42.200000000000017</v>
      </c>
      <c r="LB33" s="286">
        <f>'Data-temp_employment'!LB33-last_qrtr_tempemp!LC33</f>
        <v>20.299999999999983</v>
      </c>
      <c r="LC33" s="286">
        <f>'Data-temp_employment'!LC33-last_qrtr_tempemp!LD33</f>
        <v>-23</v>
      </c>
      <c r="LD33" s="286">
        <f>'Data-temp_employment'!LD33-last_qrtr_tempemp!LE33</f>
        <v>-22.700000000000017</v>
      </c>
      <c r="LE33" s="286">
        <f>'Data-temp_employment'!LE33-last_qrtr_tempemp!LF33</f>
        <v>8.1000000000000227</v>
      </c>
      <c r="LF33" s="286">
        <f>'Data-temp_employment'!LF33-last_qrtr_tempemp!LG33</f>
        <v>9.1999999999999886</v>
      </c>
      <c r="LG33" s="286">
        <f>'Data-temp_employment'!LG33-last_qrtr_tempemp!LH33</f>
        <v>9.8000000000000114</v>
      </c>
      <c r="LH33" s="286">
        <f>'Data-temp_employment'!LH33</f>
        <v>146.6</v>
      </c>
      <c r="LI33" s="285" t="s">
        <v>36</v>
      </c>
      <c r="LJ33" s="286">
        <f>'Data-temp_employment'!LJ33-last_qrtr_tempemp!LK33</f>
        <v>-16.699999999999996</v>
      </c>
      <c r="LK33" s="286">
        <f>'Data-temp_employment'!LK33-last_qrtr_tempemp!LL33</f>
        <v>-6.9000000000000057</v>
      </c>
      <c r="LL33" s="286">
        <f>'Data-temp_employment'!LL33-last_qrtr_tempemp!LM33</f>
        <v>3.1000000000000014</v>
      </c>
      <c r="LM33" s="286">
        <f>'Data-temp_employment'!LM33-last_qrtr_tempemp!LN33</f>
        <v>0.30000000000000426</v>
      </c>
      <c r="LN33" s="286">
        <f>'Data-temp_employment'!LN33-last_qrtr_tempemp!LO33</f>
        <v>4.5</v>
      </c>
      <c r="LO33" s="286">
        <f>'Data-temp_employment'!LO33-last_qrtr_tempemp!LP33</f>
        <v>5.7000000000000028</v>
      </c>
      <c r="LP33" s="286">
        <f>'Data-temp_employment'!LP33-last_qrtr_tempemp!LQ33</f>
        <v>8.2000000000000028</v>
      </c>
      <c r="LQ33" s="286">
        <f>'Data-temp_employment'!LQ33-last_qrtr_tempemp!LR33</f>
        <v>-11.199999999999996</v>
      </c>
      <c r="LR33" s="286">
        <f>'Data-temp_employment'!LR33-last_qrtr_tempemp!LS33</f>
        <v>-9.7000000000000028</v>
      </c>
      <c r="LS33" s="286">
        <f>'Data-temp_employment'!LS33</f>
        <v>67.599999999999994</v>
      </c>
      <c r="LT33" s="279" t="s">
        <v>36</v>
      </c>
      <c r="LU33" s="286">
        <f>'Data-temp_employment'!LU33-last_qrtr_tempemp!LV33</f>
        <v>-22.700000000000003</v>
      </c>
      <c r="LV33" s="286">
        <f>'Data-temp_employment'!LV33-last_qrtr_tempemp!LW33</f>
        <v>-8</v>
      </c>
      <c r="LW33" s="286">
        <f>'Data-temp_employment'!LW33-last_qrtr_tempemp!LX33</f>
        <v>2.7999999999999972</v>
      </c>
      <c r="LX33" s="286">
        <f>'Data-temp_employment'!LX33-last_qrtr_tempemp!LY33</f>
        <v>3.0999999999999943</v>
      </c>
      <c r="LY33" s="286">
        <f>'Data-temp_employment'!LY33-last_qrtr_tempemp!LZ33</f>
        <v>-4.5</v>
      </c>
      <c r="LZ33" s="286">
        <f>'Data-temp_employment'!LZ33-last_qrtr_tempemp!MA33</f>
        <v>-10.399999999999999</v>
      </c>
      <c r="MA33" s="286">
        <f>'Data-temp_employment'!MA33-last_qrtr_tempemp!MB33</f>
        <v>-8.5999999999999943</v>
      </c>
      <c r="MB33" s="286">
        <f>'Data-temp_employment'!MB33-last_qrtr_tempemp!MC33</f>
        <v>1.2999999999999972</v>
      </c>
      <c r="MC33" s="286">
        <f>'Data-temp_employment'!MC33-last_qrtr_tempemp!MD33</f>
        <v>1.3000000000000043</v>
      </c>
      <c r="MD33" s="286">
        <f>'Data-temp_employment'!MD33</f>
        <v>54.7</v>
      </c>
      <c r="ME33" s="279" t="s">
        <v>36</v>
      </c>
      <c r="MF33" s="286">
        <f>'Data-temp_employment'!MF33-last_qrtr_tempemp!MG33</f>
        <v>-17.100000000000009</v>
      </c>
      <c r="MG33" s="286">
        <f>'Data-temp_employment'!MG33-last_qrtr_tempemp!MH33</f>
        <v>0.70000000000000284</v>
      </c>
      <c r="MH33" s="286">
        <f>'Data-temp_employment'!MH33-last_qrtr_tempemp!MI33</f>
        <v>6.5</v>
      </c>
      <c r="MI33" s="286">
        <f>'Data-temp_employment'!MI33-last_qrtr_tempemp!MJ33</f>
        <v>-7</v>
      </c>
      <c r="MJ33" s="286">
        <f>'Data-temp_employment'!MJ33-last_qrtr_tempemp!MK33</f>
        <v>-13.700000000000003</v>
      </c>
      <c r="MK33" s="286">
        <f>'Data-temp_employment'!MK33-last_qrtr_tempemp!ML33</f>
        <v>-3.4000000000000057</v>
      </c>
      <c r="ML33" s="286">
        <f>'Data-temp_employment'!ML33-last_qrtr_tempemp!MM33</f>
        <v>3.5</v>
      </c>
      <c r="MM33" s="286">
        <f>'Data-temp_employment'!MM33-last_qrtr_tempemp!MN33</f>
        <v>10.700000000000003</v>
      </c>
      <c r="MN33" s="286">
        <f>'Data-temp_employment'!MN33-last_qrtr_tempemp!MO33</f>
        <v>8.4000000000000057</v>
      </c>
      <c r="MO33" s="286">
        <f>'Data-temp_employment'!MO33</f>
        <v>81</v>
      </c>
      <c r="MP33" s="279" t="s">
        <v>36</v>
      </c>
      <c r="MQ33" s="286">
        <f>'Data-temp_employment'!MQ33-last_qrtr_tempemp!MR33</f>
        <v>23.5</v>
      </c>
      <c r="MR33" s="286">
        <f>'Data-temp_employment'!MR33-last_qrtr_tempemp!MS33</f>
        <v>-16.200000000000017</v>
      </c>
      <c r="MS33" s="286">
        <f>'Data-temp_employment'!MS33-last_qrtr_tempemp!MT33</f>
        <v>-31.300000000000011</v>
      </c>
      <c r="MT33" s="286">
        <f>'Data-temp_employment'!MT33-last_qrtr_tempemp!MU33</f>
        <v>-10.099999999999994</v>
      </c>
      <c r="MU33" s="286">
        <f>'Data-temp_employment'!MU33-last_qrtr_tempemp!MV33</f>
        <v>5.3000000000000114</v>
      </c>
      <c r="MV33" s="286">
        <f>'Data-temp_employment'!MV33-last_qrtr_tempemp!MW33</f>
        <v>24.600000000000023</v>
      </c>
      <c r="MW33" s="286">
        <f>'Data-temp_employment'!MW33-last_qrtr_tempemp!MX33</f>
        <v>3.7999999999999829</v>
      </c>
      <c r="MX33" s="286">
        <f>'Data-temp_employment'!MX33-last_qrtr_tempemp!MY33</f>
        <v>-16.800000000000011</v>
      </c>
      <c r="MY33" s="286">
        <f>'Data-temp_employment'!MY33-last_qrtr_tempemp!MZ33</f>
        <v>-33.300000000000011</v>
      </c>
      <c r="MZ33" s="286">
        <f>'Data-temp_employment'!MZ33</f>
        <v>222.9</v>
      </c>
      <c r="NA33" s="285" t="s">
        <v>36</v>
      </c>
      <c r="NB33" s="286">
        <f>'Data-temp_employment'!NB33-last_qrtr_tempemp!NC33</f>
        <v>-28.699999999999989</v>
      </c>
      <c r="NC33" s="286">
        <f>'Data-temp_employment'!NC33-last_qrtr_tempemp!ND33</f>
        <v>-17.299999999999983</v>
      </c>
      <c r="ND33" s="286">
        <f>'Data-temp_employment'!ND33-last_qrtr_tempemp!NE33</f>
        <v>6.3000000000000114</v>
      </c>
      <c r="NE33" s="286">
        <f>'Data-temp_employment'!NE33-last_qrtr_tempemp!NF33</f>
        <v>23.199999999999989</v>
      </c>
      <c r="NF33" s="286">
        <f>'Data-temp_employment'!NF33-last_qrtr_tempemp!NG33</f>
        <v>-0.90000000000000568</v>
      </c>
      <c r="NG33" s="286">
        <f>'Data-temp_employment'!NG33-last_qrtr_tempemp!NH33</f>
        <v>-6.1000000000000227</v>
      </c>
      <c r="NH33" s="286">
        <f>'Data-temp_employment'!NH33-last_qrtr_tempemp!NI33</f>
        <v>-3.5999999999999943</v>
      </c>
      <c r="NI33" s="286">
        <f>'Data-temp_employment'!NI33-last_qrtr_tempemp!NJ33</f>
        <v>9.4000000000000057</v>
      </c>
      <c r="NJ33" s="286">
        <f>'Data-temp_employment'!NJ33-last_qrtr_tempemp!NK33</f>
        <v>-9.3999999999999915</v>
      </c>
      <c r="NK33" s="286">
        <f>'Data-temp_employment'!NK33</f>
        <v>131.1</v>
      </c>
      <c r="NL33" s="279" t="s">
        <v>36</v>
      </c>
      <c r="NM33" s="286">
        <f>'Data-temp_employment'!NM33-last_qrtr_tempemp!NN33</f>
        <v>5.7000000000000171</v>
      </c>
      <c r="NN33" s="286">
        <f>'Data-temp_employment'!NN33-last_qrtr_tempemp!NO33</f>
        <v>22</v>
      </c>
      <c r="NO33" s="286">
        <f>'Data-temp_employment'!NO33-last_qrtr_tempemp!NP33</f>
        <v>-38.399999999999977</v>
      </c>
      <c r="NP33" s="286">
        <f>'Data-temp_employment'!NP33-last_qrtr_tempemp!NQ33</f>
        <v>-14.400000000000006</v>
      </c>
      <c r="NQ33" s="286">
        <f>'Data-temp_employment'!NQ33-last_qrtr_tempemp!NR33</f>
        <v>-0.40000000000000568</v>
      </c>
      <c r="NR33" s="286">
        <f>'Data-temp_employment'!NR33-last_qrtr_tempemp!NS33</f>
        <v>28.899999999999977</v>
      </c>
      <c r="NS33" s="286">
        <f>'Data-temp_employment'!NS33-last_qrtr_tempemp!NT33</f>
        <v>-14.700000000000017</v>
      </c>
      <c r="NT33" s="286">
        <f>'Data-temp_employment'!NT33-last_qrtr_tempemp!NU33</f>
        <v>-17</v>
      </c>
      <c r="NU33" s="286">
        <f>'Data-temp_employment'!NU33-last_qrtr_tempemp!NV33</f>
        <v>-12</v>
      </c>
      <c r="NV33" s="286">
        <f>'Data-temp_employment'!NV33</f>
        <v>174.7</v>
      </c>
      <c r="NW33" s="279" t="s">
        <v>36</v>
      </c>
      <c r="NX33" s="286">
        <f>'Data-temp_employment'!NX33-last_qrtr_tempemp!NY33</f>
        <v>21.099999999999994</v>
      </c>
      <c r="NY33" s="286">
        <f>'Data-temp_employment'!NY33-last_qrtr_tempemp!NZ33</f>
        <v>13.400000000000006</v>
      </c>
      <c r="NZ33" s="286">
        <f>'Data-temp_employment'!NZ33-last_qrtr_tempemp!OA33</f>
        <v>-11.899999999999977</v>
      </c>
      <c r="OA33" s="286">
        <f>'Data-temp_employment'!OA33-last_qrtr_tempemp!OB33</f>
        <v>-14.099999999999994</v>
      </c>
      <c r="OB33" s="286">
        <f>'Data-temp_employment'!OB33-last_qrtr_tempemp!OC33</f>
        <v>-2.5</v>
      </c>
      <c r="OC33" s="286">
        <f>'Data-temp_employment'!OC33-last_qrtr_tempemp!OD33</f>
        <v>30.299999999999983</v>
      </c>
      <c r="OD33" s="286">
        <f>'Data-temp_employment'!OD33-last_qrtr_tempemp!OE33</f>
        <v>3</v>
      </c>
      <c r="OE33" s="286">
        <f>'Data-temp_employment'!OE33-last_qrtr_tempemp!OF33</f>
        <v>2.7999999999999829</v>
      </c>
      <c r="OF33" s="286">
        <f>'Data-temp_employment'!OF33-last_qrtr_tempemp!OG33</f>
        <v>-13</v>
      </c>
      <c r="OG33" s="286">
        <f>'Data-temp_employment'!OG33</f>
        <v>182.4</v>
      </c>
      <c r="OH33" s="287" t="s">
        <v>36</v>
      </c>
      <c r="OI33" s="286"/>
      <c r="OJ33" s="286"/>
      <c r="OK33" s="286"/>
      <c r="OL33" s="286"/>
      <c r="OM33" s="286"/>
      <c r="ON33" s="286"/>
      <c r="OO33" s="286"/>
      <c r="OP33" s="286"/>
      <c r="OQ33" s="286"/>
      <c r="OR33" s="286"/>
      <c r="OS33" s="279" t="s">
        <v>36</v>
      </c>
      <c r="OT33" s="286" t="e">
        <f>'Data-temp_employment'!#REF!-last_qrtr_tempemp!OU33</f>
        <v>#REF!</v>
      </c>
      <c r="OU33" s="286">
        <f>'Data-temp_employment'!OT33-last_qrtr_tempemp!OV33</f>
        <v>-1.9000000000000001</v>
      </c>
      <c r="OV33" s="286">
        <f>'Data-temp_employment'!OU33-last_qrtr_tempemp!OW33</f>
        <v>0.30000000000000004</v>
      </c>
      <c r="OW33" s="286">
        <f>'Data-temp_employment'!OV33-last_qrtr_tempemp!OX33</f>
        <v>-1</v>
      </c>
      <c r="OX33" s="286">
        <f>'Data-temp_employment'!OW33-last_qrtr_tempemp!OY33</f>
        <v>0.39999999999999991</v>
      </c>
      <c r="OY33" s="286">
        <f>'Data-temp_employment'!OX33-last_qrtr_tempemp!OZ33</f>
        <v>0.89999999999999991</v>
      </c>
      <c r="OZ33" s="286">
        <f>'Data-temp_employment'!OY33-last_qrtr_tempemp!PA33</f>
        <v>-0.7</v>
      </c>
      <c r="PA33" s="286">
        <f>'Data-temp_employment'!OZ33-last_qrtr_tempemp!PB33</f>
        <v>-0.8</v>
      </c>
      <c r="PB33" s="286">
        <f>'Data-temp_employment'!PA33-last_qrtr_tempemp!PC33</f>
        <v>-0.8</v>
      </c>
      <c r="PC33" s="286">
        <f>'Data-temp_employment'!PB33</f>
        <v>1.6</v>
      </c>
      <c r="PE33" s="319"/>
      <c r="PF33" s="319"/>
      <c r="PG33" s="319"/>
      <c r="PH33" s="319"/>
      <c r="PI33" s="319"/>
      <c r="PJ33" s="319"/>
      <c r="PK33" s="319"/>
      <c r="PL33" s="319"/>
      <c r="PM33" s="319"/>
      <c r="PN33" s="319"/>
      <c r="PO33" s="319"/>
      <c r="PP33" s="319"/>
      <c r="PQ33" s="319"/>
      <c r="PR33" s="319"/>
      <c r="PS33" s="319"/>
      <c r="PT33" s="319"/>
      <c r="PU33" s="319"/>
      <c r="PV33" s="319"/>
      <c r="PW33" s="319"/>
      <c r="PX33" s="319"/>
      <c r="PY33" s="319"/>
      <c r="PZ33" s="319"/>
      <c r="QA33" s="319"/>
      <c r="QB33" s="319"/>
      <c r="QC33" s="319"/>
      <c r="QD33" s="319"/>
      <c r="QE33" s="319"/>
      <c r="QF33" s="319"/>
      <c r="QG33" s="319"/>
      <c r="QH33" s="319"/>
      <c r="QI33" s="319"/>
      <c r="QJ33" s="319"/>
      <c r="QK33" s="319"/>
      <c r="QL33" s="319"/>
      <c r="QM33" s="319"/>
      <c r="QN33" s="319"/>
      <c r="QO33" s="319"/>
      <c r="QP33" s="319"/>
      <c r="QQ33" s="319"/>
      <c r="QR33" s="319"/>
      <c r="QS33" s="319"/>
      <c r="QT33" s="319"/>
      <c r="QU33" s="319"/>
      <c r="QV33" s="319"/>
      <c r="QW33" s="319"/>
      <c r="QX33" s="319"/>
      <c r="QY33" s="319"/>
      <c r="QZ33" s="319"/>
      <c r="RA33" s="319"/>
      <c r="RB33" s="319"/>
      <c r="RC33" s="319"/>
      <c r="RD33" s="319"/>
      <c r="RE33" s="319"/>
      <c r="RF33" s="319"/>
      <c r="RG33" s="319"/>
      <c r="RH33" s="319"/>
      <c r="RI33" s="319"/>
      <c r="RJ33" s="319"/>
      <c r="RK33" s="319"/>
      <c r="RL33" s="319"/>
      <c r="RM33" s="319"/>
      <c r="RN33" s="319"/>
      <c r="RO33" s="319"/>
      <c r="RP33" s="319"/>
    </row>
    <row r="34" spans="1:485">
      <c r="A34" s="269">
        <v>31</v>
      </c>
      <c r="B34" s="285" t="s">
        <v>37</v>
      </c>
      <c r="C34" s="286">
        <f>'Data-temp_employment'!C34-last_qrtr_tempemp!D34</f>
        <v>-0.19999999999999929</v>
      </c>
      <c r="D34" s="286">
        <f>'Data-temp_employment'!D34-last_qrtr_tempemp!E34</f>
        <v>0.30000000000000071</v>
      </c>
      <c r="E34" s="286">
        <f>'Data-temp_employment'!E34-last_qrtr_tempemp!F34</f>
        <v>0.29999999999999716</v>
      </c>
      <c r="F34" s="286">
        <f>'Data-temp_employment'!F34-last_qrtr_tempemp!G34</f>
        <v>0.10000000000000142</v>
      </c>
      <c r="G34" s="286">
        <f>'Data-temp_employment'!G34-last_qrtr_tempemp!H34</f>
        <v>-1.4000000000000021</v>
      </c>
      <c r="H34" s="286">
        <f>'Data-temp_employment'!H34-last_qrtr_tempemp!I34</f>
        <v>-0.29999999999999716</v>
      </c>
      <c r="I34" s="286">
        <f>'Data-temp_employment'!I34-last_qrtr_tempemp!J34</f>
        <v>0.39999999999999858</v>
      </c>
      <c r="J34" s="286">
        <f>'Data-temp_employment'!J34-last_qrtr_tempemp!K34</f>
        <v>0.90000000000000213</v>
      </c>
      <c r="K34" s="286">
        <f>'Data-temp_employment'!K34-last_qrtr_tempemp!L34</f>
        <v>-0.40000000000000213</v>
      </c>
      <c r="L34" s="286">
        <f>'Data-temp_employment'!L34</f>
        <v>22.1</v>
      </c>
      <c r="M34" s="285" t="s">
        <v>37</v>
      </c>
      <c r="N34" s="286">
        <f>'Data-temp_employment'!N34-last_qrtr_tempemp!O34</f>
        <v>-7.6999999999999318</v>
      </c>
      <c r="O34" s="286">
        <f>'Data-temp_employment'!O34-last_qrtr_tempemp!P34</f>
        <v>19.600000000000023</v>
      </c>
      <c r="P34" s="286">
        <f>'Data-temp_employment'!P34-last_qrtr_tempemp!Q34</f>
        <v>28.5</v>
      </c>
      <c r="Q34" s="286">
        <f>'Data-temp_employment'!Q34-last_qrtr_tempemp!R34</f>
        <v>27.199999999999932</v>
      </c>
      <c r="R34" s="286">
        <f>'Data-temp_employment'!R34-last_qrtr_tempemp!S34</f>
        <v>-38</v>
      </c>
      <c r="S34" s="286">
        <f>'Data-temp_employment'!S34-last_qrtr_tempemp!T34</f>
        <v>11.599999999999909</v>
      </c>
      <c r="T34" s="286">
        <f>'Data-temp_employment'!T34-last_qrtr_tempemp!U34</f>
        <v>51</v>
      </c>
      <c r="U34" s="286">
        <f>'Data-temp_employment'!U34-last_qrtr_tempemp!V34</f>
        <v>70.099999999999909</v>
      </c>
      <c r="V34" s="286">
        <f>'Data-temp_employment'!V34-last_qrtr_tempemp!W34</f>
        <v>1.6000000000000227</v>
      </c>
      <c r="W34" s="286">
        <f>'Data-temp_employment'!W34</f>
        <v>885.1</v>
      </c>
      <c r="X34" s="285" t="s">
        <v>37</v>
      </c>
      <c r="Y34" s="286">
        <f>'Data-temp_employment'!Y34-last_qrtr_tempemp!Z34</f>
        <v>11.300000000000004</v>
      </c>
      <c r="Z34" s="286">
        <f>'Data-temp_employment'!Z34-last_qrtr_tempemp!AA34</f>
        <v>2.4000000000000057</v>
      </c>
      <c r="AA34" s="286">
        <f>'Data-temp_employment'!AA34-last_qrtr_tempemp!AB34</f>
        <v>14</v>
      </c>
      <c r="AB34" s="286">
        <f>'Data-temp_employment'!AB34-last_qrtr_tempemp!AC34</f>
        <v>-3.5</v>
      </c>
      <c r="AC34" s="286">
        <f>'Data-temp_employment'!AC34-last_qrtr_tempemp!AD34</f>
        <v>-13.700000000000003</v>
      </c>
      <c r="AD34" s="286">
        <f>'Data-temp_employment'!AD34-last_qrtr_tempemp!AE34</f>
        <v>-16.5</v>
      </c>
      <c r="AE34" s="286">
        <f>'Data-temp_employment'!AE34-last_qrtr_tempemp!AF34</f>
        <v>-3.1000000000000014</v>
      </c>
      <c r="AF34" s="286">
        <f>'Data-temp_employment'!AF34-last_qrtr_tempemp!AG34</f>
        <v>7.7999999999999972</v>
      </c>
      <c r="AG34" s="286">
        <f>'Data-temp_employment'!AG34-last_qrtr_tempemp!AH34</f>
        <v>-8</v>
      </c>
      <c r="AH34" s="286">
        <f>'Data-temp_employment'!AH34</f>
        <v>48.7</v>
      </c>
      <c r="AI34" s="285" t="s">
        <v>37</v>
      </c>
      <c r="AJ34" s="286">
        <f>'Data-temp_employment'!AJ34-last_qrtr_tempemp!AK34</f>
        <v>-7.7000000000000028</v>
      </c>
      <c r="AK34" s="286">
        <f>'Data-temp_employment'!AK34-last_qrtr_tempemp!AL34</f>
        <v>-24.299999999999997</v>
      </c>
      <c r="AL34" s="286">
        <f>'Data-temp_employment'!AL34-last_qrtr_tempemp!AM34</f>
        <v>1.8000000000000114</v>
      </c>
      <c r="AM34" s="286">
        <f>'Data-temp_employment'!AM34-last_qrtr_tempemp!AN34</f>
        <v>2.1000000000000014</v>
      </c>
      <c r="AN34" s="286">
        <f>'Data-temp_employment'!AN34-last_qrtr_tempemp!AO34</f>
        <v>-2.8000000000000043</v>
      </c>
      <c r="AO34" s="286">
        <f>'Data-temp_employment'!AO34-last_qrtr_tempemp!AP34</f>
        <v>-18.500000000000007</v>
      </c>
      <c r="AP34" s="286">
        <f>'Data-temp_employment'!AP34-last_qrtr_tempemp!AQ34</f>
        <v>25.699999999999996</v>
      </c>
      <c r="AQ34" s="286">
        <f>'Data-temp_employment'!AQ34-last_qrtr_tempemp!AR34</f>
        <v>12.899999999999999</v>
      </c>
      <c r="AR34" s="286">
        <f>'Data-temp_employment'!AR34-last_qrtr_tempemp!AS34</f>
        <v>-0.79999999999999716</v>
      </c>
      <c r="AS34" s="286">
        <f>'Data-temp_employment'!AS34</f>
        <v>55.6</v>
      </c>
      <c r="AT34" s="285" t="s">
        <v>37</v>
      </c>
      <c r="AU34" s="286">
        <f>'Data-temp_employment'!AU34-last_qrtr_tempemp!AV34</f>
        <v>-4.4000000000000057</v>
      </c>
      <c r="AV34" s="286">
        <f>'Data-temp_employment'!AV34-last_qrtr_tempemp!AW34</f>
        <v>1.5</v>
      </c>
      <c r="AW34" s="286">
        <f>'Data-temp_employment'!AW34-last_qrtr_tempemp!AX34</f>
        <v>20.5</v>
      </c>
      <c r="AX34" s="286">
        <f>'Data-temp_employment'!AX34-last_qrtr_tempemp!AY34</f>
        <v>-6</v>
      </c>
      <c r="AY34" s="286">
        <f>'Data-temp_employment'!AY34-last_qrtr_tempemp!AZ34</f>
        <v>-10.799999999999983</v>
      </c>
      <c r="AZ34" s="286">
        <f>'Data-temp_employment'!AZ34-last_qrtr_tempemp!BA34</f>
        <v>13.799999999999983</v>
      </c>
      <c r="BA34" s="286">
        <f>'Data-temp_employment'!BA34-last_qrtr_tempemp!BB34</f>
        <v>46.300000000000011</v>
      </c>
      <c r="BB34" s="286">
        <f>'Data-temp_employment'!BB34-last_qrtr_tempemp!BC34</f>
        <v>17.799999999999983</v>
      </c>
      <c r="BC34" s="286">
        <f>'Data-temp_employment'!BC34-last_qrtr_tempemp!BD34</f>
        <v>-9.7999999999999829</v>
      </c>
      <c r="BD34" s="286">
        <f>'Data-temp_employment'!BD34</f>
        <v>241.9</v>
      </c>
      <c r="BE34" s="285" t="s">
        <v>37</v>
      </c>
      <c r="BF34" s="286">
        <f>'Data-temp_employment'!BF34-last_qrtr_tempemp!BG34</f>
        <v>-2.3999999999999773</v>
      </c>
      <c r="BG34" s="286">
        <f>'Data-temp_employment'!BG34-last_qrtr_tempemp!BH34</f>
        <v>22.800000000000011</v>
      </c>
      <c r="BH34" s="286">
        <f>'Data-temp_employment'!BH34-last_qrtr_tempemp!BI34</f>
        <v>-10.5</v>
      </c>
      <c r="BI34" s="286">
        <f>'Data-temp_employment'!BI34-last_qrtr_tempemp!BJ34</f>
        <v>7</v>
      </c>
      <c r="BJ34" s="286">
        <f>'Data-temp_employment'!BJ34-last_qrtr_tempemp!BK34</f>
        <v>-8.6999999999999886</v>
      </c>
      <c r="BK34" s="286">
        <f>'Data-temp_employment'!BK34-last_qrtr_tempemp!BL34</f>
        <v>25.199999999999989</v>
      </c>
      <c r="BL34" s="286">
        <f>'Data-temp_employment'!BL34-last_qrtr_tempemp!BM34</f>
        <v>-3.1999999999999886</v>
      </c>
      <c r="BM34" s="286">
        <f>'Data-temp_employment'!BM34-last_qrtr_tempemp!BN34</f>
        <v>20.899999999999977</v>
      </c>
      <c r="BN34" s="286">
        <f>'Data-temp_employment'!BN34-last_qrtr_tempemp!BO34</f>
        <v>9</v>
      </c>
      <c r="BO34" s="286">
        <f>'Data-temp_employment'!BO34</f>
        <v>327.60000000000002</v>
      </c>
      <c r="BP34" s="285" t="s">
        <v>37</v>
      </c>
      <c r="BQ34" s="286">
        <f>'Data-temp_employment'!BQ34-last_qrtr_tempemp!BR34</f>
        <v>1</v>
      </c>
      <c r="BR34" s="286">
        <f>'Data-temp_employment'!BR34-last_qrtr_tempemp!BS34</f>
        <v>-0.50000000000000711</v>
      </c>
      <c r="BS34" s="286">
        <f>'Data-temp_employment'!BS34-last_qrtr_tempemp!BT34</f>
        <v>2.5999999999999979</v>
      </c>
      <c r="BT34" s="286">
        <f>'Data-temp_employment'!BT34-last_qrtr_tempemp!BU34</f>
        <v>4.1999999999999993</v>
      </c>
      <c r="BU34" s="286">
        <f>'Data-temp_employment'!BU34-last_qrtr_tempemp!BV34</f>
        <v>-9.5999999999999943</v>
      </c>
      <c r="BV34" s="286">
        <f>'Data-temp_employment'!BV34-last_qrtr_tempemp!BW34</f>
        <v>-5.0999999999999979</v>
      </c>
      <c r="BW34" s="286">
        <f>'Data-temp_employment'!BW34-last_qrtr_tempemp!BX34</f>
        <v>-5.8999999999999986</v>
      </c>
      <c r="BX34" s="286">
        <f>'Data-temp_employment'!BX34-last_qrtr_tempemp!BY34</f>
        <v>0.10000000000000142</v>
      </c>
      <c r="BY34" s="286">
        <f>'Data-temp_employment'!BY34-last_qrtr_tempemp!BZ34</f>
        <v>-1.3000000000000007</v>
      </c>
      <c r="BZ34" s="286">
        <f>'Data-temp_employment'!BZ34</f>
        <v>27.5</v>
      </c>
      <c r="CA34" s="282" t="s">
        <v>37</v>
      </c>
      <c r="CB34" s="286">
        <f>'Data-temp_employment'!CB34-last_qrtr_tempemp!CC34</f>
        <v>6.1000000000000014</v>
      </c>
      <c r="CC34" s="286">
        <f>'Data-temp_employment'!CC34-last_qrtr_tempemp!CD34</f>
        <v>1.1999999999999957</v>
      </c>
      <c r="CD34" s="286">
        <f>'Data-temp_employment'!CD34-last_qrtr_tempemp!CE34</f>
        <v>-2.2999999999999972</v>
      </c>
      <c r="CE34" s="286">
        <f>'Data-temp_employment'!CE34-last_qrtr_tempemp!CF34</f>
        <v>-4.7000000000000028</v>
      </c>
      <c r="CF34" s="286">
        <f>'Data-temp_employment'!CF34-last_qrtr_tempemp!CG34</f>
        <v>-0.79999999999999716</v>
      </c>
      <c r="CG34" s="286">
        <f>'Data-temp_employment'!CG34-last_qrtr_tempemp!CH34</f>
        <v>2</v>
      </c>
      <c r="CH34" s="286">
        <f>'Data-temp_employment'!CH34-last_qrtr_tempemp!CI34</f>
        <v>2.6000000000000014</v>
      </c>
      <c r="CI34" s="286">
        <f>'Data-temp_employment'!CI34-last_qrtr_tempemp!CJ34</f>
        <v>-0.40000000000000568</v>
      </c>
      <c r="CJ34" s="286">
        <f>'Data-temp_employment'!CJ34-last_qrtr_tempemp!CK34</f>
        <v>-2.2999999999999972</v>
      </c>
      <c r="CK34" s="286">
        <f>'Data-temp_employment'!CK34</f>
        <v>37.5</v>
      </c>
      <c r="CL34" s="285" t="s">
        <v>37</v>
      </c>
      <c r="CM34" s="286">
        <f>'Data-temp_employment'!CM34-last_qrtr_tempemp!CN34</f>
        <v>-4.3999999999999773</v>
      </c>
      <c r="CN34" s="286">
        <f>'Data-temp_employment'!CN34-last_qrtr_tempemp!CO34</f>
        <v>5</v>
      </c>
      <c r="CO34" s="286">
        <f>'Data-temp_employment'!CO34-last_qrtr_tempemp!CP34</f>
        <v>4.6000000000000227</v>
      </c>
      <c r="CP34" s="286">
        <f>'Data-temp_employment'!CP34-last_qrtr_tempemp!CQ34</f>
        <v>-6.6000000000000227</v>
      </c>
      <c r="CQ34" s="286">
        <f>'Data-temp_employment'!CQ34-last_qrtr_tempemp!CR34</f>
        <v>-32.699999999999989</v>
      </c>
      <c r="CR34" s="286">
        <f>'Data-temp_employment'!CR34-last_qrtr_tempemp!CS34</f>
        <v>-1.1000000000000227</v>
      </c>
      <c r="CS34" s="286">
        <f>'Data-temp_employment'!CS34-last_qrtr_tempemp!CT34</f>
        <v>10</v>
      </c>
      <c r="CT34" s="286">
        <f>'Data-temp_employment'!CT34-last_qrtr_tempemp!CU34</f>
        <v>27.100000000000023</v>
      </c>
      <c r="CU34" s="286">
        <f>'Data-temp_employment'!CU34-last_qrtr_tempemp!CV34</f>
        <v>-22</v>
      </c>
      <c r="CV34" s="286">
        <f>'Data-temp_employment'!CV34</f>
        <v>319.8</v>
      </c>
      <c r="CW34" s="285" t="s">
        <v>37</v>
      </c>
      <c r="CX34" s="286">
        <f>'Data-temp_employment'!CX34-last_qrtr_tempemp!CY34</f>
        <v>6.5999999999999943</v>
      </c>
      <c r="CY34" s="286">
        <f>'Data-temp_employment'!CY34-last_qrtr_tempemp!CZ34</f>
        <v>-0.30000000000001137</v>
      </c>
      <c r="CZ34" s="286">
        <f>'Data-temp_employment'!CZ34-last_qrtr_tempemp!DA34</f>
        <v>19</v>
      </c>
      <c r="DA34" s="286">
        <f>'Data-temp_employment'!DA34-last_qrtr_tempemp!DB34</f>
        <v>14.799999999999983</v>
      </c>
      <c r="DB34" s="286">
        <f>'Data-temp_employment'!DB34-last_qrtr_tempemp!DC34</f>
        <v>6.5</v>
      </c>
      <c r="DC34" s="286">
        <f>'Data-temp_employment'!DC34-last_qrtr_tempemp!DD34</f>
        <v>9.6000000000000227</v>
      </c>
      <c r="DD34" s="286">
        <f>'Data-temp_employment'!DD34-last_qrtr_tempemp!DE34</f>
        <v>39.600000000000023</v>
      </c>
      <c r="DE34" s="286">
        <f>'Data-temp_employment'!DE34-last_qrtr_tempemp!DF34</f>
        <v>24.600000000000023</v>
      </c>
      <c r="DF34" s="286">
        <f>'Data-temp_employment'!DF34-last_qrtr_tempemp!DG34</f>
        <v>10.5</v>
      </c>
      <c r="DG34" s="286">
        <f>'Data-temp_employment'!DG34</f>
        <v>311.60000000000002</v>
      </c>
      <c r="DH34" s="285" t="s">
        <v>37</v>
      </c>
      <c r="DI34" s="286">
        <f>'Data-temp_employment'!DI34-last_qrtr_tempemp!DJ34</f>
        <v>-9.8999999999999773</v>
      </c>
      <c r="DJ34" s="286">
        <f>'Data-temp_employment'!DJ34-last_qrtr_tempemp!DK34</f>
        <v>14.900000000000006</v>
      </c>
      <c r="DK34" s="286">
        <f>'Data-temp_employment'!DK34-last_qrtr_tempemp!DL34</f>
        <v>4.9000000000000057</v>
      </c>
      <c r="DL34" s="286">
        <f>'Data-temp_employment'!DL34-last_qrtr_tempemp!DM34</f>
        <v>18.899999999999977</v>
      </c>
      <c r="DM34" s="286">
        <f>'Data-temp_employment'!DM34-last_qrtr_tempemp!DN34</f>
        <v>-11.800000000000011</v>
      </c>
      <c r="DN34" s="286">
        <f>'Data-temp_employment'!DN34-last_qrtr_tempemp!DO34</f>
        <v>3.0999999999999943</v>
      </c>
      <c r="DO34" s="286">
        <f>'Data-temp_employment'!DO34-last_qrtr_tempemp!DP34</f>
        <v>1.6000000000000227</v>
      </c>
      <c r="DP34" s="286">
        <f>'Data-temp_employment'!DP34-last_qrtr_tempemp!DQ34</f>
        <v>18.400000000000006</v>
      </c>
      <c r="DQ34" s="286">
        <f>'Data-temp_employment'!DQ34-last_qrtr_tempemp!DR34</f>
        <v>13</v>
      </c>
      <c r="DR34" s="286">
        <f>'Data-temp_employment'!DR34</f>
        <v>253.7</v>
      </c>
      <c r="DS34" s="285" t="s">
        <v>37</v>
      </c>
      <c r="DT34" s="286">
        <f>'Data-temp_employment'!DT34-last_qrtr_tempemp!DU34</f>
        <v>0</v>
      </c>
      <c r="DU34" s="286">
        <f>'Data-temp_employment'!DU34-last_qrtr_tempemp!DV34</f>
        <v>0</v>
      </c>
      <c r="DV34" s="286">
        <f>'Data-temp_employment'!DV34-last_qrtr_tempemp!DW34</f>
        <v>0</v>
      </c>
      <c r="DW34" s="286">
        <f>'Data-temp_employment'!DW34-last_qrtr_tempemp!DX34</f>
        <v>0</v>
      </c>
      <c r="DX34" s="286">
        <f>'Data-temp_employment'!DX34-last_qrtr_tempemp!DY34</f>
        <v>0</v>
      </c>
      <c r="DY34" s="286">
        <f>'Data-temp_employment'!DY34-last_qrtr_tempemp!DZ34</f>
        <v>0</v>
      </c>
      <c r="DZ34" s="286">
        <f>'Data-temp_employment'!DZ34-last_qrtr_tempemp!EA34</f>
        <v>0</v>
      </c>
      <c r="EA34" s="286">
        <f>'Data-temp_employment'!EA34-last_qrtr_tempemp!EB34</f>
        <v>0</v>
      </c>
      <c r="EB34" s="286">
        <f>'Data-temp_employment'!EB34-last_qrtr_tempemp!EC34</f>
        <v>0</v>
      </c>
      <c r="EC34" s="286">
        <f>'Data-temp_employment'!EC34</f>
        <v>0</v>
      </c>
      <c r="ED34" s="279" t="s">
        <v>37</v>
      </c>
      <c r="EE34" s="286">
        <f>'Data-temp_employment'!EE34-last_qrtr_tempemp!EF34</f>
        <v>0.29999999999999893</v>
      </c>
      <c r="EF34" s="286">
        <f>'Data-temp_employment'!EF34-last_qrtr_tempemp!EG34</f>
        <v>5.1000000000000014</v>
      </c>
      <c r="EG34" s="286">
        <f>'Data-temp_employment'!EG34-last_qrtr_tempemp!EH34</f>
        <v>-3.6999999999999993</v>
      </c>
      <c r="EH34" s="286">
        <f>'Data-temp_employment'!EH34-last_qrtr_tempemp!EI34</f>
        <v>-0.79999999999999893</v>
      </c>
      <c r="EI34" s="286">
        <f>'Data-temp_employment'!EI34-last_qrtr_tempemp!EJ34</f>
        <v>-1.6000000000000014</v>
      </c>
      <c r="EJ34" s="286">
        <f>'Data-temp_employment'!EJ34-last_qrtr_tempemp!EK34</f>
        <v>-4.5999999999999996</v>
      </c>
      <c r="EK34" s="286">
        <f>'Data-temp_employment'!EK34-last_qrtr_tempemp!EL34</f>
        <v>2.8999999999999986</v>
      </c>
      <c r="EL34" s="286">
        <f>'Data-temp_employment'!EL34-last_qrtr_tempemp!EM34</f>
        <v>3.1000000000000014</v>
      </c>
      <c r="EM34" s="286">
        <f>'Data-temp_employment'!EM34-last_qrtr_tempemp!EN34</f>
        <v>7.9</v>
      </c>
      <c r="EN34" s="286">
        <f>'Data-temp_employment'!EN34</f>
        <v>14.5</v>
      </c>
      <c r="EO34" s="279" t="s">
        <v>37</v>
      </c>
      <c r="EP34" s="286">
        <f>'Data-temp_employment'!EP34-last_qrtr_tempemp!EQ34</f>
        <v>-7.8000000000000114</v>
      </c>
      <c r="EQ34" s="286">
        <f>'Data-temp_employment'!EQ34-last_qrtr_tempemp!ER34</f>
        <v>4.5999999999999943</v>
      </c>
      <c r="ER34" s="286">
        <f>'Data-temp_employment'!ER34-last_qrtr_tempemp!ES34</f>
        <v>-6.1000000000000227</v>
      </c>
      <c r="ES34" s="286">
        <f>'Data-temp_employment'!ES34-last_qrtr_tempemp!ET34</f>
        <v>3.7000000000000171</v>
      </c>
      <c r="ET34" s="286">
        <f>'Data-temp_employment'!ET34-last_qrtr_tempemp!EU34</f>
        <v>1.6999999999999886</v>
      </c>
      <c r="EU34" s="286">
        <f>'Data-temp_employment'!EU34-last_qrtr_tempemp!EV34</f>
        <v>14.600000000000023</v>
      </c>
      <c r="EV34" s="286">
        <f>'Data-temp_employment'!EV34-last_qrtr_tempemp!EW34</f>
        <v>0.79999999999998295</v>
      </c>
      <c r="EW34" s="286">
        <f>'Data-temp_employment'!EW34-last_qrtr_tempemp!EX34</f>
        <v>8.5</v>
      </c>
      <c r="EX34" s="286">
        <f>'Data-temp_employment'!EX34-last_qrtr_tempemp!EY34</f>
        <v>10</v>
      </c>
      <c r="EY34" s="286">
        <f>'Data-temp_employment'!EY34</f>
        <v>172.9</v>
      </c>
      <c r="EZ34" s="279" t="s">
        <v>37</v>
      </c>
      <c r="FA34" s="286">
        <f>'Data-temp_employment'!FA34-last_qrtr_tempemp!FB34</f>
        <v>4</v>
      </c>
      <c r="FB34" s="286">
        <f>'Data-temp_employment'!FB34-last_qrtr_tempemp!FC34</f>
        <v>8</v>
      </c>
      <c r="FC34" s="286">
        <f>'Data-temp_employment'!FC34-last_qrtr_tempemp!FD34</f>
        <v>16.199999999999989</v>
      </c>
      <c r="FD34" s="286">
        <f>'Data-temp_employment'!FD34-last_qrtr_tempemp!FE34</f>
        <v>15.700000000000003</v>
      </c>
      <c r="FE34" s="286">
        <f>'Data-temp_employment'!FE34-last_qrtr_tempemp!FF34</f>
        <v>-11.5</v>
      </c>
      <c r="FF34" s="286">
        <f>'Data-temp_employment'!FF34-last_qrtr_tempemp!FG34</f>
        <v>-9</v>
      </c>
      <c r="FG34" s="286">
        <f>'Data-temp_employment'!FG34-last_qrtr_tempemp!FH34</f>
        <v>-5.2999999999999972</v>
      </c>
      <c r="FH34" s="286">
        <f>'Data-temp_employment'!FH34-last_qrtr_tempemp!FI34</f>
        <v>11.599999999999994</v>
      </c>
      <c r="FI34" s="286">
        <f>'Data-temp_employment'!FI34-last_qrtr_tempemp!FJ34</f>
        <v>4.7000000000000028</v>
      </c>
      <c r="FJ34" s="286">
        <f>'Data-temp_employment'!FJ34</f>
        <v>87.9</v>
      </c>
      <c r="FK34" s="279" t="s">
        <v>37</v>
      </c>
      <c r="FL34" s="286">
        <f>'Data-temp_employment'!FL34-last_qrtr_tempemp!FM34</f>
        <v>-7.0999999999999943</v>
      </c>
      <c r="FM34" s="286">
        <f>'Data-temp_employment'!FM34-last_qrtr_tempemp!FN34</f>
        <v>0</v>
      </c>
      <c r="FN34" s="286">
        <f>'Data-temp_employment'!FN34-last_qrtr_tempemp!FO34</f>
        <v>5.5</v>
      </c>
      <c r="FO34" s="286">
        <f>'Data-temp_employment'!FO34-last_qrtr_tempemp!FP34</f>
        <v>9</v>
      </c>
      <c r="FP34" s="286">
        <f>'Data-temp_employment'!FP34-last_qrtr_tempemp!FQ34</f>
        <v>3.7999999999999972</v>
      </c>
      <c r="FQ34" s="286">
        <f>'Data-temp_employment'!FQ34-last_qrtr_tempemp!FR34</f>
        <v>-2.7999999999999972</v>
      </c>
      <c r="FR34" s="286">
        <f>'Data-temp_employment'!FR34-last_qrtr_tempemp!FS34</f>
        <v>2.7000000000000028</v>
      </c>
      <c r="FS34" s="286">
        <f>'Data-temp_employment'!FS34-last_qrtr_tempemp!FT34</f>
        <v>-4.9000000000000057</v>
      </c>
      <c r="FT34" s="286">
        <f>'Data-temp_employment'!FT34-last_qrtr_tempemp!FU34</f>
        <v>0.5</v>
      </c>
      <c r="FU34" s="286">
        <f>'Data-temp_employment'!FU34</f>
        <v>75.5</v>
      </c>
      <c r="FV34" s="279" t="s">
        <v>37</v>
      </c>
      <c r="FW34" s="286">
        <f>'Data-temp_employment'!FW34-last_qrtr_tempemp!FX34</f>
        <v>8.7999999999999829</v>
      </c>
      <c r="FX34" s="286">
        <f>'Data-temp_employment'!FX34-last_qrtr_tempemp!FY34</f>
        <v>9.0999999999999943</v>
      </c>
      <c r="FY34" s="286">
        <f>'Data-temp_employment'!FY34-last_qrtr_tempemp!FZ34</f>
        <v>14.299999999999983</v>
      </c>
      <c r="FZ34" s="286">
        <f>'Data-temp_employment'!FZ34-last_qrtr_tempemp!GA34</f>
        <v>-10.099999999999994</v>
      </c>
      <c r="GA34" s="286">
        <f>'Data-temp_employment'!GA34-last_qrtr_tempemp!GB34</f>
        <v>-20.400000000000006</v>
      </c>
      <c r="GB34" s="286">
        <f>'Data-temp_employment'!GB34-last_qrtr_tempemp!GC34</f>
        <v>-8.5999999999999943</v>
      </c>
      <c r="GC34" s="286">
        <f>'Data-temp_employment'!GC34-last_qrtr_tempemp!GD34</f>
        <v>36.200000000000017</v>
      </c>
      <c r="GD34" s="286">
        <f>'Data-temp_employment'!GD34-last_qrtr_tempemp!GE34</f>
        <v>16</v>
      </c>
      <c r="GE34" s="286">
        <f>'Data-temp_employment'!GE34-last_qrtr_tempemp!GF34</f>
        <v>-6.6999999999999886</v>
      </c>
      <c r="GF34" s="286">
        <f>'Data-temp_employment'!GF34</f>
        <v>169.6</v>
      </c>
      <c r="GG34" s="279" t="s">
        <v>37</v>
      </c>
      <c r="GH34" s="286">
        <f>'Data-temp_employment'!GH34-last_qrtr_tempemp!GI34</f>
        <v>3.8999999999999986</v>
      </c>
      <c r="GI34" s="286">
        <f>'Data-temp_employment'!GI34-last_qrtr_tempemp!GJ34</f>
        <v>-1.5</v>
      </c>
      <c r="GJ34" s="286">
        <f>'Data-temp_employment'!GJ34-last_qrtr_tempemp!GK34</f>
        <v>-2.5999999999999979</v>
      </c>
      <c r="GK34" s="286">
        <f>'Data-temp_employment'!GK34-last_qrtr_tempemp!GL34</f>
        <v>-4.3000000000000007</v>
      </c>
      <c r="GL34" s="286">
        <f>'Data-temp_employment'!GL34-last_qrtr_tempemp!GM34</f>
        <v>2.5999999999999979</v>
      </c>
      <c r="GM34" s="286">
        <f>'Data-temp_employment'!GM34-last_qrtr_tempemp!GN34</f>
        <v>7.2999999999999972</v>
      </c>
      <c r="GN34" s="286">
        <f>'Data-temp_employment'!GN34-last_qrtr_tempemp!GO34</f>
        <v>-5.1999999999999993</v>
      </c>
      <c r="GO34" s="286">
        <f>'Data-temp_employment'!GO34-last_qrtr_tempemp!GP34</f>
        <v>-7</v>
      </c>
      <c r="GP34" s="286">
        <f>'Data-temp_employment'!GP34-last_qrtr_tempemp!GQ34</f>
        <v>-10</v>
      </c>
      <c r="GQ34" s="286">
        <f>'Data-temp_employment'!GQ34</f>
        <v>18</v>
      </c>
      <c r="GR34" s="279" t="s">
        <v>37</v>
      </c>
      <c r="GS34" s="286">
        <f>'Data-temp_employment'!GS34-last_qrtr_tempemp!GT34</f>
        <v>-11.5</v>
      </c>
      <c r="GT34" s="286">
        <f>'Data-temp_employment'!GT34-last_qrtr_tempemp!GU34</f>
        <v>-9.8000000000000114</v>
      </c>
      <c r="GU34" s="286">
        <f>'Data-temp_employment'!GU34-last_qrtr_tempemp!GV34</f>
        <v>-2</v>
      </c>
      <c r="GV34" s="286">
        <f>'Data-temp_employment'!GV34-last_qrtr_tempemp!GW34</f>
        <v>14.899999999999991</v>
      </c>
      <c r="GW34" s="286">
        <f>'Data-temp_employment'!GW34-last_qrtr_tempemp!GX34</f>
        <v>1.1000000000000085</v>
      </c>
      <c r="GX34" s="286">
        <f>'Data-temp_employment'!GX34-last_qrtr_tempemp!GY34</f>
        <v>5</v>
      </c>
      <c r="GY34" s="286">
        <f>'Data-temp_employment'!GY34-last_qrtr_tempemp!GZ34</f>
        <v>0.10000000000000853</v>
      </c>
      <c r="GZ34" s="286">
        <f>'Data-temp_employment'!GZ34-last_qrtr_tempemp!HA34</f>
        <v>25.200000000000003</v>
      </c>
      <c r="HA34" s="286">
        <f>'Data-temp_employment'!HA34-last_qrtr_tempemp!HB34</f>
        <v>0.5</v>
      </c>
      <c r="HB34" s="286">
        <f>'Data-temp_employment'!HB34</f>
        <v>116.8</v>
      </c>
      <c r="HC34" s="279" t="s">
        <v>37</v>
      </c>
      <c r="HD34" s="286">
        <f>'Data-temp_employment'!HD34-last_qrtr_tempemp!HE34</f>
        <v>-0.59999999999999432</v>
      </c>
      <c r="HE34" s="286">
        <f>'Data-temp_employment'!HE34-last_qrtr_tempemp!HF34</f>
        <v>-2.8000000000000114</v>
      </c>
      <c r="HF34" s="286">
        <f>'Data-temp_employment'!HF34-last_qrtr_tempemp!HG34</f>
        <v>4.2999999999999972</v>
      </c>
      <c r="HG34" s="286">
        <f>'Data-temp_employment'!HG34-last_qrtr_tempemp!HH34</f>
        <v>-5.2000000000000028</v>
      </c>
      <c r="HH34" s="286">
        <f>'Data-temp_employment'!HH34-last_qrtr_tempemp!HI34</f>
        <v>-1.2999999999999972</v>
      </c>
      <c r="HI34" s="286">
        <f>'Data-temp_employment'!HI34-last_qrtr_tempemp!HJ34</f>
        <v>2.7000000000000028</v>
      </c>
      <c r="HJ34" s="286">
        <f>'Data-temp_employment'!HJ34-last_qrtr_tempemp!HK34</f>
        <v>9.2000000000000028</v>
      </c>
      <c r="HK34" s="286">
        <f>'Data-temp_employment'!HK34-last_qrtr_tempemp!HL34</f>
        <v>16.299999999999997</v>
      </c>
      <c r="HL34" s="286">
        <f>'Data-temp_employment'!HL34-last_qrtr_tempemp!HM34</f>
        <v>6.8999999999999915</v>
      </c>
      <c r="HM34" s="286">
        <f>'Data-temp_employment'!HM34</f>
        <v>79.599999999999994</v>
      </c>
      <c r="HN34" s="279" t="s">
        <v>37</v>
      </c>
      <c r="HO34" s="286">
        <f>'Data-temp_employment'!HO34-last_qrtr_tempemp!HP34</f>
        <v>2.0999999999999943</v>
      </c>
      <c r="HP34" s="286">
        <f>'Data-temp_employment'!HP34-last_qrtr_tempemp!HQ34</f>
        <v>4.6999999999999886</v>
      </c>
      <c r="HQ34" s="286">
        <f>'Data-temp_employment'!HQ34-last_qrtr_tempemp!HR34</f>
        <v>4.8999999999999773</v>
      </c>
      <c r="HR34" s="286">
        <f>'Data-temp_employment'!HR34-last_qrtr_tempemp!HS34</f>
        <v>5.7000000000000171</v>
      </c>
      <c r="HS34" s="286">
        <f>'Data-temp_employment'!HS34-last_qrtr_tempemp!HT34</f>
        <v>-7.1999999999999886</v>
      </c>
      <c r="HT34" s="286">
        <f>'Data-temp_employment'!HT34-last_qrtr_tempemp!HU34</f>
        <v>8</v>
      </c>
      <c r="HU34" s="286">
        <f>'Data-temp_employment'!HU34-last_qrtr_tempemp!HV34</f>
        <v>11</v>
      </c>
      <c r="HV34" s="286">
        <f>'Data-temp_employment'!HV34-last_qrtr_tempemp!HW34</f>
        <v>0.69999999999998863</v>
      </c>
      <c r="HW34" s="286">
        <f>'Data-temp_employment'!HW34-last_qrtr_tempemp!HX34</f>
        <v>-10.799999999999983</v>
      </c>
      <c r="HX34" s="286">
        <f>'Data-temp_employment'!HX34</f>
        <v>142.9</v>
      </c>
      <c r="HY34" s="279" t="s">
        <v>37</v>
      </c>
      <c r="HZ34" s="286">
        <f>'Data-temp_employment'!HZ34-last_qrtr_tempemp!IA34</f>
        <v>9.9999999999999645E-2</v>
      </c>
      <c r="IA34" s="286">
        <f>'Data-temp_employment'!IA34-last_qrtr_tempemp!IB34</f>
        <v>2.3999999999999986</v>
      </c>
      <c r="IB34" s="286">
        <f>'Data-temp_employment'!IB34-last_qrtr_tempemp!IC34</f>
        <v>-2.2999999999999989</v>
      </c>
      <c r="IC34" s="286">
        <f>'Data-temp_employment'!IC34-last_qrtr_tempemp!ID34</f>
        <v>-1.5</v>
      </c>
      <c r="ID34" s="286">
        <f>'Data-temp_employment'!ID34-last_qrtr_tempemp!IE34</f>
        <v>-11.7</v>
      </c>
      <c r="IE34" s="286">
        <f>'Data-temp_employment'!IE34-last_qrtr_tempemp!IF34</f>
        <v>-7.9</v>
      </c>
      <c r="IF34" s="286">
        <f>'Data-temp_employment'!IF34-last_qrtr_tempemp!IG34</f>
        <v>-7.6</v>
      </c>
      <c r="IG34" s="286">
        <f>'Data-temp_employment'!IG34-last_qrtr_tempemp!IH34</f>
        <v>0</v>
      </c>
      <c r="IH34" s="286">
        <f>'Data-temp_employment'!IH34-last_qrtr_tempemp!II34</f>
        <v>0</v>
      </c>
      <c r="II34" s="286">
        <f>'Data-temp_employment'!II34</f>
        <v>0</v>
      </c>
      <c r="IJ34" s="279" t="s">
        <v>37</v>
      </c>
      <c r="IK34" s="286">
        <f>'Data-temp_employment'!IK34-last_qrtr_tempemp!IL34</f>
        <v>0</v>
      </c>
      <c r="IL34" s="286">
        <f>'Data-temp_employment'!IL34-last_qrtr_tempemp!IM34</f>
        <v>0</v>
      </c>
      <c r="IM34" s="286">
        <f>'Data-temp_employment'!IM34-last_qrtr_tempemp!IN34</f>
        <v>0</v>
      </c>
      <c r="IN34" s="286">
        <f>'Data-temp_employment'!IN34-last_qrtr_tempemp!IO34</f>
        <v>0</v>
      </c>
      <c r="IO34" s="286">
        <f>'Data-temp_employment'!IO34-last_qrtr_tempemp!IP34</f>
        <v>0</v>
      </c>
      <c r="IP34" s="286">
        <f>'Data-temp_employment'!IP34-last_qrtr_tempemp!IQ34</f>
        <v>0</v>
      </c>
      <c r="IQ34" s="286">
        <f>'Data-temp_employment'!IQ34-last_qrtr_tempemp!IR34</f>
        <v>0</v>
      </c>
      <c r="IR34" s="286">
        <f>'Data-temp_employment'!IR34-last_qrtr_tempemp!IS34</f>
        <v>0</v>
      </c>
      <c r="IS34" s="286">
        <f>'Data-temp_employment'!IS34-last_qrtr_tempemp!IT34</f>
        <v>0</v>
      </c>
      <c r="IT34" s="286">
        <f>'Data-temp_employment'!IT34</f>
        <v>0</v>
      </c>
      <c r="IU34" s="279" t="s">
        <v>37</v>
      </c>
      <c r="IV34" s="286">
        <f>'Data-temp_employment'!IV34-last_qrtr_tempemp!IW34</f>
        <v>2.3000000000000007</v>
      </c>
      <c r="IW34" s="286">
        <f>'Data-temp_employment'!IW34-last_qrtr_tempemp!IX34</f>
        <v>-4.5999999999999979</v>
      </c>
      <c r="IX34" s="286">
        <f>'Data-temp_employment'!IX34-last_qrtr_tempemp!IY34</f>
        <v>5.0999999999999979</v>
      </c>
      <c r="IY34" s="286">
        <f>'Data-temp_employment'!IY34-last_qrtr_tempemp!IZ34</f>
        <v>-1.3999999999999986</v>
      </c>
      <c r="IZ34" s="286">
        <f>'Data-temp_employment'!IZ34-last_qrtr_tempemp!JA34</f>
        <v>0.80000000000000071</v>
      </c>
      <c r="JA34" s="286">
        <f>'Data-temp_employment'!JA34-last_qrtr_tempemp!JB34</f>
        <v>-1</v>
      </c>
      <c r="JB34" s="286">
        <f>'Data-temp_employment'!JB34-last_qrtr_tempemp!JC34</f>
        <v>-4.6000000000000014</v>
      </c>
      <c r="JC34" s="286">
        <f>'Data-temp_employment'!JC34-last_qrtr_tempemp!JD34</f>
        <v>1.2999999999999972</v>
      </c>
      <c r="JD34" s="286">
        <f>'Data-temp_employment'!JD34-last_qrtr_tempemp!JE34</f>
        <v>-8.5999999999999979</v>
      </c>
      <c r="JE34" s="286">
        <f>'Data-temp_employment'!JE34</f>
        <v>26.8</v>
      </c>
      <c r="JF34" s="279" t="s">
        <v>37</v>
      </c>
      <c r="JG34" s="286">
        <f>'Data-temp_employment'!JG34-last_qrtr_tempemp!JH34</f>
        <v>-13.400000000000006</v>
      </c>
      <c r="JH34" s="286">
        <f>'Data-temp_employment'!JH34-last_qrtr_tempemp!JI34</f>
        <v>-13.599999999999994</v>
      </c>
      <c r="JI34" s="286">
        <f>'Data-temp_employment'!JI34-last_qrtr_tempemp!JJ34</f>
        <v>8</v>
      </c>
      <c r="JJ34" s="286">
        <f>'Data-temp_employment'!JJ34-last_qrtr_tempemp!JK34</f>
        <v>10.299999999999983</v>
      </c>
      <c r="JK34" s="286">
        <f>'Data-temp_employment'!JK34-last_qrtr_tempemp!JL34</f>
        <v>6.5</v>
      </c>
      <c r="JL34" s="286">
        <f>'Data-temp_employment'!JL34-last_qrtr_tempemp!JM34</f>
        <v>6.1999999999999886</v>
      </c>
      <c r="JM34" s="286">
        <f>'Data-temp_employment'!JM34-last_qrtr_tempemp!JN34</f>
        <v>21.200000000000017</v>
      </c>
      <c r="JN34" s="286">
        <f>'Data-temp_employment'!JN34-last_qrtr_tempemp!JO34</f>
        <v>23.699999999999989</v>
      </c>
      <c r="JO34" s="286">
        <f>'Data-temp_employment'!JO34-last_qrtr_tempemp!JP34</f>
        <v>0.5</v>
      </c>
      <c r="JP34" s="286">
        <f>'Data-temp_employment'!JP34</f>
        <v>148.6</v>
      </c>
      <c r="JQ34" s="279" t="s">
        <v>37</v>
      </c>
      <c r="JR34" s="286">
        <f>'Data-temp_employment'!JR34-last_qrtr_tempemp!JS34</f>
        <v>-9.7999999999999972</v>
      </c>
      <c r="JS34" s="286">
        <f>'Data-temp_employment'!JS34-last_qrtr_tempemp!JT34</f>
        <v>-6.5</v>
      </c>
      <c r="JT34" s="286">
        <f>'Data-temp_employment'!JT34-last_qrtr_tempemp!JU34</f>
        <v>-9.4000000000000057</v>
      </c>
      <c r="JU34" s="286">
        <f>'Data-temp_employment'!JU34-last_qrtr_tempemp!JV34</f>
        <v>7.6999999999999957</v>
      </c>
      <c r="JV34" s="286">
        <f>'Data-temp_employment'!JV34-last_qrtr_tempemp!JW34</f>
        <v>5.8999999999999986</v>
      </c>
      <c r="JW34" s="286">
        <f>'Data-temp_employment'!JW34-last_qrtr_tempemp!JX34</f>
        <v>5.9000000000000057</v>
      </c>
      <c r="JX34" s="286">
        <f>'Data-temp_employment'!JX34-last_qrtr_tempemp!JY34</f>
        <v>-1.1000000000000014</v>
      </c>
      <c r="JY34" s="286">
        <f>'Data-temp_employment'!JY34-last_qrtr_tempemp!JZ34</f>
        <v>10.900000000000006</v>
      </c>
      <c r="JZ34" s="286">
        <f>'Data-temp_employment'!JZ34-last_qrtr_tempemp!KA34</f>
        <v>3.7999999999999972</v>
      </c>
      <c r="KA34" s="286">
        <f>'Data-temp_employment'!KA34</f>
        <v>68.5</v>
      </c>
      <c r="KB34" s="279" t="s">
        <v>37</v>
      </c>
      <c r="KC34" s="286">
        <f>'Data-temp_employment'!KC34-last_qrtr_tempemp!KD34</f>
        <v>18.200000000000003</v>
      </c>
      <c r="KD34" s="286">
        <f>'Data-temp_employment'!KD34-last_qrtr_tempemp!KE34</f>
        <v>5.5</v>
      </c>
      <c r="KE34" s="286">
        <f>'Data-temp_employment'!KE34-last_qrtr_tempemp!KF34</f>
        <v>-8.7000000000000028</v>
      </c>
      <c r="KF34" s="286">
        <f>'Data-temp_employment'!KF34-last_qrtr_tempemp!KG34</f>
        <v>-3.3999999999999915</v>
      </c>
      <c r="KG34" s="286">
        <f>'Data-temp_employment'!KG34-last_qrtr_tempemp!KH34</f>
        <v>-6.7000000000000028</v>
      </c>
      <c r="KH34" s="286">
        <f>'Data-temp_employment'!KH34-last_qrtr_tempemp!KI34</f>
        <v>4.5</v>
      </c>
      <c r="KI34" s="286">
        <f>'Data-temp_employment'!KI34-last_qrtr_tempemp!KJ34</f>
        <v>9.9999999999994316E-2</v>
      </c>
      <c r="KJ34" s="286">
        <f>'Data-temp_employment'!KJ34-last_qrtr_tempemp!KK34</f>
        <v>0</v>
      </c>
      <c r="KK34" s="286">
        <f>'Data-temp_employment'!KK34-last_qrtr_tempemp!KL34</f>
        <v>5.0999999999999943</v>
      </c>
      <c r="KL34" s="286">
        <f>'Data-temp_employment'!KL34</f>
        <v>118.9</v>
      </c>
      <c r="KM34" s="279" t="s">
        <v>37</v>
      </c>
      <c r="KN34" s="286">
        <f>'Data-temp_employment'!KN34-last_qrtr_tempemp!KO34</f>
        <v>0.39999999999999858</v>
      </c>
      <c r="KO34" s="286">
        <f>'Data-temp_employment'!KO34-last_qrtr_tempemp!KP34</f>
        <v>3.1000000000000014</v>
      </c>
      <c r="KP34" s="286">
        <f>'Data-temp_employment'!KP34-last_qrtr_tempemp!KQ34</f>
        <v>9.0000000000000036</v>
      </c>
      <c r="KQ34" s="286">
        <f>'Data-temp_employment'!KQ34-last_qrtr_tempemp!KR34</f>
        <v>4.7000000000000028</v>
      </c>
      <c r="KR34" s="286">
        <f>'Data-temp_employment'!KR34-last_qrtr_tempemp!KS34</f>
        <v>1.6999999999999957</v>
      </c>
      <c r="KS34" s="286">
        <f>'Data-temp_employment'!KS34-last_qrtr_tempemp!KT34</f>
        <v>6.5</v>
      </c>
      <c r="KT34" s="286">
        <f>'Data-temp_employment'!KT34-last_qrtr_tempemp!KU34</f>
        <v>3.2000000000000028</v>
      </c>
      <c r="KU34" s="286">
        <f>'Data-temp_employment'!KU34-last_qrtr_tempemp!KV34</f>
        <v>-0.5</v>
      </c>
      <c r="KV34" s="286">
        <f>'Data-temp_employment'!KV34-last_qrtr_tempemp!KW34</f>
        <v>-3.6000000000000014</v>
      </c>
      <c r="KW34" s="286">
        <f>'Data-temp_employment'!KW34</f>
        <v>38.200000000000003</v>
      </c>
      <c r="KX34" s="279" t="s">
        <v>37</v>
      </c>
      <c r="KY34" s="286">
        <f>'Data-temp_employment'!KY34-last_qrtr_tempemp!KZ34</f>
        <v>1.8999999999999915</v>
      </c>
      <c r="KZ34" s="286">
        <f>'Data-temp_employment'!KZ34-last_qrtr_tempemp!LA34</f>
        <v>2.2999999999999972</v>
      </c>
      <c r="LA34" s="286">
        <f>'Data-temp_employment'!LA34-last_qrtr_tempemp!LB34</f>
        <v>17</v>
      </c>
      <c r="LB34" s="286">
        <f>'Data-temp_employment'!LB34-last_qrtr_tempemp!LC34</f>
        <v>5.1000000000000085</v>
      </c>
      <c r="LC34" s="286">
        <f>'Data-temp_employment'!LC34-last_qrtr_tempemp!LD34</f>
        <v>-7.3999999999999915</v>
      </c>
      <c r="LD34" s="286">
        <f>'Data-temp_employment'!LD34-last_qrtr_tempemp!LE34</f>
        <v>13</v>
      </c>
      <c r="LE34" s="286">
        <f>'Data-temp_employment'!LE34-last_qrtr_tempemp!LF34</f>
        <v>30.899999999999991</v>
      </c>
      <c r="LF34" s="286">
        <f>'Data-temp_employment'!LF34-last_qrtr_tempemp!LG34</f>
        <v>9.3999999999999915</v>
      </c>
      <c r="LG34" s="286">
        <f>'Data-temp_employment'!LG34-last_qrtr_tempemp!LH34</f>
        <v>-12.799999999999997</v>
      </c>
      <c r="LH34" s="286">
        <f>'Data-temp_employment'!LH34</f>
        <v>90.2</v>
      </c>
      <c r="LI34" s="279" t="s">
        <v>37</v>
      </c>
      <c r="LJ34" s="286">
        <f>'Data-temp_employment'!LJ34-last_qrtr_tempemp!LK34</f>
        <v>3.8000000000000007</v>
      </c>
      <c r="LK34" s="286">
        <f>'Data-temp_employment'!LK34-last_qrtr_tempemp!LL34</f>
        <v>4.6000000000000014</v>
      </c>
      <c r="LL34" s="286">
        <f>'Data-temp_employment'!LL34-last_qrtr_tempemp!LM34</f>
        <v>3.8999999999999986</v>
      </c>
      <c r="LM34" s="286">
        <f>'Data-temp_employment'!LM34-last_qrtr_tempemp!LN34</f>
        <v>-2</v>
      </c>
      <c r="LN34" s="286">
        <f>'Data-temp_employment'!LN34-last_qrtr_tempemp!LO34</f>
        <v>-2.3999999999999986</v>
      </c>
      <c r="LO34" s="286">
        <f>'Data-temp_employment'!LO34-last_qrtr_tempemp!LP34</f>
        <v>-3.5</v>
      </c>
      <c r="LP34" s="286">
        <f>'Data-temp_employment'!LP34-last_qrtr_tempemp!LQ34</f>
        <v>7.1999999999999993</v>
      </c>
      <c r="LQ34" s="286">
        <f>'Data-temp_employment'!LQ34-last_qrtr_tempemp!LR34</f>
        <v>2.5</v>
      </c>
      <c r="LR34" s="286">
        <f>'Data-temp_employment'!LR34-last_qrtr_tempemp!LS34</f>
        <v>-5.6999999999999993</v>
      </c>
      <c r="LS34" s="286">
        <f>'Data-temp_employment'!LS34</f>
        <v>22.1</v>
      </c>
      <c r="LT34" s="279" t="s">
        <v>37</v>
      </c>
      <c r="LU34" s="286">
        <f>'Data-temp_employment'!LU34-last_qrtr_tempemp!LV34</f>
        <v>-10.199999999999999</v>
      </c>
      <c r="LV34" s="286">
        <f>'Data-temp_employment'!LV34-last_qrtr_tempemp!LW34</f>
        <v>8.1999999999999993</v>
      </c>
      <c r="LW34" s="286">
        <f>'Data-temp_employment'!LW34-last_qrtr_tempemp!LX34</f>
        <v>2.7999999999999989</v>
      </c>
      <c r="LX34" s="286">
        <f>'Data-temp_employment'!LX34-last_qrtr_tempemp!LY34</f>
        <v>9.8000000000000007</v>
      </c>
      <c r="LY34" s="286">
        <f>'Data-temp_employment'!LY34-last_qrtr_tempemp!LZ34</f>
        <v>-8.1999999999999993</v>
      </c>
      <c r="LZ34" s="286">
        <f>'Data-temp_employment'!LZ34-last_qrtr_tempemp!MA34</f>
        <v>-12.2</v>
      </c>
      <c r="MA34" s="286">
        <f>'Data-temp_employment'!MA34-last_qrtr_tempemp!MB34</f>
        <v>-9.8000000000000007</v>
      </c>
      <c r="MB34" s="286">
        <f>'Data-temp_employment'!MB34-last_qrtr_tempemp!MC34</f>
        <v>10.8</v>
      </c>
      <c r="MC34" s="286">
        <f>'Data-temp_employment'!MC34-last_qrtr_tempemp!MD34</f>
        <v>7.7</v>
      </c>
      <c r="MD34" s="286">
        <f>'Data-temp_employment'!MD34</f>
        <v>7.6</v>
      </c>
      <c r="ME34" s="279" t="s">
        <v>37</v>
      </c>
      <c r="MF34" s="286">
        <f>'Data-temp_employment'!MF34-last_qrtr_tempemp!MG34</f>
        <v>-1.7999999999999972</v>
      </c>
      <c r="MG34" s="286">
        <f>'Data-temp_employment'!MG34-last_qrtr_tempemp!MH34</f>
        <v>5.2999999999999972</v>
      </c>
      <c r="MH34" s="286">
        <f>'Data-temp_employment'!MH34-last_qrtr_tempemp!MI34</f>
        <v>-1.0999999999999943</v>
      </c>
      <c r="MI34" s="286">
        <f>'Data-temp_employment'!MI34-last_qrtr_tempemp!MJ34</f>
        <v>3.6000000000000014</v>
      </c>
      <c r="MJ34" s="286">
        <f>'Data-temp_employment'!MJ34-last_qrtr_tempemp!MK34</f>
        <v>-6.2999999999999972</v>
      </c>
      <c r="MK34" s="286">
        <f>'Data-temp_employment'!MK34-last_qrtr_tempemp!ML34</f>
        <v>1.7999999999999972</v>
      </c>
      <c r="ML34" s="286">
        <f>'Data-temp_employment'!ML34-last_qrtr_tempemp!MM34</f>
        <v>0.69999999999999574</v>
      </c>
      <c r="MM34" s="286">
        <f>'Data-temp_employment'!MM34-last_qrtr_tempemp!MN34</f>
        <v>9.6999999999999957</v>
      </c>
      <c r="MN34" s="286">
        <f>'Data-temp_employment'!MN34-last_qrtr_tempemp!MO34</f>
        <v>3.7000000000000028</v>
      </c>
      <c r="MO34" s="286">
        <f>'Data-temp_employment'!MO34</f>
        <v>41.7</v>
      </c>
      <c r="MP34" s="279" t="s">
        <v>37</v>
      </c>
      <c r="MQ34" s="286">
        <f>'Data-temp_employment'!MQ34-last_qrtr_tempemp!MR34</f>
        <v>-6.6999999999999957</v>
      </c>
      <c r="MR34" s="286">
        <f>'Data-temp_employment'!MR34-last_qrtr_tempemp!MS34</f>
        <v>3.6000000000000014</v>
      </c>
      <c r="MS34" s="286">
        <f>'Data-temp_employment'!MS34-last_qrtr_tempemp!MT34</f>
        <v>-6.3000000000000043</v>
      </c>
      <c r="MT34" s="286">
        <f>'Data-temp_employment'!MT34-last_qrtr_tempemp!MU34</f>
        <v>1.3999999999999986</v>
      </c>
      <c r="MU34" s="286">
        <f>'Data-temp_employment'!MU34-last_qrtr_tempemp!MV34</f>
        <v>2.2000000000000028</v>
      </c>
      <c r="MV34" s="286">
        <f>'Data-temp_employment'!MV34-last_qrtr_tempemp!MW34</f>
        <v>-0.79999999999999716</v>
      </c>
      <c r="MW34" s="286">
        <f>'Data-temp_employment'!MW34-last_qrtr_tempemp!MX34</f>
        <v>7.7999999999999972</v>
      </c>
      <c r="MX34" s="286">
        <f>'Data-temp_employment'!MX34-last_qrtr_tempemp!MY34</f>
        <v>-2.7000000000000028</v>
      </c>
      <c r="MY34" s="286">
        <f>'Data-temp_employment'!MY34-last_qrtr_tempemp!MZ34</f>
        <v>6.7000000000000028</v>
      </c>
      <c r="MZ34" s="286">
        <f>'Data-temp_employment'!MZ34</f>
        <v>42</v>
      </c>
      <c r="NA34" s="279" t="s">
        <v>37</v>
      </c>
      <c r="NB34" s="286">
        <f>'Data-temp_employment'!NB34-last_qrtr_tempemp!NC34</f>
        <v>2.6000000000000014</v>
      </c>
      <c r="NC34" s="286">
        <f>'Data-temp_employment'!NC34-last_qrtr_tempemp!ND34</f>
        <v>2.2000000000000028</v>
      </c>
      <c r="ND34" s="286">
        <f>'Data-temp_employment'!ND34-last_qrtr_tempemp!NE34</f>
        <v>0.39999999999999858</v>
      </c>
      <c r="NE34" s="286">
        <f>'Data-temp_employment'!NE34-last_qrtr_tempemp!NF34</f>
        <v>-1.4000000000000057</v>
      </c>
      <c r="NF34" s="286">
        <f>'Data-temp_employment'!NF34-last_qrtr_tempemp!NG34</f>
        <v>-13</v>
      </c>
      <c r="NG34" s="286">
        <f>'Data-temp_employment'!NG34-last_qrtr_tempemp!NH34</f>
        <v>-11.399999999999999</v>
      </c>
      <c r="NH34" s="286">
        <f>'Data-temp_employment'!NH34-last_qrtr_tempemp!NI34</f>
        <v>-4.4999999999999964</v>
      </c>
      <c r="NI34" s="286">
        <f>'Data-temp_employment'!NI34-last_qrtr_tempemp!NJ34</f>
        <v>3.3999999999999986</v>
      </c>
      <c r="NJ34" s="286">
        <f>'Data-temp_employment'!NJ34-last_qrtr_tempemp!NK34</f>
        <v>4</v>
      </c>
      <c r="NK34" s="286">
        <f>'Data-temp_employment'!NK34</f>
        <v>34.4</v>
      </c>
      <c r="NL34" s="279" t="s">
        <v>37</v>
      </c>
      <c r="NM34" s="286">
        <f>'Data-temp_employment'!NM34-last_qrtr_tempemp!NN34</f>
        <v>1.5</v>
      </c>
      <c r="NN34" s="286">
        <f>'Data-temp_employment'!NN34-last_qrtr_tempemp!NO34</f>
        <v>16.200000000000003</v>
      </c>
      <c r="NO34" s="286">
        <f>'Data-temp_employment'!NO34-last_qrtr_tempemp!NP34</f>
        <v>-3.9000000000000057</v>
      </c>
      <c r="NP34" s="286">
        <f>'Data-temp_employment'!NP34-last_qrtr_tempemp!NQ34</f>
        <v>-8.5</v>
      </c>
      <c r="NQ34" s="286">
        <f>'Data-temp_employment'!NQ34-last_qrtr_tempemp!NR34</f>
        <v>-11.400000000000006</v>
      </c>
      <c r="NR34" s="286">
        <f>'Data-temp_employment'!NR34-last_qrtr_tempemp!NS34</f>
        <v>8.6000000000000085</v>
      </c>
      <c r="NS34" s="286">
        <f>'Data-temp_employment'!NS34-last_qrtr_tempemp!NT34</f>
        <v>-6</v>
      </c>
      <c r="NT34" s="286">
        <f>'Data-temp_employment'!NT34-last_qrtr_tempemp!NU34</f>
        <v>7.2000000000000028</v>
      </c>
      <c r="NU34" s="286">
        <f>'Data-temp_employment'!NU34-last_qrtr_tempemp!NV34</f>
        <v>8</v>
      </c>
      <c r="NV34" s="286">
        <f>'Data-temp_employment'!NV34</f>
        <v>90.2</v>
      </c>
      <c r="NW34" s="279" t="s">
        <v>37</v>
      </c>
      <c r="NX34" s="286">
        <f>'Data-temp_employment'!NX34-last_qrtr_tempemp!NY34</f>
        <v>1.5</v>
      </c>
      <c r="NY34" s="286">
        <f>'Data-temp_employment'!NY34-last_qrtr_tempemp!NZ34</f>
        <v>1</v>
      </c>
      <c r="NZ34" s="286">
        <f>'Data-temp_employment'!NZ34-last_qrtr_tempemp!OA34</f>
        <v>5.5</v>
      </c>
      <c r="OA34" s="286">
        <f>'Data-temp_employment'!OA34-last_qrtr_tempemp!OB34</f>
        <v>-9.9999999999994316E-2</v>
      </c>
      <c r="OB34" s="286">
        <f>'Data-temp_employment'!OB34-last_qrtr_tempemp!OC34</f>
        <v>-3.1000000000000085</v>
      </c>
      <c r="OC34" s="286">
        <f>'Data-temp_employment'!OC34-last_qrtr_tempemp!OD34</f>
        <v>-10.5</v>
      </c>
      <c r="OD34" s="286">
        <f>'Data-temp_employment'!OD34-last_qrtr_tempemp!OE34</f>
        <v>-4.0999999999999943</v>
      </c>
      <c r="OE34" s="286">
        <f>'Data-temp_employment'!OE34-last_qrtr_tempemp!OF34</f>
        <v>-8.7000000000000028</v>
      </c>
      <c r="OF34" s="286">
        <f>'Data-temp_employment'!OF34-last_qrtr_tempemp!OG34</f>
        <v>10</v>
      </c>
      <c r="OG34" s="286">
        <f>'Data-temp_employment'!OG34</f>
        <v>75.7</v>
      </c>
      <c r="OH34" s="287" t="s">
        <v>37</v>
      </c>
      <c r="OI34" s="286"/>
      <c r="OJ34" s="286"/>
      <c r="OK34" s="286"/>
      <c r="OL34" s="286"/>
      <c r="OM34" s="286"/>
      <c r="ON34" s="286"/>
      <c r="OO34" s="286"/>
      <c r="OP34" s="286"/>
      <c r="OQ34" s="286"/>
      <c r="OR34" s="286"/>
      <c r="OS34" s="279" t="s">
        <v>37</v>
      </c>
      <c r="OT34" s="286" t="e">
        <f>'Data-temp_employment'!#REF!-last_qrtr_tempemp!OU34</f>
        <v>#REF!</v>
      </c>
      <c r="OU34" s="286">
        <f>'Data-temp_employment'!OT34-last_qrtr_tempemp!OV34</f>
        <v>0.4</v>
      </c>
      <c r="OV34" s="286">
        <f>'Data-temp_employment'!OU34-last_qrtr_tempemp!OW34</f>
        <v>0.4</v>
      </c>
      <c r="OW34" s="286">
        <f>'Data-temp_employment'!OV34-last_qrtr_tempemp!OX34</f>
        <v>1.1000000000000001</v>
      </c>
      <c r="OX34" s="286">
        <f>'Data-temp_employment'!OW34-last_qrtr_tempemp!OY34</f>
        <v>0.8</v>
      </c>
      <c r="OY34" s="286">
        <f>'Data-temp_employment'!OX34-last_qrtr_tempemp!OZ34</f>
        <v>0.7</v>
      </c>
      <c r="OZ34" s="286">
        <f>'Data-temp_employment'!OY34-last_qrtr_tempemp!PA34</f>
        <v>0.4</v>
      </c>
      <c r="PA34" s="286">
        <f>'Data-temp_employment'!OZ34-last_qrtr_tempemp!PB34</f>
        <v>0.6</v>
      </c>
      <c r="PB34" s="286">
        <f>'Data-temp_employment'!PA34-last_qrtr_tempemp!PC34</f>
        <v>0.8</v>
      </c>
      <c r="PC34" s="286">
        <f>'Data-temp_employment'!PB34</f>
        <v>0.4</v>
      </c>
      <c r="PE34" s="319"/>
      <c r="PF34" s="319"/>
      <c r="PG34" s="319"/>
      <c r="PH34" s="319"/>
      <c r="PI34" s="319"/>
      <c r="PJ34" s="319"/>
      <c r="PK34" s="319"/>
      <c r="PL34" s="319"/>
      <c r="PM34" s="319"/>
      <c r="PN34" s="319"/>
      <c r="PO34" s="319"/>
      <c r="PP34" s="319"/>
      <c r="PQ34" s="319"/>
      <c r="PR34" s="319"/>
      <c r="PS34" s="319"/>
      <c r="PT34" s="319"/>
      <c r="PU34" s="319"/>
      <c r="PV34" s="319"/>
      <c r="PW34" s="319"/>
      <c r="PX34" s="319"/>
      <c r="PY34" s="319"/>
      <c r="PZ34" s="319"/>
      <c r="QA34" s="319"/>
      <c r="QB34" s="319"/>
      <c r="QC34" s="319"/>
      <c r="QD34" s="319"/>
      <c r="QE34" s="319"/>
      <c r="QF34" s="319"/>
      <c r="QG34" s="319"/>
      <c r="QH34" s="319"/>
      <c r="QI34" s="319"/>
      <c r="QJ34" s="319"/>
      <c r="QK34" s="319"/>
      <c r="QL34" s="319"/>
      <c r="QM34" s="319"/>
      <c r="QN34" s="319"/>
      <c r="QO34" s="319"/>
      <c r="QP34" s="319"/>
      <c r="QQ34" s="319"/>
      <c r="QR34" s="319"/>
      <c r="QS34" s="319"/>
      <c r="QT34" s="319"/>
      <c r="QU34" s="319"/>
      <c r="QV34" s="319"/>
      <c r="QW34" s="319"/>
      <c r="QX34" s="319"/>
      <c r="QY34" s="319"/>
      <c r="QZ34" s="319"/>
      <c r="RA34" s="319"/>
      <c r="RB34" s="319"/>
      <c r="RC34" s="319"/>
      <c r="RD34" s="319"/>
      <c r="RE34" s="319"/>
      <c r="RF34" s="319"/>
      <c r="RG34" s="319"/>
      <c r="RH34" s="319"/>
      <c r="RI34" s="319"/>
      <c r="RJ34" s="319"/>
      <c r="RK34" s="319"/>
      <c r="RL34" s="319"/>
      <c r="RM34" s="319"/>
      <c r="RN34" s="319"/>
      <c r="RO34" s="319"/>
      <c r="RP34" s="319"/>
    </row>
    <row r="35" spans="1:485" s="316" customFormat="1">
      <c r="A35" s="269">
        <v>32</v>
      </c>
      <c r="B35" s="285" t="s">
        <v>38</v>
      </c>
      <c r="C35" s="286">
        <f>'Data-temp_employment'!C35-last_qrtr_tempemp!D35</f>
        <v>-0.30000000000000004</v>
      </c>
      <c r="D35" s="286">
        <f>'Data-temp_employment'!D35-last_qrtr_tempemp!E35</f>
        <v>9.9999999999999867E-2</v>
      </c>
      <c r="E35" s="286">
        <f>'Data-temp_employment'!E35-last_qrtr_tempemp!F35</f>
        <v>0.19999999999999996</v>
      </c>
      <c r="F35" s="286">
        <f>'Data-temp_employment'!F35-last_qrtr_tempemp!G35</f>
        <v>-9.9999999999999867E-2</v>
      </c>
      <c r="G35" s="286">
        <f>'Data-temp_employment'!G35-last_qrtr_tempemp!H35</f>
        <v>-0.19999999999999996</v>
      </c>
      <c r="H35" s="286">
        <f>'Data-temp_employment'!H35-last_qrtr_tempemp!I35</f>
        <v>-0.19999999999999996</v>
      </c>
      <c r="I35" s="286">
        <f>'Data-temp_employment'!I35-last_qrtr_tempemp!J35</f>
        <v>-0.10000000000000009</v>
      </c>
      <c r="J35" s="286">
        <f>'Data-temp_employment'!J35-last_qrtr_tempemp!K35</f>
        <v>0</v>
      </c>
      <c r="K35" s="286">
        <f>'Data-temp_employment'!K35-last_qrtr_tempemp!L35</f>
        <v>0</v>
      </c>
      <c r="L35" s="286">
        <f>'Data-temp_employment'!L35</f>
        <v>1</v>
      </c>
      <c r="M35" s="285" t="s">
        <v>38</v>
      </c>
      <c r="N35" s="286">
        <f>'Data-temp_employment'!N35-last_qrtr_tempemp!O35</f>
        <v>-18.099999999999994</v>
      </c>
      <c r="O35" s="286">
        <f>'Data-temp_employment'!O35-last_qrtr_tempemp!P35</f>
        <v>9.3999999999999915</v>
      </c>
      <c r="P35" s="286">
        <f>'Data-temp_employment'!P35-last_qrtr_tempemp!Q35</f>
        <v>12.099999999999994</v>
      </c>
      <c r="Q35" s="286">
        <f>'Data-temp_employment'!Q35-last_qrtr_tempemp!R35</f>
        <v>-1.2000000000000028</v>
      </c>
      <c r="R35" s="286">
        <f>'Data-temp_employment'!R35-last_qrtr_tempemp!S35</f>
        <v>-14.599999999999994</v>
      </c>
      <c r="S35" s="286">
        <f>'Data-temp_employment'!S35-last_qrtr_tempemp!T35</f>
        <v>-14.699999999999989</v>
      </c>
      <c r="T35" s="286">
        <f>'Data-temp_employment'!T35-last_qrtr_tempemp!U35</f>
        <v>-2.9000000000000057</v>
      </c>
      <c r="U35" s="286">
        <f>'Data-temp_employment'!U35-last_qrtr_tempemp!V35</f>
        <v>5.7999999999999972</v>
      </c>
      <c r="V35" s="286">
        <f>'Data-temp_employment'!V35-last_qrtr_tempemp!W35</f>
        <v>1</v>
      </c>
      <c r="W35" s="286">
        <f>'Data-temp_employment'!W35</f>
        <v>66.900000000000006</v>
      </c>
      <c r="X35" s="285" t="s">
        <v>38</v>
      </c>
      <c r="Y35" s="286">
        <f>'Data-temp_employment'!Y35-last_qrtr_tempemp!Z35</f>
        <v>0</v>
      </c>
      <c r="Z35" s="286">
        <f>'Data-temp_employment'!Z35-last_qrtr_tempemp!AA35</f>
        <v>0</v>
      </c>
      <c r="AA35" s="286">
        <f>'Data-temp_employment'!AA35-last_qrtr_tempemp!AB35</f>
        <v>0</v>
      </c>
      <c r="AB35" s="286">
        <f>'Data-temp_employment'!AB35-last_qrtr_tempemp!AC35</f>
        <v>0</v>
      </c>
      <c r="AC35" s="286">
        <f>'Data-temp_employment'!AC35-last_qrtr_tempemp!AD35</f>
        <v>0</v>
      </c>
      <c r="AD35" s="286">
        <f>'Data-temp_employment'!AD35-last_qrtr_tempemp!AE35</f>
        <v>0</v>
      </c>
      <c r="AE35" s="286">
        <f>'Data-temp_employment'!AE35-last_qrtr_tempemp!AF35</f>
        <v>0</v>
      </c>
      <c r="AF35" s="286">
        <f>'Data-temp_employment'!AF35-last_qrtr_tempemp!AG35</f>
        <v>0</v>
      </c>
      <c r="AG35" s="286">
        <f>'Data-temp_employment'!AG35-last_qrtr_tempemp!AH35</f>
        <v>0</v>
      </c>
      <c r="AH35" s="286">
        <f>'Data-temp_employment'!AH35</f>
        <v>0</v>
      </c>
      <c r="AI35" s="285" t="s">
        <v>38</v>
      </c>
      <c r="AJ35" s="286">
        <f>'Data-temp_employment'!AJ35-last_qrtr_tempemp!AK35</f>
        <v>-15.4</v>
      </c>
      <c r="AK35" s="286">
        <f>'Data-temp_employment'!AK35-last_qrtr_tempemp!AL35</f>
        <v>-3</v>
      </c>
      <c r="AL35" s="286">
        <f>'Data-temp_employment'!AL35-last_qrtr_tempemp!AM35</f>
        <v>6</v>
      </c>
      <c r="AM35" s="286">
        <f>'Data-temp_employment'!AM35-last_qrtr_tempemp!AN35</f>
        <v>11.5</v>
      </c>
      <c r="AN35" s="286">
        <f>'Data-temp_employment'!AN35-last_qrtr_tempemp!AO35</f>
        <v>-3.9000000000000004</v>
      </c>
      <c r="AO35" s="286">
        <f>'Data-temp_employment'!AO35-last_qrtr_tempemp!AP35</f>
        <v>-6.6999999999999993</v>
      </c>
      <c r="AP35" s="286">
        <f>'Data-temp_employment'!AP35-last_qrtr_tempemp!AQ35</f>
        <v>4.4000000000000004</v>
      </c>
      <c r="AQ35" s="286">
        <f>'Data-temp_employment'!AQ35-last_qrtr_tempemp!AR35</f>
        <v>5.2000000000000011</v>
      </c>
      <c r="AR35" s="286">
        <f>'Data-temp_employment'!AR35-last_qrtr_tempemp!AS35</f>
        <v>1.6999999999999993</v>
      </c>
      <c r="AS35" s="286">
        <f>'Data-temp_employment'!AS35</f>
        <v>10.9</v>
      </c>
      <c r="AT35" s="285" t="s">
        <v>38</v>
      </c>
      <c r="AU35" s="286">
        <f>'Data-temp_employment'!AU35-last_qrtr_tempemp!AV35</f>
        <v>-15.100000000000001</v>
      </c>
      <c r="AV35" s="286">
        <f>'Data-temp_employment'!AV35-last_qrtr_tempemp!AW35</f>
        <v>-0.30000000000000071</v>
      </c>
      <c r="AW35" s="286">
        <f>'Data-temp_employment'!AW35-last_qrtr_tempemp!AX35</f>
        <v>-2.8999999999999986</v>
      </c>
      <c r="AX35" s="286">
        <f>'Data-temp_employment'!AX35-last_qrtr_tempemp!AY35</f>
        <v>3.8999999999999986</v>
      </c>
      <c r="AY35" s="286">
        <f>'Data-temp_employment'!AY35-last_qrtr_tempemp!AZ35</f>
        <v>-8</v>
      </c>
      <c r="AZ35" s="286">
        <f>'Data-temp_employment'!AZ35-last_qrtr_tempemp!BA35</f>
        <v>-4.3000000000000007</v>
      </c>
      <c r="BA35" s="286">
        <f>'Data-temp_employment'!BA35-last_qrtr_tempemp!BB35</f>
        <v>0.5</v>
      </c>
      <c r="BB35" s="286">
        <f>'Data-temp_employment'!BB35-last_qrtr_tempemp!BC35</f>
        <v>5.8999999999999986</v>
      </c>
      <c r="BC35" s="286">
        <f>'Data-temp_employment'!BC35-last_qrtr_tempemp!BD35</f>
        <v>0.69999999999999929</v>
      </c>
      <c r="BD35" s="286">
        <f>'Data-temp_employment'!BD35</f>
        <v>22.4</v>
      </c>
      <c r="BE35" s="285" t="s">
        <v>38</v>
      </c>
      <c r="BF35" s="286">
        <f>'Data-temp_employment'!BF35-last_qrtr_tempemp!BG35</f>
        <v>6</v>
      </c>
      <c r="BG35" s="286">
        <f>'Data-temp_employment'!BG35-last_qrtr_tempemp!BH35</f>
        <v>9.7999999999999972</v>
      </c>
      <c r="BH35" s="286">
        <f>'Data-temp_employment'!BH35-last_qrtr_tempemp!BI35</f>
        <v>4.3000000000000043</v>
      </c>
      <c r="BI35" s="286">
        <f>'Data-temp_employment'!BI35-last_qrtr_tempemp!BJ35</f>
        <v>-8.1000000000000014</v>
      </c>
      <c r="BJ35" s="286">
        <f>'Data-temp_employment'!BJ35-last_qrtr_tempemp!BK35</f>
        <v>-0.5</v>
      </c>
      <c r="BK35" s="286">
        <f>'Data-temp_employment'!BK35-last_qrtr_tempemp!BL35</f>
        <v>3.2999999999999972</v>
      </c>
      <c r="BL35" s="286">
        <f>'Data-temp_employment'!BL35-last_qrtr_tempemp!BM35</f>
        <v>-6.7999999999999972</v>
      </c>
      <c r="BM35" s="286">
        <f>'Data-temp_employment'!BM35-last_qrtr_tempemp!BN35</f>
        <v>-4</v>
      </c>
      <c r="BN35" s="286">
        <f>'Data-temp_employment'!BN35-last_qrtr_tempemp!BO35</f>
        <v>-1.2999999999999972</v>
      </c>
      <c r="BO35" s="286">
        <f>'Data-temp_employment'!BO35</f>
        <v>25.6</v>
      </c>
      <c r="BP35" s="285" t="s">
        <v>38</v>
      </c>
      <c r="BQ35" s="286">
        <f>'Data-temp_employment'!BQ35-last_qrtr_tempemp!BR35</f>
        <v>0</v>
      </c>
      <c r="BR35" s="286">
        <f>'Data-temp_employment'!BR35-last_qrtr_tempemp!BS35</f>
        <v>0</v>
      </c>
      <c r="BS35" s="286">
        <f>'Data-temp_employment'!BS35-last_qrtr_tempemp!BT35</f>
        <v>0</v>
      </c>
      <c r="BT35" s="286">
        <f>'Data-temp_employment'!BT35-last_qrtr_tempemp!BU35</f>
        <v>0</v>
      </c>
      <c r="BU35" s="286">
        <f>'Data-temp_employment'!BU35-last_qrtr_tempemp!BV35</f>
        <v>0</v>
      </c>
      <c r="BV35" s="286">
        <f>'Data-temp_employment'!BV35-last_qrtr_tempemp!BW35</f>
        <v>0</v>
      </c>
      <c r="BW35" s="286">
        <f>'Data-temp_employment'!BW35-last_qrtr_tempemp!BX35</f>
        <v>0</v>
      </c>
      <c r="BX35" s="286">
        <f>'Data-temp_employment'!BX35-last_qrtr_tempemp!BY35</f>
        <v>0</v>
      </c>
      <c r="BY35" s="286">
        <f>'Data-temp_employment'!BY35-last_qrtr_tempemp!BZ35</f>
        <v>0</v>
      </c>
      <c r="BZ35" s="286">
        <f>'Data-temp_employment'!BZ35</f>
        <v>0</v>
      </c>
      <c r="CA35" s="200" t="s">
        <v>38</v>
      </c>
      <c r="CB35" s="286">
        <f>'Data-temp_employment'!CB35-last_qrtr_tempemp!CC35</f>
        <v>0</v>
      </c>
      <c r="CC35" s="286">
        <f>'Data-temp_employment'!CC35-last_qrtr_tempemp!CD35</f>
        <v>0</v>
      </c>
      <c r="CD35" s="286">
        <f>'Data-temp_employment'!CD35-last_qrtr_tempemp!CE35</f>
        <v>0</v>
      </c>
      <c r="CE35" s="286">
        <f>'Data-temp_employment'!CE35-last_qrtr_tempemp!CF35</f>
        <v>0</v>
      </c>
      <c r="CF35" s="286">
        <f>'Data-temp_employment'!CF35-last_qrtr_tempemp!CG35</f>
        <v>0</v>
      </c>
      <c r="CG35" s="286">
        <f>'Data-temp_employment'!CG35-last_qrtr_tempemp!CH35</f>
        <v>0</v>
      </c>
      <c r="CH35" s="286">
        <f>'Data-temp_employment'!CH35-last_qrtr_tempemp!CI35</f>
        <v>0</v>
      </c>
      <c r="CI35" s="286">
        <f>'Data-temp_employment'!CI35-last_qrtr_tempemp!CJ35</f>
        <v>0</v>
      </c>
      <c r="CJ35" s="286">
        <f>'Data-temp_employment'!CJ35-last_qrtr_tempemp!CK35</f>
        <v>0</v>
      </c>
      <c r="CK35" s="286">
        <f>'Data-temp_employment'!CK35</f>
        <v>0</v>
      </c>
      <c r="CL35" s="317" t="s">
        <v>38</v>
      </c>
      <c r="CM35" s="286">
        <f>'Data-temp_employment'!CM35-last_qrtr_tempemp!CN35</f>
        <v>-1.3000000000000007</v>
      </c>
      <c r="CN35" s="286">
        <f>'Data-temp_employment'!CN35-last_qrtr_tempemp!CO35</f>
        <v>5</v>
      </c>
      <c r="CO35" s="286">
        <f>'Data-temp_employment'!CO35-last_qrtr_tempemp!CP35</f>
        <v>1.8999999999999986</v>
      </c>
      <c r="CP35" s="286">
        <f>'Data-temp_employment'!CP35-last_qrtr_tempemp!CQ35</f>
        <v>-4</v>
      </c>
      <c r="CQ35" s="286">
        <f>'Data-temp_employment'!CQ35-last_qrtr_tempemp!CR35</f>
        <v>-5.3000000000000007</v>
      </c>
      <c r="CR35" s="286">
        <f>'Data-temp_employment'!CR35-last_qrtr_tempemp!CS35</f>
        <v>0</v>
      </c>
      <c r="CS35" s="286">
        <f>'Data-temp_employment'!CS35-last_qrtr_tempemp!CT35</f>
        <v>0.80000000000000071</v>
      </c>
      <c r="CT35" s="286">
        <f>'Data-temp_employment'!CT35-last_qrtr_tempemp!CU35</f>
        <v>2.6000000000000014</v>
      </c>
      <c r="CU35" s="286">
        <f>'Data-temp_employment'!CU35-last_qrtr_tempemp!CV35</f>
        <v>-2.8000000000000007</v>
      </c>
      <c r="CV35" s="286">
        <f>'Data-temp_employment'!CV35</f>
        <v>22.4</v>
      </c>
      <c r="CW35" s="317" t="s">
        <v>38</v>
      </c>
      <c r="CX35" s="286">
        <f>'Data-temp_employment'!CX35-last_qrtr_tempemp!CY35</f>
        <v>-14.800000000000004</v>
      </c>
      <c r="CY35" s="286">
        <f>'Data-temp_employment'!CY35-last_qrtr_tempemp!CZ35</f>
        <v>1.8000000000000043</v>
      </c>
      <c r="CZ35" s="286">
        <f>'Data-temp_employment'!CZ35-last_qrtr_tempemp!DA35</f>
        <v>11.299999999999997</v>
      </c>
      <c r="DA35" s="286">
        <f>'Data-temp_employment'!DA35-last_qrtr_tempemp!DB35</f>
        <v>4</v>
      </c>
      <c r="DB35" s="286">
        <f>'Data-temp_employment'!DB35-last_qrtr_tempemp!DC35</f>
        <v>-6.2000000000000028</v>
      </c>
      <c r="DC35" s="286">
        <f>'Data-temp_employment'!DC35-last_qrtr_tempemp!DD35</f>
        <v>-14.099999999999994</v>
      </c>
      <c r="DD35" s="286">
        <f>'Data-temp_employment'!DD35-last_qrtr_tempemp!DE35</f>
        <v>-3.6000000000000014</v>
      </c>
      <c r="DE35" s="286">
        <f>'Data-temp_employment'!DE35-last_qrtr_tempemp!DF35</f>
        <v>0.80000000000000426</v>
      </c>
      <c r="DF35" s="286">
        <f>'Data-temp_employment'!DF35-last_qrtr_tempemp!DG35</f>
        <v>5.0999999999999943</v>
      </c>
      <c r="DG35" s="286">
        <f>'Data-temp_employment'!DG35</f>
        <v>40.799999999999997</v>
      </c>
      <c r="DH35" s="317" t="s">
        <v>38</v>
      </c>
      <c r="DI35" s="286">
        <f>'Data-temp_employment'!DI35-last_qrtr_tempemp!DJ35</f>
        <v>-8.8000000000000007</v>
      </c>
      <c r="DJ35" s="286">
        <f>'Data-temp_employment'!DJ35-last_qrtr_tempemp!DK35</f>
        <v>0</v>
      </c>
      <c r="DK35" s="286">
        <f>'Data-temp_employment'!DK35-last_qrtr_tempemp!DL35</f>
        <v>-7.9</v>
      </c>
      <c r="DL35" s="286">
        <f>'Data-temp_employment'!DL35-last_qrtr_tempemp!DM35</f>
        <v>-6.8</v>
      </c>
      <c r="DM35" s="286">
        <f>'Data-temp_employment'!DM35-last_qrtr_tempemp!DN35</f>
        <v>-7.2</v>
      </c>
      <c r="DN35" s="286">
        <f>'Data-temp_employment'!DN35-last_qrtr_tempemp!DO35</f>
        <v>-6.7</v>
      </c>
      <c r="DO35" s="286">
        <f>'Data-temp_employment'!DO35-last_qrtr_tempemp!DP35</f>
        <v>0</v>
      </c>
      <c r="DP35" s="286">
        <f>'Data-temp_employment'!DP35-last_qrtr_tempemp!DQ35</f>
        <v>0</v>
      </c>
      <c r="DQ35" s="286">
        <f>'Data-temp_employment'!DQ35-last_qrtr_tempemp!DR35</f>
        <v>0</v>
      </c>
      <c r="DR35" s="286">
        <f>'Data-temp_employment'!DR35</f>
        <v>0</v>
      </c>
      <c r="DS35" s="317" t="s">
        <v>38</v>
      </c>
      <c r="DT35" s="286">
        <f>'Data-temp_employment'!DT35-last_qrtr_tempemp!DU35</f>
        <v>0</v>
      </c>
      <c r="DU35" s="286">
        <f>'Data-temp_employment'!DU35-last_qrtr_tempemp!DV35</f>
        <v>0</v>
      </c>
      <c r="DV35" s="286">
        <f>'Data-temp_employment'!DV35-last_qrtr_tempemp!DW35</f>
        <v>0</v>
      </c>
      <c r="DW35" s="286">
        <f>'Data-temp_employment'!DW35-last_qrtr_tempemp!DX35</f>
        <v>0</v>
      </c>
      <c r="DX35" s="286">
        <f>'Data-temp_employment'!DX35-last_qrtr_tempemp!DY35</f>
        <v>0</v>
      </c>
      <c r="DY35" s="286">
        <f>'Data-temp_employment'!DY35-last_qrtr_tempemp!DZ35</f>
        <v>0</v>
      </c>
      <c r="DZ35" s="286">
        <f>'Data-temp_employment'!DZ35-last_qrtr_tempemp!EA35</f>
        <v>0</v>
      </c>
      <c r="EA35" s="286">
        <f>'Data-temp_employment'!EA35-last_qrtr_tempemp!EB35</f>
        <v>0</v>
      </c>
      <c r="EB35" s="286">
        <f>'Data-temp_employment'!EB35-last_qrtr_tempemp!EC35</f>
        <v>0</v>
      </c>
      <c r="EC35" s="286">
        <f>'Data-temp_employment'!EC35</f>
        <v>0</v>
      </c>
      <c r="ED35" s="201" t="s">
        <v>38</v>
      </c>
      <c r="EE35" s="286">
        <f>'Data-temp_employment'!EE35-last_qrtr_tempemp!EF35</f>
        <v>0</v>
      </c>
      <c r="EF35" s="286">
        <f>'Data-temp_employment'!EF35-last_qrtr_tempemp!EG35</f>
        <v>0</v>
      </c>
      <c r="EG35" s="286">
        <f>'Data-temp_employment'!EG35-last_qrtr_tempemp!EH35</f>
        <v>0</v>
      </c>
      <c r="EH35" s="286">
        <f>'Data-temp_employment'!EH35-last_qrtr_tempemp!EI35</f>
        <v>0</v>
      </c>
      <c r="EI35" s="286">
        <f>'Data-temp_employment'!EI35-last_qrtr_tempemp!EJ35</f>
        <v>0</v>
      </c>
      <c r="EJ35" s="286">
        <f>'Data-temp_employment'!EJ35-last_qrtr_tempemp!EK35</f>
        <v>0</v>
      </c>
      <c r="EK35" s="286">
        <f>'Data-temp_employment'!EK35-last_qrtr_tempemp!EL35</f>
        <v>0</v>
      </c>
      <c r="EL35" s="286">
        <f>'Data-temp_employment'!EL35-last_qrtr_tempemp!EM35</f>
        <v>0</v>
      </c>
      <c r="EM35" s="286">
        <f>'Data-temp_employment'!EM35-last_qrtr_tempemp!EN35</f>
        <v>0</v>
      </c>
      <c r="EN35" s="286">
        <f>'Data-temp_employment'!EN35</f>
        <v>0</v>
      </c>
      <c r="EO35" s="201" t="s">
        <v>38</v>
      </c>
      <c r="EP35" s="286">
        <f>'Data-temp_employment'!EP35-last_qrtr_tempemp!EQ35</f>
        <v>0</v>
      </c>
      <c r="EQ35" s="286">
        <f>'Data-temp_employment'!EQ35-last_qrtr_tempemp!ER35</f>
        <v>0</v>
      </c>
      <c r="ER35" s="286">
        <f>'Data-temp_employment'!ER35-last_qrtr_tempemp!ES35</f>
        <v>0</v>
      </c>
      <c r="ES35" s="286">
        <f>'Data-temp_employment'!ES35-last_qrtr_tempemp!ET35</f>
        <v>0</v>
      </c>
      <c r="ET35" s="286">
        <f>'Data-temp_employment'!ET35-last_qrtr_tempemp!EU35</f>
        <v>0</v>
      </c>
      <c r="EU35" s="286">
        <f>'Data-temp_employment'!EU35-last_qrtr_tempemp!EV35</f>
        <v>0</v>
      </c>
      <c r="EV35" s="286">
        <f>'Data-temp_employment'!EV35-last_qrtr_tempemp!EW35</f>
        <v>0</v>
      </c>
      <c r="EW35" s="286">
        <f>'Data-temp_employment'!EW35-last_qrtr_tempemp!EX35</f>
        <v>0</v>
      </c>
      <c r="EX35" s="286">
        <f>'Data-temp_employment'!EX35-last_qrtr_tempemp!EY35</f>
        <v>0</v>
      </c>
      <c r="EY35" s="286">
        <f>'Data-temp_employment'!EY35</f>
        <v>0</v>
      </c>
      <c r="EZ35" s="201" t="s">
        <v>38</v>
      </c>
      <c r="FA35" s="286">
        <f>'Data-temp_employment'!FA35-last_qrtr_tempemp!FB35</f>
        <v>0</v>
      </c>
      <c r="FB35" s="286">
        <f>'Data-temp_employment'!FB35-last_qrtr_tempemp!FC35</f>
        <v>0</v>
      </c>
      <c r="FC35" s="286">
        <f>'Data-temp_employment'!FC35-last_qrtr_tempemp!FD35</f>
        <v>0</v>
      </c>
      <c r="FD35" s="286">
        <f>'Data-temp_employment'!FD35-last_qrtr_tempemp!FE35</f>
        <v>0</v>
      </c>
      <c r="FE35" s="286">
        <f>'Data-temp_employment'!FE35-last_qrtr_tempemp!FF35</f>
        <v>0</v>
      </c>
      <c r="FF35" s="286">
        <f>'Data-temp_employment'!FF35-last_qrtr_tempemp!FG35</f>
        <v>0</v>
      </c>
      <c r="FG35" s="286">
        <f>'Data-temp_employment'!FG35-last_qrtr_tempemp!FH35</f>
        <v>0</v>
      </c>
      <c r="FH35" s="286">
        <f>'Data-temp_employment'!FH35-last_qrtr_tempemp!FI35</f>
        <v>0</v>
      </c>
      <c r="FI35" s="286">
        <f>'Data-temp_employment'!FI35-last_qrtr_tempemp!FJ35</f>
        <v>0</v>
      </c>
      <c r="FJ35" s="286">
        <f>'Data-temp_employment'!FJ35</f>
        <v>0</v>
      </c>
      <c r="FK35" s="201" t="s">
        <v>38</v>
      </c>
      <c r="FL35" s="286">
        <f>'Data-temp_employment'!FL35-last_qrtr_tempemp!FM35</f>
        <v>0</v>
      </c>
      <c r="FM35" s="286">
        <f>'Data-temp_employment'!FM35-last_qrtr_tempemp!FN35</f>
        <v>0</v>
      </c>
      <c r="FN35" s="286">
        <f>'Data-temp_employment'!FN35-last_qrtr_tempemp!FO35</f>
        <v>0</v>
      </c>
      <c r="FO35" s="286">
        <f>'Data-temp_employment'!FO35-last_qrtr_tempemp!FP35</f>
        <v>0</v>
      </c>
      <c r="FP35" s="286">
        <f>'Data-temp_employment'!FP35-last_qrtr_tempemp!FQ35</f>
        <v>0</v>
      </c>
      <c r="FQ35" s="286">
        <f>'Data-temp_employment'!FQ35-last_qrtr_tempemp!FR35</f>
        <v>0</v>
      </c>
      <c r="FR35" s="286">
        <f>'Data-temp_employment'!FR35-last_qrtr_tempemp!FS35</f>
        <v>0</v>
      </c>
      <c r="FS35" s="286">
        <f>'Data-temp_employment'!FS35-last_qrtr_tempemp!FT35</f>
        <v>0</v>
      </c>
      <c r="FT35" s="286">
        <f>'Data-temp_employment'!FT35-last_qrtr_tempemp!FU35</f>
        <v>0</v>
      </c>
      <c r="FU35" s="286">
        <f>'Data-temp_employment'!FU35</f>
        <v>0</v>
      </c>
      <c r="FV35" s="201" t="s">
        <v>38</v>
      </c>
      <c r="FW35" s="286">
        <f>'Data-temp_employment'!FW35-last_qrtr_tempemp!FX35</f>
        <v>-1.4000000000000004</v>
      </c>
      <c r="FX35" s="286">
        <f>'Data-temp_employment'!FX35-last_qrtr_tempemp!FY35</f>
        <v>4</v>
      </c>
      <c r="FY35" s="286">
        <f>'Data-temp_employment'!FY35-last_qrtr_tempemp!FZ35</f>
        <v>1.5999999999999996</v>
      </c>
      <c r="FZ35" s="286">
        <f>'Data-temp_employment'!FZ35-last_qrtr_tempemp!GA35</f>
        <v>-3.4000000000000004</v>
      </c>
      <c r="GA35" s="286">
        <f>'Data-temp_employment'!GA35-last_qrtr_tempemp!GB35</f>
        <v>-0.40000000000000036</v>
      </c>
      <c r="GB35" s="286">
        <f>'Data-temp_employment'!GB35-last_qrtr_tempemp!GC35</f>
        <v>-1.5</v>
      </c>
      <c r="GC35" s="286">
        <f>'Data-temp_employment'!GC35-last_qrtr_tempemp!GD35</f>
        <v>5.5</v>
      </c>
      <c r="GD35" s="286">
        <f>'Data-temp_employment'!GD35-last_qrtr_tempemp!GE35</f>
        <v>2.5999999999999996</v>
      </c>
      <c r="GE35" s="286">
        <f>'Data-temp_employment'!GE35-last_qrtr_tempemp!GF35</f>
        <v>3.5999999999999996</v>
      </c>
      <c r="GF35" s="286">
        <f>'Data-temp_employment'!GF35</f>
        <v>10.5</v>
      </c>
      <c r="GG35" s="201" t="s">
        <v>38</v>
      </c>
      <c r="GH35" s="286">
        <f>'Data-temp_employment'!GH35-last_qrtr_tempemp!GI35</f>
        <v>1.8000000000000007</v>
      </c>
      <c r="GI35" s="286">
        <f>'Data-temp_employment'!GI35-last_qrtr_tempemp!GJ35</f>
        <v>4.8000000000000007</v>
      </c>
      <c r="GJ35" s="286">
        <f>'Data-temp_employment'!GJ35-last_qrtr_tempemp!GK35</f>
        <v>3.6000000000000014</v>
      </c>
      <c r="GK35" s="286">
        <f>'Data-temp_employment'!GK35-last_qrtr_tempemp!GL35</f>
        <v>2.7999999999999989</v>
      </c>
      <c r="GL35" s="286">
        <f>'Data-temp_employment'!GL35-last_qrtr_tempemp!GM35</f>
        <v>-4.8000000000000007</v>
      </c>
      <c r="GM35" s="286">
        <f>'Data-temp_employment'!GM35-last_qrtr_tempemp!GN35</f>
        <v>-1.9000000000000004</v>
      </c>
      <c r="GN35" s="286">
        <f>'Data-temp_employment'!GN35-last_qrtr_tempemp!GO35</f>
        <v>2.5999999999999996</v>
      </c>
      <c r="GO35" s="286">
        <f>'Data-temp_employment'!GO35-last_qrtr_tempemp!GP35</f>
        <v>5.3000000000000007</v>
      </c>
      <c r="GP35" s="286">
        <f>'Data-temp_employment'!GP35-last_qrtr_tempemp!GQ35</f>
        <v>-2.4000000000000004</v>
      </c>
      <c r="GQ35" s="286">
        <f>'Data-temp_employment'!GQ35</f>
        <v>10</v>
      </c>
      <c r="GR35" s="201" t="s">
        <v>38</v>
      </c>
      <c r="GS35" s="286">
        <f>'Data-temp_employment'!GS35-last_qrtr_tempemp!GT35</f>
        <v>1.6000000000000014</v>
      </c>
      <c r="GT35" s="286">
        <f>'Data-temp_employment'!GT35-last_qrtr_tempemp!GU35</f>
        <v>4.5999999999999979</v>
      </c>
      <c r="GU35" s="286">
        <f>'Data-temp_employment'!GU35-last_qrtr_tempemp!GV35</f>
        <v>2.5999999999999979</v>
      </c>
      <c r="GV35" s="286">
        <f>'Data-temp_employment'!GV35-last_qrtr_tempemp!GW35</f>
        <v>2.5</v>
      </c>
      <c r="GW35" s="286">
        <f>'Data-temp_employment'!GW35-last_qrtr_tempemp!GX35</f>
        <v>-2.8999999999999986</v>
      </c>
      <c r="GX35" s="286">
        <f>'Data-temp_employment'!GX35-last_qrtr_tempemp!GY35</f>
        <v>-4.5</v>
      </c>
      <c r="GY35" s="286">
        <f>'Data-temp_employment'!GY35-last_qrtr_tempemp!GZ35</f>
        <v>-7.6999999999999993</v>
      </c>
      <c r="GZ35" s="286">
        <f>'Data-temp_employment'!GZ35-last_qrtr_tempemp!HA35</f>
        <v>1.8000000000000007</v>
      </c>
      <c r="HA35" s="286">
        <f>'Data-temp_employment'!HA35-last_qrtr_tempemp!HB35</f>
        <v>4.3000000000000007</v>
      </c>
      <c r="HB35" s="286">
        <f>'Data-temp_employment'!HB35</f>
        <v>17.5</v>
      </c>
      <c r="HC35" s="201" t="s">
        <v>38</v>
      </c>
      <c r="HD35" s="286">
        <f>'Data-temp_employment'!HD35-last_qrtr_tempemp!HE35</f>
        <v>0</v>
      </c>
      <c r="HE35" s="286">
        <f>'Data-temp_employment'!HE35-last_qrtr_tempemp!HF35</f>
        <v>0</v>
      </c>
      <c r="HF35" s="286">
        <f>'Data-temp_employment'!HF35-last_qrtr_tempemp!HG35</f>
        <v>0</v>
      </c>
      <c r="HG35" s="286">
        <f>'Data-temp_employment'!HG35-last_qrtr_tempemp!HH35</f>
        <v>0</v>
      </c>
      <c r="HH35" s="286">
        <f>'Data-temp_employment'!HH35-last_qrtr_tempemp!HI35</f>
        <v>0</v>
      </c>
      <c r="HI35" s="286">
        <f>'Data-temp_employment'!HI35-last_qrtr_tempemp!HJ35</f>
        <v>0</v>
      </c>
      <c r="HJ35" s="286">
        <f>'Data-temp_employment'!HJ35-last_qrtr_tempemp!HK35</f>
        <v>0</v>
      </c>
      <c r="HK35" s="286">
        <f>'Data-temp_employment'!HK35-last_qrtr_tempemp!HL35</f>
        <v>0</v>
      </c>
      <c r="HL35" s="286">
        <f>'Data-temp_employment'!HL35-last_qrtr_tempemp!HM35</f>
        <v>0</v>
      </c>
      <c r="HM35" s="286">
        <f>'Data-temp_employment'!HM35</f>
        <v>0</v>
      </c>
      <c r="HN35" s="201" t="s">
        <v>38</v>
      </c>
      <c r="HO35" s="286">
        <f>'Data-temp_employment'!HO35-last_qrtr_tempemp!HP35</f>
        <v>-17.399999999999999</v>
      </c>
      <c r="HP35" s="286">
        <f>'Data-temp_employment'!HP35-last_qrtr_tempemp!HQ35</f>
        <v>-7</v>
      </c>
      <c r="HQ35" s="286">
        <f>'Data-temp_employment'!HQ35-last_qrtr_tempemp!HR35</f>
        <v>4.5</v>
      </c>
      <c r="HR35" s="286">
        <f>'Data-temp_employment'!HR35-last_qrtr_tempemp!HS35</f>
        <v>-2.8000000000000007</v>
      </c>
      <c r="HS35" s="286">
        <f>'Data-temp_employment'!HS35-last_qrtr_tempemp!HT35</f>
        <v>-3.6999999999999993</v>
      </c>
      <c r="HT35" s="286">
        <f>'Data-temp_employment'!HT35-last_qrtr_tempemp!HU35</f>
        <v>-5.1999999999999993</v>
      </c>
      <c r="HU35" s="286">
        <f>'Data-temp_employment'!HU35-last_qrtr_tempemp!HV35</f>
        <v>2.1999999999999993</v>
      </c>
      <c r="HV35" s="286">
        <f>'Data-temp_employment'!HV35-last_qrtr_tempemp!HW35</f>
        <v>-4.3999999999999986</v>
      </c>
      <c r="HW35" s="286">
        <f>'Data-temp_employment'!HW35-last_qrtr_tempemp!HX35</f>
        <v>-2.3000000000000007</v>
      </c>
      <c r="HX35" s="286">
        <f>'Data-temp_employment'!HX35</f>
        <v>22.5</v>
      </c>
      <c r="HY35" s="201" t="s">
        <v>38</v>
      </c>
      <c r="HZ35" s="286">
        <f>'Data-temp_employment'!HZ35-last_qrtr_tempemp!IA35</f>
        <v>0</v>
      </c>
      <c r="IA35" s="286">
        <f>'Data-temp_employment'!IA35-last_qrtr_tempemp!IB35</f>
        <v>0</v>
      </c>
      <c r="IB35" s="286">
        <f>'Data-temp_employment'!IB35-last_qrtr_tempemp!IC35</f>
        <v>0</v>
      </c>
      <c r="IC35" s="286">
        <f>'Data-temp_employment'!IC35-last_qrtr_tempemp!ID35</f>
        <v>0</v>
      </c>
      <c r="ID35" s="286">
        <f>'Data-temp_employment'!ID35-last_qrtr_tempemp!IE35</f>
        <v>0</v>
      </c>
      <c r="IE35" s="286">
        <f>'Data-temp_employment'!IE35-last_qrtr_tempemp!IF35</f>
        <v>0</v>
      </c>
      <c r="IF35" s="286">
        <f>'Data-temp_employment'!IF35-last_qrtr_tempemp!IG35</f>
        <v>0</v>
      </c>
      <c r="IG35" s="286">
        <f>'Data-temp_employment'!IG35-last_qrtr_tempemp!IH35</f>
        <v>0</v>
      </c>
      <c r="IH35" s="286">
        <f>'Data-temp_employment'!IH35-last_qrtr_tempemp!II35</f>
        <v>0</v>
      </c>
      <c r="II35" s="286">
        <f>'Data-temp_employment'!II35</f>
        <v>0</v>
      </c>
      <c r="IJ35" s="201" t="s">
        <v>38</v>
      </c>
      <c r="IK35" s="286">
        <f>'Data-temp_employment'!IK35-last_qrtr_tempemp!IL35</f>
        <v>0</v>
      </c>
      <c r="IL35" s="286">
        <f>'Data-temp_employment'!IL35-last_qrtr_tempemp!IM35</f>
        <v>0</v>
      </c>
      <c r="IM35" s="286">
        <f>'Data-temp_employment'!IM35-last_qrtr_tempemp!IN35</f>
        <v>0</v>
      </c>
      <c r="IN35" s="286">
        <f>'Data-temp_employment'!IN35-last_qrtr_tempemp!IO35</f>
        <v>0</v>
      </c>
      <c r="IO35" s="286">
        <f>'Data-temp_employment'!IO35-last_qrtr_tempemp!IP35</f>
        <v>0</v>
      </c>
      <c r="IP35" s="286">
        <f>'Data-temp_employment'!IP35-last_qrtr_tempemp!IQ35</f>
        <v>0</v>
      </c>
      <c r="IQ35" s="286">
        <f>'Data-temp_employment'!IQ35-last_qrtr_tempemp!IR35</f>
        <v>0</v>
      </c>
      <c r="IR35" s="286">
        <f>'Data-temp_employment'!IR35-last_qrtr_tempemp!IS35</f>
        <v>0</v>
      </c>
      <c r="IS35" s="286">
        <f>'Data-temp_employment'!IS35-last_qrtr_tempemp!IT35</f>
        <v>0</v>
      </c>
      <c r="IT35" s="286">
        <f>'Data-temp_employment'!IT35</f>
        <v>0</v>
      </c>
      <c r="IU35" s="279" t="s">
        <v>38</v>
      </c>
      <c r="IV35" s="286">
        <f>'Data-temp_employment'!IV35-last_qrtr_tempemp!IW35</f>
        <v>-8.6999999999999993</v>
      </c>
      <c r="IW35" s="286">
        <f>'Data-temp_employment'!IW35-last_qrtr_tempemp!IX35</f>
        <v>-3.0999999999999979</v>
      </c>
      <c r="IX35" s="286">
        <f>'Data-temp_employment'!IX35-last_qrtr_tempemp!IY35</f>
        <v>4.3999999999999986</v>
      </c>
      <c r="IY35" s="286">
        <f>'Data-temp_employment'!IY35-last_qrtr_tempemp!IZ35</f>
        <v>3.1999999999999993</v>
      </c>
      <c r="IZ35" s="286">
        <f>'Data-temp_employment'!IZ35-last_qrtr_tempemp!JA35</f>
        <v>-2.9000000000000004</v>
      </c>
      <c r="JA35" s="286">
        <f>'Data-temp_employment'!JA35-last_qrtr_tempemp!JB35</f>
        <v>-1.1999999999999993</v>
      </c>
      <c r="JB35" s="286">
        <f>'Data-temp_employment'!JB35-last_qrtr_tempemp!JC35</f>
        <v>10.3</v>
      </c>
      <c r="JC35" s="286">
        <f>'Data-temp_employment'!JC35-last_qrtr_tempemp!JD35</f>
        <v>7.9</v>
      </c>
      <c r="JD35" s="286">
        <f>'Data-temp_employment'!JD35-last_qrtr_tempemp!JE35</f>
        <v>-3.2999999999999989</v>
      </c>
      <c r="JE35" s="286">
        <f>'Data-temp_employment'!JE35</f>
        <v>20</v>
      </c>
      <c r="JF35" s="201" t="s">
        <v>38</v>
      </c>
      <c r="JG35" s="286">
        <f>'Data-temp_employment'!JG35-last_qrtr_tempemp!JH35</f>
        <v>0.90000000000000213</v>
      </c>
      <c r="JH35" s="286">
        <f>'Data-temp_employment'!JH35-last_qrtr_tempemp!JI35</f>
        <v>5.6999999999999993</v>
      </c>
      <c r="JI35" s="286">
        <f>'Data-temp_employment'!JI35-last_qrtr_tempemp!JJ35</f>
        <v>2.1999999999999993</v>
      </c>
      <c r="JJ35" s="286">
        <f>'Data-temp_employment'!JJ35-last_qrtr_tempemp!JK35</f>
        <v>-5.4</v>
      </c>
      <c r="JK35" s="286">
        <f>'Data-temp_employment'!JK35-last_qrtr_tempemp!JL35</f>
        <v>-3.6999999999999993</v>
      </c>
      <c r="JL35" s="286">
        <f>'Data-temp_employment'!JL35-last_qrtr_tempemp!JM35</f>
        <v>-0.19999999999999929</v>
      </c>
      <c r="JM35" s="286">
        <f>'Data-temp_employment'!JM35-last_qrtr_tempemp!JN35</f>
        <v>-3.8000000000000007</v>
      </c>
      <c r="JN35" s="286">
        <f>'Data-temp_employment'!JN35-last_qrtr_tempemp!JO35</f>
        <v>-0.59999999999999964</v>
      </c>
      <c r="JO35" s="286">
        <f>'Data-temp_employment'!JO35-last_qrtr_tempemp!JP35</f>
        <v>2.1999999999999993</v>
      </c>
      <c r="JP35" s="286">
        <f>'Data-temp_employment'!JP35</f>
        <v>10.1</v>
      </c>
      <c r="JQ35" s="201" t="s">
        <v>38</v>
      </c>
      <c r="JR35" s="286">
        <f>'Data-temp_employment'!JR35-last_qrtr_tempemp!JS35</f>
        <v>-2.8999999999999986</v>
      </c>
      <c r="JS35" s="286">
        <f>'Data-temp_employment'!JS35-last_qrtr_tempemp!JT35</f>
        <v>6.8000000000000007</v>
      </c>
      <c r="JT35" s="286">
        <f>'Data-temp_employment'!JT35-last_qrtr_tempemp!JU35</f>
        <v>7.3000000000000007</v>
      </c>
      <c r="JU35" s="286">
        <f>'Data-temp_employment'!JU35-last_qrtr_tempemp!JV35</f>
        <v>6.1999999999999993</v>
      </c>
      <c r="JV35" s="286">
        <f>'Data-temp_employment'!JV35-last_qrtr_tempemp!JW35</f>
        <v>-3.4000000000000021</v>
      </c>
      <c r="JW35" s="286">
        <f>'Data-temp_employment'!JW35-last_qrtr_tempemp!JX35</f>
        <v>-5.7000000000000028</v>
      </c>
      <c r="JX35" s="286">
        <f>'Data-temp_employment'!JX35-last_qrtr_tempemp!JY35</f>
        <v>-8.5</v>
      </c>
      <c r="JY35" s="286">
        <f>'Data-temp_employment'!JY35-last_qrtr_tempemp!JZ35</f>
        <v>-3.0999999999999979</v>
      </c>
      <c r="JZ35" s="286">
        <f>'Data-temp_employment'!JZ35-last_qrtr_tempemp!KA35</f>
        <v>-2.8999999999999986</v>
      </c>
      <c r="KA35" s="286">
        <f>'Data-temp_employment'!KA35</f>
        <v>11.7</v>
      </c>
      <c r="KB35" s="201" t="s">
        <v>38</v>
      </c>
      <c r="KC35" s="286">
        <f>'Data-temp_employment'!KC35-last_qrtr_tempemp!KD35</f>
        <v>0</v>
      </c>
      <c r="KD35" s="286">
        <f>'Data-temp_employment'!KD35-last_qrtr_tempemp!KE35</f>
        <v>0</v>
      </c>
      <c r="KE35" s="286">
        <f>'Data-temp_employment'!KE35-last_qrtr_tempemp!KF35</f>
        <v>0</v>
      </c>
      <c r="KF35" s="286">
        <f>'Data-temp_employment'!KF35-last_qrtr_tempemp!KG35</f>
        <v>0</v>
      </c>
      <c r="KG35" s="286">
        <f>'Data-temp_employment'!KG35-last_qrtr_tempemp!KH35</f>
        <v>0</v>
      </c>
      <c r="KH35" s="286">
        <f>'Data-temp_employment'!KH35-last_qrtr_tempemp!KI35</f>
        <v>0</v>
      </c>
      <c r="KI35" s="286">
        <f>'Data-temp_employment'!KI35-last_qrtr_tempemp!KJ35</f>
        <v>0</v>
      </c>
      <c r="KJ35" s="286">
        <f>'Data-temp_employment'!KJ35-last_qrtr_tempemp!KK35</f>
        <v>0</v>
      </c>
      <c r="KK35" s="286">
        <f>'Data-temp_employment'!KK35-last_qrtr_tempemp!KL35</f>
        <v>0</v>
      </c>
      <c r="KL35" s="286">
        <f>'Data-temp_employment'!KL35</f>
        <v>0</v>
      </c>
      <c r="KM35" s="201" t="s">
        <v>38</v>
      </c>
      <c r="KN35" s="286">
        <f>'Data-temp_employment'!KN35-last_qrtr_tempemp!KO35</f>
        <v>0</v>
      </c>
      <c r="KO35" s="286">
        <f>'Data-temp_employment'!KO35-last_qrtr_tempemp!KP35</f>
        <v>0</v>
      </c>
      <c r="KP35" s="286">
        <f>'Data-temp_employment'!KP35-last_qrtr_tempemp!KQ35</f>
        <v>0</v>
      </c>
      <c r="KQ35" s="286">
        <f>'Data-temp_employment'!KQ35-last_qrtr_tempemp!KR35</f>
        <v>0</v>
      </c>
      <c r="KR35" s="286">
        <f>'Data-temp_employment'!KR35-last_qrtr_tempemp!KS35</f>
        <v>0</v>
      </c>
      <c r="KS35" s="286">
        <f>'Data-temp_employment'!KS35-last_qrtr_tempemp!KT35</f>
        <v>0</v>
      </c>
      <c r="KT35" s="286">
        <f>'Data-temp_employment'!KT35-last_qrtr_tempemp!KU35</f>
        <v>0</v>
      </c>
      <c r="KU35" s="286">
        <f>'Data-temp_employment'!KU35-last_qrtr_tempemp!KV35</f>
        <v>0</v>
      </c>
      <c r="KV35" s="286">
        <f>'Data-temp_employment'!KV35-last_qrtr_tempemp!KW35</f>
        <v>0</v>
      </c>
      <c r="KW35" s="286">
        <f>'Data-temp_employment'!KW35</f>
        <v>0</v>
      </c>
      <c r="KX35" s="201" t="s">
        <v>38</v>
      </c>
      <c r="KY35" s="286">
        <f>'Data-temp_employment'!KY35-last_qrtr_tempemp!KZ35</f>
        <v>0</v>
      </c>
      <c r="KZ35" s="286">
        <f>'Data-temp_employment'!KZ35-last_qrtr_tempemp!LA35</f>
        <v>0</v>
      </c>
      <c r="LA35" s="286">
        <f>'Data-temp_employment'!LA35-last_qrtr_tempemp!LB35</f>
        <v>0</v>
      </c>
      <c r="LB35" s="286">
        <f>'Data-temp_employment'!LB35-last_qrtr_tempemp!LC35</f>
        <v>0</v>
      </c>
      <c r="LC35" s="286">
        <f>'Data-temp_employment'!LC35-last_qrtr_tempemp!LD35</f>
        <v>0</v>
      </c>
      <c r="LD35" s="286">
        <f>'Data-temp_employment'!LD35-last_qrtr_tempemp!LE35</f>
        <v>0</v>
      </c>
      <c r="LE35" s="286">
        <f>'Data-temp_employment'!LE35-last_qrtr_tempemp!LF35</f>
        <v>0</v>
      </c>
      <c r="LF35" s="286">
        <f>'Data-temp_employment'!LF35-last_qrtr_tempemp!LG35</f>
        <v>0</v>
      </c>
      <c r="LG35" s="286">
        <f>'Data-temp_employment'!LG35-last_qrtr_tempemp!LH35</f>
        <v>0</v>
      </c>
      <c r="LH35" s="286">
        <f>'Data-temp_employment'!LH35</f>
        <v>0</v>
      </c>
      <c r="LI35" s="201" t="s">
        <v>38</v>
      </c>
      <c r="LJ35" s="286">
        <f>'Data-temp_employment'!LJ35-last_qrtr_tempemp!LK35</f>
        <v>0</v>
      </c>
      <c r="LK35" s="286">
        <f>'Data-temp_employment'!LK35-last_qrtr_tempemp!LL35</f>
        <v>0</v>
      </c>
      <c r="LL35" s="286">
        <f>'Data-temp_employment'!LL35-last_qrtr_tempemp!LM35</f>
        <v>0</v>
      </c>
      <c r="LM35" s="286">
        <f>'Data-temp_employment'!LM35-last_qrtr_tempemp!LN35</f>
        <v>0</v>
      </c>
      <c r="LN35" s="286">
        <f>'Data-temp_employment'!LN35-last_qrtr_tempemp!LO35</f>
        <v>0</v>
      </c>
      <c r="LO35" s="286">
        <f>'Data-temp_employment'!LO35-last_qrtr_tempemp!LP35</f>
        <v>0</v>
      </c>
      <c r="LP35" s="286">
        <f>'Data-temp_employment'!LP35-last_qrtr_tempemp!LQ35</f>
        <v>0</v>
      </c>
      <c r="LQ35" s="286">
        <f>'Data-temp_employment'!LQ35-last_qrtr_tempemp!LR35</f>
        <v>0</v>
      </c>
      <c r="LR35" s="286">
        <f>'Data-temp_employment'!LR35-last_qrtr_tempemp!LS35</f>
        <v>0</v>
      </c>
      <c r="LS35" s="286">
        <f>'Data-temp_employment'!LS35</f>
        <v>0</v>
      </c>
      <c r="LT35" s="201" t="s">
        <v>38</v>
      </c>
      <c r="LU35" s="286">
        <f>'Data-temp_employment'!LU35-last_qrtr_tempemp!LV35</f>
        <v>0</v>
      </c>
      <c r="LV35" s="286">
        <f>'Data-temp_employment'!LV35-last_qrtr_tempemp!LW35</f>
        <v>0</v>
      </c>
      <c r="LW35" s="286">
        <f>'Data-temp_employment'!LW35-last_qrtr_tempemp!LX35</f>
        <v>0</v>
      </c>
      <c r="LX35" s="286">
        <f>'Data-temp_employment'!LX35-last_qrtr_tempemp!LY35</f>
        <v>0</v>
      </c>
      <c r="LY35" s="286">
        <f>'Data-temp_employment'!LY35-last_qrtr_tempemp!LZ35</f>
        <v>0</v>
      </c>
      <c r="LZ35" s="286">
        <f>'Data-temp_employment'!LZ35-last_qrtr_tempemp!MA35</f>
        <v>0</v>
      </c>
      <c r="MA35" s="286">
        <f>'Data-temp_employment'!MA35-last_qrtr_tempemp!MB35</f>
        <v>0</v>
      </c>
      <c r="MB35" s="286">
        <f>'Data-temp_employment'!MB35-last_qrtr_tempemp!MC35</f>
        <v>0</v>
      </c>
      <c r="MC35" s="286">
        <f>'Data-temp_employment'!MC35-last_qrtr_tempemp!MD35</f>
        <v>0</v>
      </c>
      <c r="MD35" s="286">
        <f>'Data-temp_employment'!MD35</f>
        <v>0</v>
      </c>
      <c r="ME35" s="201" t="s">
        <v>38</v>
      </c>
      <c r="MF35" s="286">
        <f>'Data-temp_employment'!MF35-last_qrtr_tempemp!MG35</f>
        <v>0</v>
      </c>
      <c r="MG35" s="286">
        <f>'Data-temp_employment'!MG35-last_qrtr_tempemp!MH35</f>
        <v>0</v>
      </c>
      <c r="MH35" s="286">
        <f>'Data-temp_employment'!MH35-last_qrtr_tempemp!MI35</f>
        <v>0</v>
      </c>
      <c r="MI35" s="286">
        <f>'Data-temp_employment'!MI35-last_qrtr_tempemp!MJ35</f>
        <v>0</v>
      </c>
      <c r="MJ35" s="286">
        <f>'Data-temp_employment'!MJ35-last_qrtr_tempemp!MK35</f>
        <v>0</v>
      </c>
      <c r="MK35" s="286">
        <f>'Data-temp_employment'!MK35-last_qrtr_tempemp!ML35</f>
        <v>0</v>
      </c>
      <c r="ML35" s="286">
        <f>'Data-temp_employment'!ML35-last_qrtr_tempemp!MM35</f>
        <v>0</v>
      </c>
      <c r="MM35" s="286">
        <f>'Data-temp_employment'!MM35-last_qrtr_tempemp!MN35</f>
        <v>0</v>
      </c>
      <c r="MN35" s="286">
        <f>'Data-temp_employment'!MN35-last_qrtr_tempemp!MO35</f>
        <v>0</v>
      </c>
      <c r="MO35" s="286">
        <f>'Data-temp_employment'!MO35</f>
        <v>0</v>
      </c>
      <c r="MP35" s="201" t="s">
        <v>38</v>
      </c>
      <c r="MQ35" s="286">
        <f>'Data-temp_employment'!MQ35-last_qrtr_tempemp!MR35</f>
        <v>0</v>
      </c>
      <c r="MR35" s="286">
        <f>'Data-temp_employment'!MR35-last_qrtr_tempemp!MS35</f>
        <v>0</v>
      </c>
      <c r="MS35" s="286">
        <f>'Data-temp_employment'!MS35-last_qrtr_tempemp!MT35</f>
        <v>0</v>
      </c>
      <c r="MT35" s="286">
        <f>'Data-temp_employment'!MT35-last_qrtr_tempemp!MU35</f>
        <v>0</v>
      </c>
      <c r="MU35" s="286">
        <f>'Data-temp_employment'!MU35-last_qrtr_tempemp!MV35</f>
        <v>0</v>
      </c>
      <c r="MV35" s="286">
        <f>'Data-temp_employment'!MV35-last_qrtr_tempemp!MW35</f>
        <v>0</v>
      </c>
      <c r="MW35" s="286">
        <f>'Data-temp_employment'!MW35-last_qrtr_tempemp!MX35</f>
        <v>0</v>
      </c>
      <c r="MX35" s="286">
        <f>'Data-temp_employment'!MX35-last_qrtr_tempemp!MY35</f>
        <v>0</v>
      </c>
      <c r="MY35" s="286">
        <f>'Data-temp_employment'!MY35-last_qrtr_tempemp!MZ35</f>
        <v>0</v>
      </c>
      <c r="MZ35" s="286">
        <f>'Data-temp_employment'!MZ35</f>
        <v>0</v>
      </c>
      <c r="NA35" s="201" t="s">
        <v>38</v>
      </c>
      <c r="NB35" s="286">
        <f>'Data-temp_employment'!NB35-last_qrtr_tempemp!NC35</f>
        <v>0</v>
      </c>
      <c r="NC35" s="286">
        <f>'Data-temp_employment'!NC35-last_qrtr_tempemp!ND35</f>
        <v>0</v>
      </c>
      <c r="ND35" s="286">
        <f>'Data-temp_employment'!ND35-last_qrtr_tempemp!NE35</f>
        <v>0</v>
      </c>
      <c r="NE35" s="286">
        <f>'Data-temp_employment'!NE35-last_qrtr_tempemp!NF35</f>
        <v>0</v>
      </c>
      <c r="NF35" s="286">
        <f>'Data-temp_employment'!NF35-last_qrtr_tempemp!NG35</f>
        <v>0</v>
      </c>
      <c r="NG35" s="286">
        <f>'Data-temp_employment'!NG35-last_qrtr_tempemp!NH35</f>
        <v>0</v>
      </c>
      <c r="NH35" s="286">
        <f>'Data-temp_employment'!NH35-last_qrtr_tempemp!NI35</f>
        <v>0</v>
      </c>
      <c r="NI35" s="286">
        <f>'Data-temp_employment'!NI35-last_qrtr_tempemp!NJ35</f>
        <v>0</v>
      </c>
      <c r="NJ35" s="286">
        <f>'Data-temp_employment'!NJ35-last_qrtr_tempemp!NK35</f>
        <v>0</v>
      </c>
      <c r="NK35" s="286">
        <f>'Data-temp_employment'!NK35</f>
        <v>0</v>
      </c>
      <c r="NL35" s="201" t="s">
        <v>38</v>
      </c>
      <c r="NM35" s="286">
        <f>'Data-temp_employment'!NM35-last_qrtr_tempemp!NN35</f>
        <v>0</v>
      </c>
      <c r="NN35" s="286">
        <f>'Data-temp_employment'!NN35-last_qrtr_tempemp!NO35</f>
        <v>0</v>
      </c>
      <c r="NO35" s="286">
        <f>'Data-temp_employment'!NO35-last_qrtr_tempemp!NP35</f>
        <v>0</v>
      </c>
      <c r="NP35" s="286">
        <f>'Data-temp_employment'!NP35-last_qrtr_tempemp!NQ35</f>
        <v>0</v>
      </c>
      <c r="NQ35" s="286">
        <f>'Data-temp_employment'!NQ35-last_qrtr_tempemp!NR35</f>
        <v>0</v>
      </c>
      <c r="NR35" s="286">
        <f>'Data-temp_employment'!NR35-last_qrtr_tempemp!NS35</f>
        <v>0</v>
      </c>
      <c r="NS35" s="286">
        <f>'Data-temp_employment'!NS35-last_qrtr_tempemp!NT35</f>
        <v>0</v>
      </c>
      <c r="NT35" s="286">
        <f>'Data-temp_employment'!NT35-last_qrtr_tempemp!NU35</f>
        <v>0</v>
      </c>
      <c r="NU35" s="286">
        <f>'Data-temp_employment'!NU35-last_qrtr_tempemp!NV35</f>
        <v>0</v>
      </c>
      <c r="NV35" s="286">
        <f>'Data-temp_employment'!NV35</f>
        <v>0</v>
      </c>
      <c r="NW35" s="201" t="s">
        <v>38</v>
      </c>
      <c r="NX35" s="286">
        <f>'Data-temp_employment'!NX35-last_qrtr_tempemp!NY35</f>
        <v>0</v>
      </c>
      <c r="NY35" s="286">
        <f>'Data-temp_employment'!NY35-last_qrtr_tempemp!NZ35</f>
        <v>0</v>
      </c>
      <c r="NZ35" s="286">
        <f>'Data-temp_employment'!NZ35-last_qrtr_tempemp!OA35</f>
        <v>0</v>
      </c>
      <c r="OA35" s="286">
        <f>'Data-temp_employment'!OA35-last_qrtr_tempemp!OB35</f>
        <v>0</v>
      </c>
      <c r="OB35" s="286">
        <f>'Data-temp_employment'!OB35-last_qrtr_tempemp!OC35</f>
        <v>0</v>
      </c>
      <c r="OC35" s="286">
        <f>'Data-temp_employment'!OC35-last_qrtr_tempemp!OD35</f>
        <v>0</v>
      </c>
      <c r="OD35" s="286">
        <f>'Data-temp_employment'!OD35-last_qrtr_tempemp!OE35</f>
        <v>0</v>
      </c>
      <c r="OE35" s="286">
        <f>'Data-temp_employment'!OE35-last_qrtr_tempemp!OF35</f>
        <v>0</v>
      </c>
      <c r="OF35" s="286">
        <f>'Data-temp_employment'!OF35-last_qrtr_tempemp!OG35</f>
        <v>0</v>
      </c>
      <c r="OG35" s="286">
        <f>'Data-temp_employment'!OG35</f>
        <v>0</v>
      </c>
      <c r="OH35" s="287" t="s">
        <v>38</v>
      </c>
      <c r="OI35" s="286"/>
      <c r="OJ35" s="286"/>
      <c r="OK35" s="286"/>
      <c r="OL35" s="286"/>
      <c r="OM35" s="286"/>
      <c r="ON35" s="286"/>
      <c r="OO35" s="286"/>
      <c r="OP35" s="286"/>
      <c r="OQ35" s="286"/>
      <c r="OR35" s="286"/>
      <c r="OS35" s="201" t="s">
        <v>38</v>
      </c>
      <c r="OT35" s="286" t="e">
        <f>'Data-temp_employment'!#REF!-last_qrtr_tempemp!OU35</f>
        <v>#REF!</v>
      </c>
      <c r="OU35" s="286">
        <f>'Data-temp_employment'!OT35-last_qrtr_tempemp!OV35</f>
        <v>1.2</v>
      </c>
      <c r="OV35" s="286">
        <f>'Data-temp_employment'!OU35-last_qrtr_tempemp!OW35</f>
        <v>0.79999999999999993</v>
      </c>
      <c r="OW35" s="286">
        <f>'Data-temp_employment'!OV35-last_qrtr_tempemp!OX35</f>
        <v>-0.8</v>
      </c>
      <c r="OX35" s="286">
        <f>'Data-temp_employment'!OW35-last_qrtr_tempemp!OY35</f>
        <v>1.1000000000000001</v>
      </c>
      <c r="OY35" s="286">
        <f>'Data-temp_employment'!OX35-last_qrtr_tempemp!OZ35</f>
        <v>1.1000000000000001</v>
      </c>
      <c r="OZ35" s="286">
        <f>'Data-temp_employment'!OY35-last_qrtr_tempemp!PA35</f>
        <v>0.20000000000000018</v>
      </c>
      <c r="PA35" s="286">
        <f>'Data-temp_employment'!OZ35-last_qrtr_tempemp!PB35</f>
        <v>0.8</v>
      </c>
      <c r="PB35" s="286">
        <f>'Data-temp_employment'!PA35-last_qrtr_tempemp!PC35</f>
        <v>-0.79999999999999993</v>
      </c>
      <c r="PC35" s="286">
        <f>'Data-temp_employment'!PB35</f>
        <v>0.3</v>
      </c>
      <c r="PE35" s="319"/>
      <c r="PF35" s="319"/>
      <c r="PG35" s="319"/>
      <c r="PH35" s="319"/>
      <c r="PI35" s="319"/>
      <c r="PJ35" s="319"/>
      <c r="PK35" s="319"/>
      <c r="PL35" s="319"/>
      <c r="PM35" s="319"/>
      <c r="PN35" s="319"/>
      <c r="PO35" s="319"/>
      <c r="PP35" s="319"/>
      <c r="PQ35" s="319"/>
      <c r="PR35" s="319"/>
      <c r="PS35" s="319"/>
      <c r="PT35" s="319"/>
      <c r="PU35" s="319"/>
      <c r="PV35" s="319"/>
      <c r="PW35" s="319"/>
      <c r="PX35" s="319"/>
      <c r="PY35" s="319"/>
      <c r="PZ35" s="319"/>
      <c r="QA35" s="319"/>
      <c r="QB35" s="319"/>
      <c r="QC35" s="319"/>
      <c r="QD35" s="319"/>
      <c r="QE35" s="319"/>
      <c r="QF35" s="319"/>
      <c r="QG35" s="319"/>
      <c r="QH35" s="319"/>
      <c r="QI35" s="319"/>
      <c r="QJ35" s="319"/>
      <c r="QK35" s="319"/>
      <c r="QL35" s="319"/>
      <c r="QM35" s="319"/>
      <c r="QN35" s="319"/>
      <c r="QO35" s="319"/>
      <c r="QP35" s="319"/>
      <c r="QQ35" s="319"/>
      <c r="QR35" s="319"/>
      <c r="QS35" s="319"/>
      <c r="QT35" s="319"/>
      <c r="QU35" s="319"/>
      <c r="QV35" s="319"/>
      <c r="QW35" s="319"/>
      <c r="QX35" s="319"/>
      <c r="QY35" s="319"/>
      <c r="QZ35" s="319"/>
      <c r="RA35" s="319"/>
      <c r="RB35" s="319"/>
      <c r="RC35" s="319"/>
      <c r="RD35" s="319"/>
      <c r="RE35" s="319"/>
      <c r="RF35" s="319"/>
      <c r="RG35" s="319"/>
      <c r="RH35" s="319"/>
      <c r="RI35" s="319"/>
      <c r="RJ35" s="319"/>
      <c r="RK35" s="319"/>
      <c r="RL35" s="319"/>
      <c r="RM35" s="319"/>
      <c r="RN35" s="319"/>
      <c r="RO35" s="319"/>
      <c r="RP35" s="319"/>
      <c r="RQ35" s="318"/>
    </row>
    <row r="36" spans="1:485">
      <c r="A36" s="269">
        <v>33</v>
      </c>
      <c r="B36" s="285" t="s">
        <v>40</v>
      </c>
      <c r="C36" s="286">
        <f>'Data-temp_employment'!C36-last_qrtr_tempemp!D36</f>
        <v>-1</v>
      </c>
      <c r="D36" s="286">
        <f>'Data-temp_employment'!D36-last_qrtr_tempemp!E36</f>
        <v>-1</v>
      </c>
      <c r="E36" s="286">
        <f>'Data-temp_employment'!E36-last_qrtr_tempemp!F36</f>
        <v>-9.9999999999999645E-2</v>
      </c>
      <c r="F36" s="286">
        <f>'Data-temp_employment'!F36-last_qrtr_tempemp!G36</f>
        <v>9.9999999999999645E-2</v>
      </c>
      <c r="G36" s="286">
        <f>'Data-temp_employment'!G36-last_qrtr_tempemp!H36</f>
        <v>-0.90000000000000036</v>
      </c>
      <c r="H36" s="286">
        <f>'Data-temp_employment'!H36-last_qrtr_tempemp!I36</f>
        <v>-0.5</v>
      </c>
      <c r="I36" s="286">
        <f>'Data-temp_employment'!I36-last_qrtr_tempemp!J36</f>
        <v>-0.40000000000000036</v>
      </c>
      <c r="J36" s="286">
        <f>'Data-temp_employment'!J36-last_qrtr_tempemp!K36</f>
        <v>0.30000000000000071</v>
      </c>
      <c r="K36" s="286">
        <f>'Data-temp_employment'!K36-last_qrtr_tempemp!L36</f>
        <v>-0.69999999999999929</v>
      </c>
      <c r="L36" s="286">
        <f>'Data-temp_employment'!L36</f>
        <v>8.3000000000000007</v>
      </c>
      <c r="M36" s="285" t="s">
        <v>40</v>
      </c>
      <c r="N36" s="286">
        <f>'Data-temp_employment'!N36-last_qrtr_tempemp!O36</f>
        <v>-18.099999999999994</v>
      </c>
      <c r="O36" s="286">
        <f>'Data-temp_employment'!O36-last_qrtr_tempemp!P36</f>
        <v>-16.800000000000011</v>
      </c>
      <c r="P36" s="286">
        <f>'Data-temp_employment'!P36-last_qrtr_tempemp!Q36</f>
        <v>2.1999999999999886</v>
      </c>
      <c r="Q36" s="286">
        <f>'Data-temp_employment'!Q36-last_qrtr_tempemp!R36</f>
        <v>4.9000000000000057</v>
      </c>
      <c r="R36" s="286">
        <f>'Data-temp_employment'!R36-last_qrtr_tempemp!S36</f>
        <v>-18.400000000000006</v>
      </c>
      <c r="S36" s="286">
        <f>'Data-temp_employment'!S36-last_qrtr_tempemp!T36</f>
        <v>-9.6999999999999886</v>
      </c>
      <c r="T36" s="286">
        <f>'Data-temp_employment'!T36-last_qrtr_tempemp!U36</f>
        <v>-2.9000000000000057</v>
      </c>
      <c r="U36" s="286">
        <f>'Data-temp_employment'!U36-last_qrtr_tempemp!V36</f>
        <v>10.400000000000006</v>
      </c>
      <c r="V36" s="286">
        <f>'Data-temp_employment'!V36-last_qrtr_tempemp!W36</f>
        <v>-12.300000000000011</v>
      </c>
      <c r="W36" s="286">
        <f>'Data-temp_employment'!W36</f>
        <v>177.8</v>
      </c>
      <c r="X36" s="285" t="s">
        <v>40</v>
      </c>
      <c r="Y36" s="286">
        <f>'Data-temp_employment'!Y36-last_qrtr_tempemp!Z36</f>
        <v>-3.8000000000000007</v>
      </c>
      <c r="Z36" s="286">
        <f>'Data-temp_employment'!Z36-last_qrtr_tempemp!AA36</f>
        <v>-3.8999999999999986</v>
      </c>
      <c r="AA36" s="286">
        <f>'Data-temp_employment'!AA36-last_qrtr_tempemp!AB36</f>
        <v>3.5</v>
      </c>
      <c r="AB36" s="286">
        <f>'Data-temp_employment'!AB36-last_qrtr_tempemp!AC36</f>
        <v>-1</v>
      </c>
      <c r="AC36" s="286">
        <f>'Data-temp_employment'!AC36-last_qrtr_tempemp!AD36</f>
        <v>2.1999999999999993</v>
      </c>
      <c r="AD36" s="286">
        <f>'Data-temp_employment'!AD36-last_qrtr_tempemp!AE36</f>
        <v>-12.9</v>
      </c>
      <c r="AE36" s="286">
        <f>'Data-temp_employment'!AE36-last_qrtr_tempemp!AF36</f>
        <v>-5.6000000000000014</v>
      </c>
      <c r="AF36" s="286">
        <f>'Data-temp_employment'!AF36-last_qrtr_tempemp!AG36</f>
        <v>-11.5</v>
      </c>
      <c r="AG36" s="286">
        <f>'Data-temp_employment'!AG36-last_qrtr_tempemp!AH36</f>
        <v>0.30000000000000071</v>
      </c>
      <c r="AH36" s="286">
        <f>'Data-temp_employment'!AH36</f>
        <v>7.5</v>
      </c>
      <c r="AI36" s="285" t="s">
        <v>40</v>
      </c>
      <c r="AJ36" s="286">
        <f>'Data-temp_employment'!AJ36-last_qrtr_tempemp!AK36</f>
        <v>-1.7000000000000028</v>
      </c>
      <c r="AK36" s="286">
        <f>'Data-temp_employment'!AK36-last_qrtr_tempemp!AL36</f>
        <v>-15.100000000000001</v>
      </c>
      <c r="AL36" s="286">
        <f>'Data-temp_employment'!AL36-last_qrtr_tempemp!AM36</f>
        <v>-7.5</v>
      </c>
      <c r="AM36" s="286">
        <f>'Data-temp_employment'!AM36-last_qrtr_tempemp!AN36</f>
        <v>-9.8000000000000007</v>
      </c>
      <c r="AN36" s="286">
        <f>'Data-temp_employment'!AN36-last_qrtr_tempemp!AO36</f>
        <v>0.69999999999999929</v>
      </c>
      <c r="AO36" s="286">
        <f>'Data-temp_employment'!AO36-last_qrtr_tempemp!AP36</f>
        <v>-2.7000000000000028</v>
      </c>
      <c r="AP36" s="286">
        <f>'Data-temp_employment'!AP36-last_qrtr_tempemp!AQ36</f>
        <v>-0.39999999999999858</v>
      </c>
      <c r="AQ36" s="286">
        <f>'Data-temp_employment'!AQ36-last_qrtr_tempemp!AR36</f>
        <v>1.3000000000000007</v>
      </c>
      <c r="AR36" s="286">
        <f>'Data-temp_employment'!AR36-last_qrtr_tempemp!AS36</f>
        <v>-2.5999999999999979</v>
      </c>
      <c r="AS36" s="286">
        <f>'Data-temp_employment'!AS36</f>
        <v>19.8</v>
      </c>
      <c r="AT36" s="285" t="s">
        <v>40</v>
      </c>
      <c r="AU36" s="286">
        <f>'Data-temp_employment'!AU36-last_qrtr_tempemp!AV36</f>
        <v>-24.800000000000004</v>
      </c>
      <c r="AV36" s="286">
        <f>'Data-temp_employment'!AV36-last_qrtr_tempemp!AW36</f>
        <v>-5.5999999999999943</v>
      </c>
      <c r="AW36" s="286">
        <f>'Data-temp_employment'!AW36-last_qrtr_tempemp!AX36</f>
        <v>1.2000000000000028</v>
      </c>
      <c r="AX36" s="286">
        <f>'Data-temp_employment'!AX36-last_qrtr_tempemp!AY36</f>
        <v>5.8999999999999986</v>
      </c>
      <c r="AY36" s="286">
        <f>'Data-temp_employment'!AY36-last_qrtr_tempemp!AZ36</f>
        <v>-11.700000000000003</v>
      </c>
      <c r="AZ36" s="286">
        <f>'Data-temp_employment'!AZ36-last_qrtr_tempemp!BA36</f>
        <v>2.8999999999999986</v>
      </c>
      <c r="BA36" s="286">
        <f>'Data-temp_employment'!BA36-last_qrtr_tempemp!BB36</f>
        <v>-1.5999999999999943</v>
      </c>
      <c r="BB36" s="286">
        <f>'Data-temp_employment'!BB36-last_qrtr_tempemp!BC36</f>
        <v>1.3000000000000043</v>
      </c>
      <c r="BC36" s="286">
        <f>'Data-temp_employment'!BC36-last_qrtr_tempemp!BD36</f>
        <v>-13.899999999999999</v>
      </c>
      <c r="BD36" s="286">
        <f>'Data-temp_employment'!BD36</f>
        <v>47</v>
      </c>
      <c r="BE36" s="285" t="s">
        <v>40</v>
      </c>
      <c r="BF36" s="286">
        <f>'Data-temp_employment'!BF36-last_qrtr_tempemp!BG36</f>
        <v>9.9000000000000057</v>
      </c>
      <c r="BG36" s="286">
        <f>'Data-temp_employment'!BG36-last_qrtr_tempemp!BH36</f>
        <v>2</v>
      </c>
      <c r="BH36" s="286">
        <f>'Data-temp_employment'!BH36-last_qrtr_tempemp!BI36</f>
        <v>0.5</v>
      </c>
      <c r="BI36" s="286">
        <f>'Data-temp_employment'!BI36-last_qrtr_tempemp!BJ36</f>
        <v>9.3999999999999915</v>
      </c>
      <c r="BJ36" s="286">
        <f>'Data-temp_employment'!BJ36-last_qrtr_tempemp!BK36</f>
        <v>-7.4000000000000057</v>
      </c>
      <c r="BK36" s="286">
        <f>'Data-temp_employment'!BK36-last_qrtr_tempemp!BL36</f>
        <v>-2.5999999999999943</v>
      </c>
      <c r="BL36" s="286">
        <f>'Data-temp_employment'!BL36-last_qrtr_tempemp!BM36</f>
        <v>-5.2999999999999972</v>
      </c>
      <c r="BM36" s="286">
        <f>'Data-temp_employment'!BM36-last_qrtr_tempemp!BN36</f>
        <v>12.900000000000006</v>
      </c>
      <c r="BN36" s="286">
        <f>'Data-temp_employment'!BN36-last_qrtr_tempemp!BO36</f>
        <v>-0.5</v>
      </c>
      <c r="BO36" s="286">
        <f>'Data-temp_employment'!BO36</f>
        <v>62.6</v>
      </c>
      <c r="BP36" s="285" t="s">
        <v>40</v>
      </c>
      <c r="BQ36" s="286">
        <f>'Data-temp_employment'!BQ36-last_qrtr_tempemp!BR36</f>
        <v>4.3000000000000043</v>
      </c>
      <c r="BR36" s="286">
        <f>'Data-temp_employment'!BR36-last_qrtr_tempemp!BS36</f>
        <v>6.0999999999999979</v>
      </c>
      <c r="BS36" s="286">
        <f>'Data-temp_employment'!BS36-last_qrtr_tempemp!BT36</f>
        <v>3.6999999999999993</v>
      </c>
      <c r="BT36" s="286">
        <f>'Data-temp_employment'!BT36-last_qrtr_tempemp!BU36</f>
        <v>1.0999999999999979</v>
      </c>
      <c r="BU36" s="286">
        <f>'Data-temp_employment'!BU36-last_qrtr_tempemp!BV36</f>
        <v>-1.3999999999999986</v>
      </c>
      <c r="BV36" s="286">
        <f>'Data-temp_employment'!BV36-last_qrtr_tempemp!BW36</f>
        <v>1.1999999999999993</v>
      </c>
      <c r="BW36" s="286">
        <f>'Data-temp_employment'!BW36-last_qrtr_tempemp!BX36</f>
        <v>3.5999999999999979</v>
      </c>
      <c r="BX36" s="286">
        <f>'Data-temp_employment'!BX36-last_qrtr_tempemp!BY36</f>
        <v>-3.3000000000000007</v>
      </c>
      <c r="BY36" s="286">
        <f>'Data-temp_employment'!BY36-last_qrtr_tempemp!BZ36</f>
        <v>-1</v>
      </c>
      <c r="BZ36" s="286">
        <f>'Data-temp_employment'!BZ36</f>
        <v>22.7</v>
      </c>
      <c r="CA36" s="282" t="s">
        <v>40</v>
      </c>
      <c r="CB36" s="286">
        <f>'Data-temp_employment'!CB36-last_qrtr_tempemp!CC36</f>
        <v>-4.3</v>
      </c>
      <c r="CC36" s="286">
        <f>'Data-temp_employment'!CC36-last_qrtr_tempemp!CD36</f>
        <v>-3.4999999999999991</v>
      </c>
      <c r="CD36" s="286">
        <f>'Data-temp_employment'!CD36-last_qrtr_tempemp!CE36</f>
        <v>-5.9</v>
      </c>
      <c r="CE36" s="286">
        <f>'Data-temp_employment'!CE36-last_qrtr_tempemp!CF36</f>
        <v>-3.2</v>
      </c>
      <c r="CF36" s="286">
        <f>'Data-temp_employment'!CF36-last_qrtr_tempemp!CG36</f>
        <v>0</v>
      </c>
      <c r="CG36" s="286">
        <f>'Data-temp_employment'!CG36-last_qrtr_tempemp!CH36</f>
        <v>3.1</v>
      </c>
      <c r="CH36" s="286">
        <f>'Data-temp_employment'!CH36-last_qrtr_tempemp!CI36</f>
        <v>5.9</v>
      </c>
      <c r="CI36" s="286">
        <f>'Data-temp_employment'!CI36-last_qrtr_tempemp!CJ36</f>
        <v>4.7</v>
      </c>
      <c r="CJ36" s="286">
        <f>'Data-temp_employment'!CJ36-last_qrtr_tempemp!CK36</f>
        <v>1.8000000000000003</v>
      </c>
      <c r="CK36" s="286">
        <f>'Data-temp_employment'!CK36</f>
        <v>5.0999999999999996</v>
      </c>
      <c r="CL36" s="285" t="s">
        <v>40</v>
      </c>
      <c r="CM36" s="286">
        <f>'Data-temp_employment'!CM36-last_qrtr_tempemp!CN36</f>
        <v>0.60000000000000142</v>
      </c>
      <c r="CN36" s="286">
        <f>'Data-temp_employment'!CN36-last_qrtr_tempemp!CO36</f>
        <v>1.5</v>
      </c>
      <c r="CO36" s="286">
        <f>'Data-temp_employment'!CO36-last_qrtr_tempemp!CP36</f>
        <v>10.600000000000001</v>
      </c>
      <c r="CP36" s="286">
        <f>'Data-temp_employment'!CP36-last_qrtr_tempemp!CQ36</f>
        <v>8.6000000000000014</v>
      </c>
      <c r="CQ36" s="286">
        <f>'Data-temp_employment'!CQ36-last_qrtr_tempemp!CR36</f>
        <v>8.3999999999999986</v>
      </c>
      <c r="CR36" s="286">
        <f>'Data-temp_employment'!CR36-last_qrtr_tempemp!CS36</f>
        <v>8.7999999999999972</v>
      </c>
      <c r="CS36" s="286">
        <f>'Data-temp_employment'!CS36-last_qrtr_tempemp!CT36</f>
        <v>13.599999999999994</v>
      </c>
      <c r="CT36" s="286">
        <f>'Data-temp_employment'!CT36-last_qrtr_tempemp!CU36</f>
        <v>2.2000000000000028</v>
      </c>
      <c r="CU36" s="286">
        <f>'Data-temp_employment'!CU36-last_qrtr_tempemp!CV36</f>
        <v>-6.3999999999999986</v>
      </c>
      <c r="CV36" s="286">
        <f>'Data-temp_employment'!CV36</f>
        <v>46.5</v>
      </c>
      <c r="CW36" s="285" t="s">
        <v>40</v>
      </c>
      <c r="CX36" s="286">
        <f>'Data-temp_employment'!CX36-last_qrtr_tempemp!CY36</f>
        <v>-19.200000000000017</v>
      </c>
      <c r="CY36" s="286">
        <f>'Data-temp_employment'!CY36-last_qrtr_tempemp!CZ36</f>
        <v>-14.5</v>
      </c>
      <c r="CZ36" s="286">
        <f>'Data-temp_employment'!CZ36-last_qrtr_tempemp!DA36</f>
        <v>-3.4000000000000057</v>
      </c>
      <c r="DA36" s="286">
        <f>'Data-temp_employment'!DA36-last_qrtr_tempemp!DB36</f>
        <v>-3.1999999999999886</v>
      </c>
      <c r="DB36" s="286">
        <f>'Data-temp_employment'!DB36-last_qrtr_tempemp!DC36</f>
        <v>-25</v>
      </c>
      <c r="DC36" s="286">
        <f>'Data-temp_employment'!DC36-last_qrtr_tempemp!DD36</f>
        <v>-16.300000000000011</v>
      </c>
      <c r="DD36" s="286">
        <f>'Data-temp_employment'!DD36-last_qrtr_tempemp!DE36</f>
        <v>-12.200000000000003</v>
      </c>
      <c r="DE36" s="286">
        <f>'Data-temp_employment'!DE36-last_qrtr_tempemp!DF36</f>
        <v>5.0999999999999943</v>
      </c>
      <c r="DF36" s="286">
        <f>'Data-temp_employment'!DF36-last_qrtr_tempemp!DG36</f>
        <v>-9.2999999999999972</v>
      </c>
      <c r="DG36" s="286">
        <f>'Data-temp_employment'!DG36</f>
        <v>104.6</v>
      </c>
      <c r="DH36" s="285" t="s">
        <v>40</v>
      </c>
      <c r="DI36" s="286">
        <f>'Data-temp_employment'!DI36-last_qrtr_tempemp!DJ36</f>
        <v>0.59999999999999787</v>
      </c>
      <c r="DJ36" s="286">
        <f>'Data-temp_employment'!DJ36-last_qrtr_tempemp!DK36</f>
        <v>-3.9000000000000021</v>
      </c>
      <c r="DK36" s="286">
        <f>'Data-temp_employment'!DK36-last_qrtr_tempemp!DL36</f>
        <v>-5</v>
      </c>
      <c r="DL36" s="286">
        <f>'Data-temp_employment'!DL36-last_qrtr_tempemp!DM36</f>
        <v>-0.59999999999999787</v>
      </c>
      <c r="DM36" s="286">
        <f>'Data-temp_employment'!DM36-last_qrtr_tempemp!DN36</f>
        <v>-1.6999999999999993</v>
      </c>
      <c r="DN36" s="286">
        <f>'Data-temp_employment'!DN36-last_qrtr_tempemp!DO36</f>
        <v>-2.1999999999999993</v>
      </c>
      <c r="DO36" s="286">
        <f>'Data-temp_employment'!DO36-last_qrtr_tempemp!DP36</f>
        <v>-4.4000000000000021</v>
      </c>
      <c r="DP36" s="286">
        <f>'Data-temp_employment'!DP36-last_qrtr_tempemp!DQ36</f>
        <v>3</v>
      </c>
      <c r="DQ36" s="286">
        <f>'Data-temp_employment'!DQ36-last_qrtr_tempemp!DR36</f>
        <v>3.4000000000000021</v>
      </c>
      <c r="DR36" s="286">
        <f>'Data-temp_employment'!DR36</f>
        <v>26.7</v>
      </c>
      <c r="DS36" s="285" t="s">
        <v>40</v>
      </c>
      <c r="DT36" s="286">
        <f>'Data-temp_employment'!DT36-last_qrtr_tempemp!DU36</f>
        <v>0</v>
      </c>
      <c r="DU36" s="286">
        <f>'Data-temp_employment'!DU36-last_qrtr_tempemp!DV36</f>
        <v>0</v>
      </c>
      <c r="DV36" s="286">
        <f>'Data-temp_employment'!DV36-last_qrtr_tempemp!DW36</f>
        <v>0</v>
      </c>
      <c r="DW36" s="286">
        <f>'Data-temp_employment'!DW36-last_qrtr_tempemp!DX36</f>
        <v>0</v>
      </c>
      <c r="DX36" s="286">
        <f>'Data-temp_employment'!DX36-last_qrtr_tempemp!DY36</f>
        <v>0</v>
      </c>
      <c r="DY36" s="286">
        <f>'Data-temp_employment'!DY36-last_qrtr_tempemp!DZ36</f>
        <v>0</v>
      </c>
      <c r="DZ36" s="286">
        <f>'Data-temp_employment'!DZ36-last_qrtr_tempemp!EA36</f>
        <v>0</v>
      </c>
      <c r="EA36" s="286">
        <f>'Data-temp_employment'!EA36-last_qrtr_tempemp!EB36</f>
        <v>0</v>
      </c>
      <c r="EB36" s="286">
        <f>'Data-temp_employment'!EB36-last_qrtr_tempemp!EC36</f>
        <v>0</v>
      </c>
      <c r="EC36" s="286">
        <f>'Data-temp_employment'!EC36</f>
        <v>0</v>
      </c>
      <c r="ED36" s="279" t="s">
        <v>40</v>
      </c>
      <c r="EE36" s="286">
        <f>'Data-temp_employment'!EE36-last_qrtr_tempemp!EF36</f>
        <v>0</v>
      </c>
      <c r="EF36" s="286">
        <f>'Data-temp_employment'!EF36-last_qrtr_tempemp!EG36</f>
        <v>0</v>
      </c>
      <c r="EG36" s="286">
        <f>'Data-temp_employment'!EG36-last_qrtr_tempemp!EH36</f>
        <v>0</v>
      </c>
      <c r="EH36" s="286">
        <f>'Data-temp_employment'!EH36-last_qrtr_tempemp!EI36</f>
        <v>0</v>
      </c>
      <c r="EI36" s="286">
        <f>'Data-temp_employment'!EI36-last_qrtr_tempemp!EJ36</f>
        <v>0</v>
      </c>
      <c r="EJ36" s="286">
        <f>'Data-temp_employment'!EJ36-last_qrtr_tempemp!EK36</f>
        <v>0</v>
      </c>
      <c r="EK36" s="286">
        <f>'Data-temp_employment'!EK36-last_qrtr_tempemp!EL36</f>
        <v>0</v>
      </c>
      <c r="EL36" s="286">
        <f>'Data-temp_employment'!EL36-last_qrtr_tempemp!EM36</f>
        <v>0</v>
      </c>
      <c r="EM36" s="286">
        <f>'Data-temp_employment'!EM36-last_qrtr_tempemp!EN36</f>
        <v>0</v>
      </c>
      <c r="EN36" s="286">
        <f>'Data-temp_employment'!EN36</f>
        <v>0</v>
      </c>
      <c r="EO36" s="279" t="s">
        <v>40</v>
      </c>
      <c r="EP36" s="286">
        <f>'Data-temp_employment'!EP36-last_qrtr_tempemp!EQ36</f>
        <v>-2.7</v>
      </c>
      <c r="EQ36" s="286">
        <f>'Data-temp_employment'!EQ36-last_qrtr_tempemp!ER36</f>
        <v>-1.1999999999999993</v>
      </c>
      <c r="ER36" s="286">
        <f>'Data-temp_employment'!ER36-last_qrtr_tempemp!ES36</f>
        <v>-3.1000000000000005</v>
      </c>
      <c r="ES36" s="286">
        <f>'Data-temp_employment'!ES36-last_qrtr_tempemp!ET36</f>
        <v>0.79999999999999982</v>
      </c>
      <c r="ET36" s="286">
        <f>'Data-temp_employment'!ET36-last_qrtr_tempemp!EU36</f>
        <v>-0.29999999999999982</v>
      </c>
      <c r="EU36" s="286">
        <f>'Data-temp_employment'!EU36-last_qrtr_tempemp!EV36</f>
        <v>0.70000000000000018</v>
      </c>
      <c r="EV36" s="286">
        <f>'Data-temp_employment'!EV36-last_qrtr_tempemp!EW36</f>
        <v>1.5</v>
      </c>
      <c r="EW36" s="286">
        <f>'Data-temp_employment'!EW36-last_qrtr_tempemp!EX36</f>
        <v>4.6000000000000005</v>
      </c>
      <c r="EX36" s="286">
        <f>'Data-temp_employment'!EX36-last_qrtr_tempemp!EY36</f>
        <v>3.4000000000000004</v>
      </c>
      <c r="EY36" s="286">
        <f>'Data-temp_employment'!EY36</f>
        <v>10.199999999999999</v>
      </c>
      <c r="EZ36" s="279" t="s">
        <v>40</v>
      </c>
      <c r="FA36" s="286">
        <f>'Data-temp_employment'!FA36-last_qrtr_tempemp!FB36</f>
        <v>1.5</v>
      </c>
      <c r="FB36" s="286">
        <f>'Data-temp_employment'!FB36-last_qrtr_tempemp!FC36</f>
        <v>9.9999999999999645E-2</v>
      </c>
      <c r="FC36" s="286">
        <f>'Data-temp_employment'!FC36-last_qrtr_tempemp!FD36</f>
        <v>-0.30000000000000071</v>
      </c>
      <c r="FD36" s="286">
        <f>'Data-temp_employment'!FD36-last_qrtr_tempemp!FE36</f>
        <v>-1.5999999999999996</v>
      </c>
      <c r="FE36" s="286">
        <f>'Data-temp_employment'!FE36-last_qrtr_tempemp!FF36</f>
        <v>-1</v>
      </c>
      <c r="FF36" s="286">
        <f>'Data-temp_employment'!FF36-last_qrtr_tempemp!FG36</f>
        <v>-2</v>
      </c>
      <c r="FG36" s="286">
        <f>'Data-temp_employment'!FG36-last_qrtr_tempemp!FH36</f>
        <v>-1.1999999999999993</v>
      </c>
      <c r="FH36" s="286">
        <f>'Data-temp_employment'!FH36-last_qrtr_tempemp!FI36</f>
        <v>1.6999999999999993</v>
      </c>
      <c r="FI36" s="286">
        <f>'Data-temp_employment'!FI36-last_qrtr_tempemp!FJ36</f>
        <v>-0.19999999999999929</v>
      </c>
      <c r="FJ36" s="286">
        <f>'Data-temp_employment'!FJ36</f>
        <v>10.199999999999999</v>
      </c>
      <c r="FK36" s="279" t="s">
        <v>40</v>
      </c>
      <c r="FL36" s="286">
        <f>'Data-temp_employment'!FL36-last_qrtr_tempemp!FM36</f>
        <v>1.6999999999999993</v>
      </c>
      <c r="FM36" s="286">
        <f>'Data-temp_employment'!FM36-last_qrtr_tempemp!FN36</f>
        <v>3.5</v>
      </c>
      <c r="FN36" s="286">
        <f>'Data-temp_employment'!FN36-last_qrtr_tempemp!FO36</f>
        <v>1.7999999999999989</v>
      </c>
      <c r="FO36" s="286">
        <f>'Data-temp_employment'!FO36-last_qrtr_tempemp!FP36</f>
        <v>3.9000000000000004</v>
      </c>
      <c r="FP36" s="286">
        <f>'Data-temp_employment'!FP36-last_qrtr_tempemp!FQ36</f>
        <v>0.79999999999999893</v>
      </c>
      <c r="FQ36" s="286">
        <f>'Data-temp_employment'!FQ36-last_qrtr_tempemp!FR36</f>
        <v>-1.3999999999999986</v>
      </c>
      <c r="FR36" s="286">
        <f>'Data-temp_employment'!FR36-last_qrtr_tempemp!FS36</f>
        <v>-2.0999999999999996</v>
      </c>
      <c r="FS36" s="286">
        <f>'Data-temp_employment'!FS36-last_qrtr_tempemp!FT36</f>
        <v>2.9000000000000021</v>
      </c>
      <c r="FT36" s="286">
        <f>'Data-temp_employment'!FT36-last_qrtr_tempemp!FU36</f>
        <v>4.8000000000000007</v>
      </c>
      <c r="FU36" s="286">
        <f>'Data-temp_employment'!FU36</f>
        <v>18.2</v>
      </c>
      <c r="FV36" s="279" t="s">
        <v>40</v>
      </c>
      <c r="FW36" s="286">
        <f>'Data-temp_employment'!FW36-last_qrtr_tempemp!FX36</f>
        <v>-4.2999999999999972</v>
      </c>
      <c r="FX36" s="286">
        <f>'Data-temp_employment'!FX36-last_qrtr_tempemp!FY36</f>
        <v>-9.3999999999999986</v>
      </c>
      <c r="FY36" s="286">
        <f>'Data-temp_employment'!FY36-last_qrtr_tempemp!FZ36</f>
        <v>-4.8999999999999986</v>
      </c>
      <c r="FZ36" s="286">
        <f>'Data-temp_employment'!FZ36-last_qrtr_tempemp!GA36</f>
        <v>-4.6000000000000014</v>
      </c>
      <c r="GA36" s="286">
        <f>'Data-temp_employment'!GA36-last_qrtr_tempemp!GB36</f>
        <v>-10.800000000000004</v>
      </c>
      <c r="GB36" s="286">
        <f>'Data-temp_employment'!GB36-last_qrtr_tempemp!GC36</f>
        <v>-2.1000000000000014</v>
      </c>
      <c r="GC36" s="286">
        <f>'Data-temp_employment'!GC36-last_qrtr_tempemp!GD36</f>
        <v>-3.1000000000000014</v>
      </c>
      <c r="GD36" s="286">
        <f>'Data-temp_employment'!GD36-last_qrtr_tempemp!GE36</f>
        <v>6.6000000000000014</v>
      </c>
      <c r="GE36" s="286">
        <f>'Data-temp_employment'!GE36-last_qrtr_tempemp!GF36</f>
        <v>3.1000000000000014</v>
      </c>
      <c r="GF36" s="286">
        <f>'Data-temp_employment'!GF36</f>
        <v>34.299999999999997</v>
      </c>
      <c r="GG36" s="279" t="s">
        <v>40</v>
      </c>
      <c r="GH36" s="286">
        <f>'Data-temp_employment'!GH36-last_qrtr_tempemp!GI36</f>
        <v>0</v>
      </c>
      <c r="GI36" s="286">
        <f>'Data-temp_employment'!GI36-last_qrtr_tempemp!GJ36</f>
        <v>0</v>
      </c>
      <c r="GJ36" s="286">
        <f>'Data-temp_employment'!GJ36-last_qrtr_tempemp!GK36</f>
        <v>0</v>
      </c>
      <c r="GK36" s="286">
        <f>'Data-temp_employment'!GK36-last_qrtr_tempemp!GL36</f>
        <v>0</v>
      </c>
      <c r="GL36" s="286">
        <f>'Data-temp_employment'!GL36-last_qrtr_tempemp!GM36</f>
        <v>0</v>
      </c>
      <c r="GM36" s="286">
        <f>'Data-temp_employment'!GM36-last_qrtr_tempemp!GN36</f>
        <v>0</v>
      </c>
      <c r="GN36" s="286">
        <f>'Data-temp_employment'!GN36-last_qrtr_tempemp!GO36</f>
        <v>0</v>
      </c>
      <c r="GO36" s="286">
        <f>'Data-temp_employment'!GO36-last_qrtr_tempemp!GP36</f>
        <v>0</v>
      </c>
      <c r="GP36" s="286">
        <f>'Data-temp_employment'!GP36-last_qrtr_tempemp!GQ36</f>
        <v>0</v>
      </c>
      <c r="GQ36" s="286">
        <f>'Data-temp_employment'!GQ36</f>
        <v>0</v>
      </c>
      <c r="GR36" s="279" t="s">
        <v>40</v>
      </c>
      <c r="GS36" s="286">
        <f>'Data-temp_employment'!GS36-last_qrtr_tempemp!GT36</f>
        <v>-2.3999999999999986</v>
      </c>
      <c r="GT36" s="286">
        <f>'Data-temp_employment'!GT36-last_qrtr_tempemp!GU36</f>
        <v>-3.5</v>
      </c>
      <c r="GU36" s="286">
        <f>'Data-temp_employment'!GU36-last_qrtr_tempemp!GV36</f>
        <v>1.5999999999999979</v>
      </c>
      <c r="GV36" s="286">
        <f>'Data-temp_employment'!GV36-last_qrtr_tempemp!GW36</f>
        <v>0.30000000000000071</v>
      </c>
      <c r="GW36" s="286">
        <f>'Data-temp_employment'!GW36-last_qrtr_tempemp!GX36</f>
        <v>-0.5</v>
      </c>
      <c r="GX36" s="286">
        <f>'Data-temp_employment'!GX36-last_qrtr_tempemp!GY36</f>
        <v>0.10000000000000142</v>
      </c>
      <c r="GY36" s="286">
        <f>'Data-temp_employment'!GY36-last_qrtr_tempemp!GZ36</f>
        <v>1.6999999999999993</v>
      </c>
      <c r="GZ36" s="286">
        <f>'Data-temp_employment'!GZ36-last_qrtr_tempemp!HA36</f>
        <v>-1.1000000000000014</v>
      </c>
      <c r="HA36" s="286">
        <f>'Data-temp_employment'!HA36-last_qrtr_tempemp!HB36</f>
        <v>-5</v>
      </c>
      <c r="HB36" s="286">
        <f>'Data-temp_employment'!HB36</f>
        <v>14.4</v>
      </c>
      <c r="HC36" s="279" t="s">
        <v>40</v>
      </c>
      <c r="HD36" s="286">
        <f>'Data-temp_employment'!HD36-last_qrtr_tempemp!HE36</f>
        <v>-6.6999999999999993</v>
      </c>
      <c r="HE36" s="286">
        <f>'Data-temp_employment'!HE36-last_qrtr_tempemp!HF36</f>
        <v>-5.1000000000000014</v>
      </c>
      <c r="HF36" s="286">
        <f>'Data-temp_employment'!HF36-last_qrtr_tempemp!HG36</f>
        <v>-2.4000000000000021</v>
      </c>
      <c r="HG36" s="286">
        <f>'Data-temp_employment'!HG36-last_qrtr_tempemp!HH36</f>
        <v>-0.69999999999999929</v>
      </c>
      <c r="HH36" s="286">
        <f>'Data-temp_employment'!HH36-last_qrtr_tempemp!HI36</f>
        <v>-2.8000000000000007</v>
      </c>
      <c r="HI36" s="286">
        <f>'Data-temp_employment'!HI36-last_qrtr_tempemp!HJ36</f>
        <v>1.7000000000000028</v>
      </c>
      <c r="HJ36" s="286">
        <f>'Data-temp_employment'!HJ36-last_qrtr_tempemp!HK36</f>
        <v>-0.30000000000000071</v>
      </c>
      <c r="HK36" s="286">
        <f>'Data-temp_employment'!HK36-last_qrtr_tempemp!HL36</f>
        <v>-1.5</v>
      </c>
      <c r="HL36" s="286">
        <f>'Data-temp_employment'!HL36-last_qrtr_tempemp!HM36</f>
        <v>-1.9000000000000021</v>
      </c>
      <c r="HM36" s="286">
        <f>'Data-temp_employment'!HM36</f>
        <v>21.7</v>
      </c>
      <c r="HN36" s="279" t="s">
        <v>40</v>
      </c>
      <c r="HO36" s="286">
        <f>'Data-temp_employment'!HO36-last_qrtr_tempemp!HP36</f>
        <v>-5.8999999999999915</v>
      </c>
      <c r="HP36" s="286">
        <f>'Data-temp_employment'!HP36-last_qrtr_tempemp!HQ36</f>
        <v>-1.9000000000000057</v>
      </c>
      <c r="HQ36" s="286">
        <f>'Data-temp_employment'!HQ36-last_qrtr_tempemp!HR36</f>
        <v>10</v>
      </c>
      <c r="HR36" s="286">
        <f>'Data-temp_employment'!HR36-last_qrtr_tempemp!HS36</f>
        <v>7.6999999999999886</v>
      </c>
      <c r="HS36" s="286">
        <f>'Data-temp_employment'!HS36-last_qrtr_tempemp!HT36</f>
        <v>-2.6999999999999886</v>
      </c>
      <c r="HT36" s="286">
        <f>'Data-temp_employment'!HT36-last_qrtr_tempemp!HU36</f>
        <v>-5.9000000000000057</v>
      </c>
      <c r="HU36" s="286">
        <f>'Data-temp_employment'!HU36-last_qrtr_tempemp!HV36</f>
        <v>0.80000000000001137</v>
      </c>
      <c r="HV36" s="286">
        <f>'Data-temp_employment'!HV36-last_qrtr_tempemp!HW36</f>
        <v>-2.4000000000000057</v>
      </c>
      <c r="HW36" s="286">
        <f>'Data-temp_employment'!HW36-last_qrtr_tempemp!HX36</f>
        <v>-16.5</v>
      </c>
      <c r="HX36" s="286">
        <f>'Data-temp_employment'!HX36</f>
        <v>66.599999999999994</v>
      </c>
      <c r="HY36" s="279" t="s">
        <v>40</v>
      </c>
      <c r="HZ36" s="286">
        <f>'Data-temp_employment'!HZ36-last_qrtr_tempemp!IA36</f>
        <v>0</v>
      </c>
      <c r="IA36" s="286">
        <f>'Data-temp_employment'!IA36-last_qrtr_tempemp!IB36</f>
        <v>0</v>
      </c>
      <c r="IB36" s="286">
        <f>'Data-temp_employment'!IB36-last_qrtr_tempemp!IC36</f>
        <v>0</v>
      </c>
      <c r="IC36" s="286">
        <f>'Data-temp_employment'!IC36-last_qrtr_tempemp!ID36</f>
        <v>0</v>
      </c>
      <c r="ID36" s="286">
        <f>'Data-temp_employment'!ID36-last_qrtr_tempemp!IE36</f>
        <v>0</v>
      </c>
      <c r="IE36" s="286">
        <f>'Data-temp_employment'!IE36-last_qrtr_tempemp!IF36</f>
        <v>0</v>
      </c>
      <c r="IF36" s="286">
        <f>'Data-temp_employment'!IF36-last_qrtr_tempemp!IG36</f>
        <v>0</v>
      </c>
      <c r="IG36" s="286">
        <f>'Data-temp_employment'!IG36-last_qrtr_tempemp!IH36</f>
        <v>0</v>
      </c>
      <c r="IH36" s="286">
        <f>'Data-temp_employment'!IH36-last_qrtr_tempemp!II36</f>
        <v>0</v>
      </c>
      <c r="II36" s="286">
        <f>'Data-temp_employment'!II36</f>
        <v>0</v>
      </c>
      <c r="IJ36" s="279" t="s">
        <v>40</v>
      </c>
      <c r="IK36" s="286">
        <f>'Data-temp_employment'!IK36-last_qrtr_tempemp!IL36</f>
        <v>0</v>
      </c>
      <c r="IL36" s="286">
        <f>'Data-temp_employment'!IL36-last_qrtr_tempemp!IM36</f>
        <v>0</v>
      </c>
      <c r="IM36" s="286">
        <f>'Data-temp_employment'!IM36-last_qrtr_tempemp!IN36</f>
        <v>0</v>
      </c>
      <c r="IN36" s="286">
        <f>'Data-temp_employment'!IN36-last_qrtr_tempemp!IO36</f>
        <v>0</v>
      </c>
      <c r="IO36" s="286">
        <f>'Data-temp_employment'!IO36-last_qrtr_tempemp!IP36</f>
        <v>0</v>
      </c>
      <c r="IP36" s="286">
        <f>'Data-temp_employment'!IP36-last_qrtr_tempemp!IQ36</f>
        <v>0</v>
      </c>
      <c r="IQ36" s="286">
        <f>'Data-temp_employment'!IQ36-last_qrtr_tempemp!IR36</f>
        <v>0</v>
      </c>
      <c r="IR36" s="286">
        <f>'Data-temp_employment'!IR36-last_qrtr_tempemp!IS36</f>
        <v>0</v>
      </c>
      <c r="IS36" s="286">
        <f>'Data-temp_employment'!IS36-last_qrtr_tempemp!IT36</f>
        <v>0</v>
      </c>
      <c r="IT36" s="286">
        <f>'Data-temp_employment'!IT36</f>
        <v>0</v>
      </c>
      <c r="IU36" s="279" t="s">
        <v>40</v>
      </c>
      <c r="IV36" s="286">
        <f>'Data-temp_employment'!IV36-last_qrtr_tempemp!IW36</f>
        <v>-0.5</v>
      </c>
      <c r="IW36" s="286">
        <f>'Data-temp_employment'!IW36-last_qrtr_tempemp!IX36</f>
        <v>1.4000000000000004</v>
      </c>
      <c r="IX36" s="286">
        <f>'Data-temp_employment'!IX36-last_qrtr_tempemp!IY36</f>
        <v>9.9999999999999645E-2</v>
      </c>
      <c r="IY36" s="286">
        <f>'Data-temp_employment'!IY36-last_qrtr_tempemp!IZ36</f>
        <v>0.79999999999999982</v>
      </c>
      <c r="IZ36" s="286">
        <f>'Data-temp_employment'!IZ36-last_qrtr_tempemp!JA36</f>
        <v>-3.5000000000000004</v>
      </c>
      <c r="JA36" s="286">
        <f>'Data-temp_employment'!JA36-last_qrtr_tempemp!JB36</f>
        <v>-0.20000000000000018</v>
      </c>
      <c r="JB36" s="286">
        <f>'Data-temp_employment'!JB36-last_qrtr_tempemp!JC36</f>
        <v>-0.89999999999999947</v>
      </c>
      <c r="JC36" s="286">
        <f>'Data-temp_employment'!JC36-last_qrtr_tempemp!JD36</f>
        <v>1.0000000000000004</v>
      </c>
      <c r="JD36" s="286">
        <f>'Data-temp_employment'!JD36-last_qrtr_tempemp!JE36</f>
        <v>-5.3</v>
      </c>
      <c r="JE36" s="286">
        <f>'Data-temp_employment'!JE36</f>
        <v>0</v>
      </c>
      <c r="JF36" s="279" t="s">
        <v>40</v>
      </c>
      <c r="JG36" s="286">
        <f>'Data-temp_employment'!JG36-last_qrtr_tempemp!JH36</f>
        <v>-6</v>
      </c>
      <c r="JH36" s="286">
        <f>'Data-temp_employment'!JH36-last_qrtr_tempemp!JI36</f>
        <v>-7</v>
      </c>
      <c r="JI36" s="286">
        <f>'Data-temp_employment'!JI36-last_qrtr_tempemp!JJ36</f>
        <v>0.5</v>
      </c>
      <c r="JJ36" s="286">
        <f>'Data-temp_employment'!JJ36-last_qrtr_tempemp!JK36</f>
        <v>-4.5999999999999943</v>
      </c>
      <c r="JK36" s="286">
        <f>'Data-temp_employment'!JK36-last_qrtr_tempemp!JL36</f>
        <v>-3.8000000000000043</v>
      </c>
      <c r="JL36" s="286">
        <f>'Data-temp_employment'!JL36-last_qrtr_tempemp!JM36</f>
        <v>-2.5</v>
      </c>
      <c r="JM36" s="286">
        <f>'Data-temp_employment'!JM36-last_qrtr_tempemp!JN36</f>
        <v>0.89999999999999858</v>
      </c>
      <c r="JN36" s="286">
        <f>'Data-temp_employment'!JN36-last_qrtr_tempemp!JO36</f>
        <v>0</v>
      </c>
      <c r="JO36" s="286">
        <f>'Data-temp_employment'!JO36-last_qrtr_tempemp!JP36</f>
        <v>0.90000000000000568</v>
      </c>
      <c r="JP36" s="286">
        <f>'Data-temp_employment'!JP36</f>
        <v>32.5</v>
      </c>
      <c r="JQ36" s="279" t="s">
        <v>40</v>
      </c>
      <c r="JR36" s="286">
        <f>'Data-temp_employment'!JR36-last_qrtr_tempemp!JS36</f>
        <v>-4.4000000000000004</v>
      </c>
      <c r="JS36" s="286">
        <f>'Data-temp_employment'!JS36-last_qrtr_tempemp!JT36</f>
        <v>-3</v>
      </c>
      <c r="JT36" s="286">
        <f>'Data-temp_employment'!JT36-last_qrtr_tempemp!JU36</f>
        <v>4.2999999999999989</v>
      </c>
      <c r="JU36" s="286">
        <f>'Data-temp_employment'!JU36-last_qrtr_tempemp!JV36</f>
        <v>7.3999999999999986</v>
      </c>
      <c r="JV36" s="286">
        <f>'Data-temp_employment'!JV36-last_qrtr_tempemp!JW36</f>
        <v>1.5</v>
      </c>
      <c r="JW36" s="286">
        <f>'Data-temp_employment'!JW36-last_qrtr_tempemp!JX36</f>
        <v>1.8000000000000007</v>
      </c>
      <c r="JX36" s="286">
        <f>'Data-temp_employment'!JX36-last_qrtr_tempemp!JY36</f>
        <v>-1.0999999999999979</v>
      </c>
      <c r="JY36" s="286">
        <f>'Data-temp_employment'!JY36-last_qrtr_tempemp!JZ36</f>
        <v>0.19999999999999929</v>
      </c>
      <c r="JZ36" s="286">
        <f>'Data-temp_employment'!JZ36-last_qrtr_tempemp!KA36</f>
        <v>-6.4</v>
      </c>
      <c r="KA36" s="286">
        <f>'Data-temp_employment'!KA36</f>
        <v>11.8</v>
      </c>
      <c r="KB36" s="279" t="s">
        <v>40</v>
      </c>
      <c r="KC36" s="286">
        <f>'Data-temp_employment'!KC36-last_qrtr_tempemp!KD36</f>
        <v>1</v>
      </c>
      <c r="KD36" s="286">
        <f>'Data-temp_employment'!KD36-last_qrtr_tempemp!KE36</f>
        <v>-4.1999999999999993</v>
      </c>
      <c r="KE36" s="286">
        <f>'Data-temp_employment'!KE36-last_qrtr_tempemp!KF36</f>
        <v>-3.6000000000000014</v>
      </c>
      <c r="KF36" s="286">
        <f>'Data-temp_employment'!KF36-last_qrtr_tempemp!KG36</f>
        <v>-7.8999999999999986</v>
      </c>
      <c r="KG36" s="286">
        <f>'Data-temp_employment'!KG36-last_qrtr_tempemp!KH36</f>
        <v>-9.9000000000000021</v>
      </c>
      <c r="KH36" s="286">
        <f>'Data-temp_employment'!KH36-last_qrtr_tempemp!KI36</f>
        <v>-2.7999999999999972</v>
      </c>
      <c r="KI36" s="286">
        <f>'Data-temp_employment'!KI36-last_qrtr_tempemp!KJ36</f>
        <v>-2</v>
      </c>
      <c r="KJ36" s="286">
        <f>'Data-temp_employment'!KJ36-last_qrtr_tempemp!KK36</f>
        <v>6.8000000000000007</v>
      </c>
      <c r="KK36" s="286">
        <f>'Data-temp_employment'!KK36-last_qrtr_tempemp!KL36</f>
        <v>4.8999999999999986</v>
      </c>
      <c r="KL36" s="286">
        <f>'Data-temp_employment'!KL36</f>
        <v>18.899999999999999</v>
      </c>
      <c r="KM36" s="279" t="s">
        <v>40</v>
      </c>
      <c r="KN36" s="286">
        <f>'Data-temp_employment'!KN36-last_qrtr_tempemp!KO36</f>
        <v>-0.19999999999999929</v>
      </c>
      <c r="KO36" s="286">
        <f>'Data-temp_employment'!KO36-last_qrtr_tempemp!KP36</f>
        <v>0.5</v>
      </c>
      <c r="KP36" s="286">
        <f>'Data-temp_employment'!KP36-last_qrtr_tempemp!KQ36</f>
        <v>-2.5</v>
      </c>
      <c r="KQ36" s="286">
        <f>'Data-temp_employment'!KQ36-last_qrtr_tempemp!KR36</f>
        <v>-0.10000000000000053</v>
      </c>
      <c r="KR36" s="286">
        <f>'Data-temp_employment'!KR36-last_qrtr_tempemp!KS36</f>
        <v>-1.4000000000000004</v>
      </c>
      <c r="KS36" s="286">
        <f>'Data-temp_employment'!KS36-last_qrtr_tempemp!KT36</f>
        <v>-1</v>
      </c>
      <c r="KT36" s="286">
        <f>'Data-temp_employment'!KT36-last_qrtr_tempemp!KU36</f>
        <v>-0.5</v>
      </c>
      <c r="KU36" s="286">
        <f>'Data-temp_employment'!KU36-last_qrtr_tempemp!KV36</f>
        <v>-9.9999999999999645E-2</v>
      </c>
      <c r="KV36" s="286">
        <f>'Data-temp_employment'!KV36-last_qrtr_tempemp!KW36</f>
        <v>1.0999999999999996</v>
      </c>
      <c r="KW36" s="286">
        <f>'Data-temp_employment'!KW36</f>
        <v>0</v>
      </c>
      <c r="KX36" s="279" t="s">
        <v>40</v>
      </c>
      <c r="KY36" s="286">
        <f>'Data-temp_employment'!KY36-last_qrtr_tempemp!KZ36</f>
        <v>-5.3999999999999986</v>
      </c>
      <c r="KZ36" s="286">
        <f>'Data-temp_employment'!KZ36-last_qrtr_tempemp!LA36</f>
        <v>-4</v>
      </c>
      <c r="LA36" s="286">
        <f>'Data-temp_employment'!LA36-last_qrtr_tempemp!LB36</f>
        <v>0.19999999999999929</v>
      </c>
      <c r="LB36" s="286">
        <f>'Data-temp_employment'!LB36-last_qrtr_tempemp!LC36</f>
        <v>1.6999999999999993</v>
      </c>
      <c r="LC36" s="286">
        <f>'Data-temp_employment'!LC36-last_qrtr_tempemp!LD36</f>
        <v>-2.5999999999999996</v>
      </c>
      <c r="LD36" s="286">
        <f>'Data-temp_employment'!LD36-last_qrtr_tempemp!LE36</f>
        <v>-6</v>
      </c>
      <c r="LE36" s="286">
        <f>'Data-temp_employment'!LE36-last_qrtr_tempemp!LF36</f>
        <v>-3.2999999999999989</v>
      </c>
      <c r="LF36" s="286">
        <f>'Data-temp_employment'!LF36-last_qrtr_tempemp!LG36</f>
        <v>-0.70000000000000107</v>
      </c>
      <c r="LG36" s="286">
        <f>'Data-temp_employment'!LG36-last_qrtr_tempemp!LH36</f>
        <v>1.6999999999999993</v>
      </c>
      <c r="LH36" s="286">
        <f>'Data-temp_employment'!LH36</f>
        <v>12.3</v>
      </c>
      <c r="LI36" s="279" t="s">
        <v>40</v>
      </c>
      <c r="LJ36" s="286">
        <f>'Data-temp_employment'!LJ36-last_qrtr_tempemp!LK36</f>
        <v>0</v>
      </c>
      <c r="LK36" s="286">
        <f>'Data-temp_employment'!LK36-last_qrtr_tempemp!LL36</f>
        <v>0</v>
      </c>
      <c r="LL36" s="286">
        <f>'Data-temp_employment'!LL36-last_qrtr_tempemp!LM36</f>
        <v>0</v>
      </c>
      <c r="LM36" s="286">
        <f>'Data-temp_employment'!LM36-last_qrtr_tempemp!LN36</f>
        <v>0</v>
      </c>
      <c r="LN36" s="286">
        <f>'Data-temp_employment'!LN36-last_qrtr_tempemp!LO36</f>
        <v>0</v>
      </c>
      <c r="LO36" s="286">
        <f>'Data-temp_employment'!LO36-last_qrtr_tempemp!LP36</f>
        <v>0</v>
      </c>
      <c r="LP36" s="286">
        <f>'Data-temp_employment'!LP36-last_qrtr_tempemp!LQ36</f>
        <v>0</v>
      </c>
      <c r="LQ36" s="286">
        <f>'Data-temp_employment'!LQ36-last_qrtr_tempemp!LR36</f>
        <v>0</v>
      </c>
      <c r="LR36" s="286">
        <f>'Data-temp_employment'!LR36-last_qrtr_tempemp!LS36</f>
        <v>0</v>
      </c>
      <c r="LS36" s="286">
        <f>'Data-temp_employment'!LS36</f>
        <v>0</v>
      </c>
      <c r="LT36" s="279" t="s">
        <v>40</v>
      </c>
      <c r="LU36" s="286">
        <f>'Data-temp_employment'!LU36-last_qrtr_tempemp!LV36</f>
        <v>0</v>
      </c>
      <c r="LV36" s="286">
        <f>'Data-temp_employment'!LV36-last_qrtr_tempemp!LW36</f>
        <v>0</v>
      </c>
      <c r="LW36" s="286">
        <f>'Data-temp_employment'!LW36-last_qrtr_tempemp!LX36</f>
        <v>0</v>
      </c>
      <c r="LX36" s="286">
        <f>'Data-temp_employment'!LX36-last_qrtr_tempemp!LY36</f>
        <v>0</v>
      </c>
      <c r="LY36" s="286">
        <f>'Data-temp_employment'!LY36-last_qrtr_tempemp!LZ36</f>
        <v>0</v>
      </c>
      <c r="LZ36" s="286">
        <f>'Data-temp_employment'!LZ36-last_qrtr_tempemp!MA36</f>
        <v>0</v>
      </c>
      <c r="MA36" s="286">
        <f>'Data-temp_employment'!MA36-last_qrtr_tempemp!MB36</f>
        <v>0</v>
      </c>
      <c r="MB36" s="286">
        <f>'Data-temp_employment'!MB36-last_qrtr_tempemp!MC36</f>
        <v>0</v>
      </c>
      <c r="MC36" s="286">
        <f>'Data-temp_employment'!MC36-last_qrtr_tempemp!MD36</f>
        <v>0</v>
      </c>
      <c r="MD36" s="286">
        <f>'Data-temp_employment'!MD36</f>
        <v>0</v>
      </c>
      <c r="ME36" s="279" t="s">
        <v>40</v>
      </c>
      <c r="MF36" s="286">
        <f>'Data-temp_employment'!MF36-last_qrtr_tempemp!MG36</f>
        <v>0</v>
      </c>
      <c r="MG36" s="286">
        <f>'Data-temp_employment'!MG36-last_qrtr_tempemp!MH36</f>
        <v>0</v>
      </c>
      <c r="MH36" s="286">
        <f>'Data-temp_employment'!MH36-last_qrtr_tempemp!MI36</f>
        <v>0</v>
      </c>
      <c r="MI36" s="286">
        <f>'Data-temp_employment'!MI36-last_qrtr_tempemp!MJ36</f>
        <v>0</v>
      </c>
      <c r="MJ36" s="286">
        <f>'Data-temp_employment'!MJ36-last_qrtr_tempemp!MK36</f>
        <v>0</v>
      </c>
      <c r="MK36" s="286">
        <f>'Data-temp_employment'!MK36-last_qrtr_tempemp!ML36</f>
        <v>0</v>
      </c>
      <c r="ML36" s="286">
        <f>'Data-temp_employment'!ML36-last_qrtr_tempemp!MM36</f>
        <v>0</v>
      </c>
      <c r="MM36" s="286">
        <f>'Data-temp_employment'!MM36-last_qrtr_tempemp!MN36</f>
        <v>0</v>
      </c>
      <c r="MN36" s="286">
        <f>'Data-temp_employment'!MN36-last_qrtr_tempemp!MO36</f>
        <v>0</v>
      </c>
      <c r="MO36" s="286">
        <f>'Data-temp_employment'!MO36</f>
        <v>0</v>
      </c>
      <c r="MP36" s="279" t="s">
        <v>40</v>
      </c>
      <c r="MQ36" s="286">
        <f>'Data-temp_employment'!MQ36-last_qrtr_tempemp!MR36</f>
        <v>1</v>
      </c>
      <c r="MR36" s="286">
        <f>'Data-temp_employment'!MR36-last_qrtr_tempemp!MS36</f>
        <v>0</v>
      </c>
      <c r="MS36" s="286">
        <f>'Data-temp_employment'!MS36-last_qrtr_tempemp!MT36</f>
        <v>3.4000000000000004</v>
      </c>
      <c r="MT36" s="286">
        <f>'Data-temp_employment'!MT36-last_qrtr_tempemp!MU36</f>
        <v>3</v>
      </c>
      <c r="MU36" s="286">
        <f>'Data-temp_employment'!MU36-last_qrtr_tempemp!MV36</f>
        <v>3.4000000000000021</v>
      </c>
      <c r="MV36" s="286">
        <f>'Data-temp_employment'!MV36-last_qrtr_tempemp!MW36</f>
        <v>2.5</v>
      </c>
      <c r="MW36" s="286">
        <f>'Data-temp_employment'!MW36-last_qrtr_tempemp!MX36</f>
        <v>5.1999999999999993</v>
      </c>
      <c r="MX36" s="286">
        <f>'Data-temp_employment'!MX36-last_qrtr_tempemp!MY36</f>
        <v>-5.0000000000000018</v>
      </c>
      <c r="MY36" s="286">
        <f>'Data-temp_employment'!MY36-last_qrtr_tempemp!MZ36</f>
        <v>-8.1999999999999993</v>
      </c>
      <c r="MZ36" s="286">
        <f>'Data-temp_employment'!MZ36</f>
        <v>9.4</v>
      </c>
      <c r="NA36" s="279" t="s">
        <v>40</v>
      </c>
      <c r="NB36" s="286">
        <f>'Data-temp_employment'!NB36-last_qrtr_tempemp!NC36</f>
        <v>-3.5999999999999943</v>
      </c>
      <c r="NC36" s="286">
        <f>'Data-temp_employment'!NC36-last_qrtr_tempemp!ND36</f>
        <v>-0.60000000000000142</v>
      </c>
      <c r="ND36" s="286">
        <f>'Data-temp_employment'!ND36-last_qrtr_tempemp!NE36</f>
        <v>-1.5</v>
      </c>
      <c r="NE36" s="286">
        <f>'Data-temp_employment'!NE36-last_qrtr_tempemp!NF36</f>
        <v>-0.70000000000000284</v>
      </c>
      <c r="NF36" s="286">
        <f>'Data-temp_employment'!NF36-last_qrtr_tempemp!NG36</f>
        <v>-5.2999999999999972</v>
      </c>
      <c r="NG36" s="286">
        <f>'Data-temp_employment'!NG36-last_qrtr_tempemp!NH36</f>
        <v>-3.6999999999999957</v>
      </c>
      <c r="NH36" s="286">
        <f>'Data-temp_employment'!NH36-last_qrtr_tempemp!NI36</f>
        <v>-3.8999999999999986</v>
      </c>
      <c r="NI36" s="286">
        <f>'Data-temp_employment'!NI36-last_qrtr_tempemp!NJ36</f>
        <v>6.0999999999999943</v>
      </c>
      <c r="NJ36" s="286">
        <f>'Data-temp_employment'!NJ36-last_qrtr_tempemp!NK36</f>
        <v>-2.8000000000000043</v>
      </c>
      <c r="NK36" s="286">
        <f>'Data-temp_employment'!NK36</f>
        <v>51.4</v>
      </c>
      <c r="NL36" s="279" t="s">
        <v>40</v>
      </c>
      <c r="NM36" s="286">
        <f>'Data-temp_employment'!NM36-last_qrtr_tempemp!NN36</f>
        <v>0.59999999999999964</v>
      </c>
      <c r="NN36" s="286">
        <f>'Data-temp_employment'!NN36-last_qrtr_tempemp!NO36</f>
        <v>1.3999999999999986</v>
      </c>
      <c r="NO36" s="286">
        <f>'Data-temp_employment'!NO36-last_qrtr_tempemp!NP36</f>
        <v>-4.5</v>
      </c>
      <c r="NP36" s="286">
        <f>'Data-temp_employment'!NP36-last_qrtr_tempemp!NQ36</f>
        <v>0</v>
      </c>
      <c r="NQ36" s="286">
        <f>'Data-temp_employment'!NQ36-last_qrtr_tempemp!NR36</f>
        <v>-2.7999999999999989</v>
      </c>
      <c r="NR36" s="286">
        <f>'Data-temp_employment'!NR36-last_qrtr_tempemp!NS36</f>
        <v>2.0999999999999996</v>
      </c>
      <c r="NS36" s="286">
        <f>'Data-temp_employment'!NS36-last_qrtr_tempemp!NT36</f>
        <v>-1.9000000000000004</v>
      </c>
      <c r="NT36" s="286">
        <f>'Data-temp_employment'!NT36-last_qrtr_tempemp!NU36</f>
        <v>2.9000000000000004</v>
      </c>
      <c r="NU36" s="286">
        <f>'Data-temp_employment'!NU36-last_qrtr_tempemp!NV36</f>
        <v>0.20000000000000107</v>
      </c>
      <c r="NV36" s="286">
        <f>'Data-temp_employment'!NV36</f>
        <v>7.7</v>
      </c>
      <c r="NW36" s="279" t="s">
        <v>40</v>
      </c>
      <c r="NX36" s="286">
        <f>'Data-temp_employment'!NX36-last_qrtr_tempemp!NY36</f>
        <v>-1.7000000000000002</v>
      </c>
      <c r="NY36" s="286">
        <f>'Data-temp_employment'!NY36-last_qrtr_tempemp!NZ36</f>
        <v>-3.2</v>
      </c>
      <c r="NZ36" s="286">
        <f>'Data-temp_employment'!NZ36-last_qrtr_tempemp!OA36</f>
        <v>-0.70000000000000107</v>
      </c>
      <c r="OA36" s="286">
        <f>'Data-temp_employment'!OA36-last_qrtr_tempemp!OB36</f>
        <v>0.39999999999999947</v>
      </c>
      <c r="OB36" s="286">
        <f>'Data-temp_employment'!OB36-last_qrtr_tempemp!OC36</f>
        <v>0.60000000000000053</v>
      </c>
      <c r="OC36" s="286">
        <f>'Data-temp_employment'!OC36-last_qrtr_tempemp!OD36</f>
        <v>-0.29999999999999893</v>
      </c>
      <c r="OD36" s="286">
        <f>'Data-temp_employment'!OD36-last_qrtr_tempemp!OE36</f>
        <v>-9.9999999999999645E-2</v>
      </c>
      <c r="OE36" s="286">
        <f>'Data-temp_employment'!OE36-last_qrtr_tempemp!OF36</f>
        <v>0.59999999999999964</v>
      </c>
      <c r="OF36" s="286">
        <f>'Data-temp_employment'!OF36-last_qrtr_tempemp!OG36</f>
        <v>0.90000000000000036</v>
      </c>
      <c r="OG36" s="286">
        <f>'Data-temp_employment'!OG36</f>
        <v>8.4</v>
      </c>
      <c r="OH36" s="287" t="s">
        <v>40</v>
      </c>
      <c r="OI36" s="286"/>
      <c r="OJ36" s="286"/>
      <c r="OK36" s="286"/>
      <c r="OL36" s="286"/>
      <c r="OM36" s="286"/>
      <c r="ON36" s="286"/>
      <c r="OO36" s="286"/>
      <c r="OP36" s="286"/>
      <c r="OQ36" s="286"/>
      <c r="OR36" s="286"/>
      <c r="OS36" s="279" t="s">
        <v>40</v>
      </c>
      <c r="OT36" s="286" t="e">
        <f>'Data-temp_employment'!#REF!-last_qrtr_tempemp!OU36</f>
        <v>#REF!</v>
      </c>
      <c r="OU36" s="286" t="e">
        <f>'Data-temp_employment'!#REF!-last_qrtr_tempemp!OV36</f>
        <v>#REF!</v>
      </c>
      <c r="OV36" s="286" t="e">
        <f>'Data-temp_employment'!#REF!-last_qrtr_tempemp!OW36</f>
        <v>#REF!</v>
      </c>
      <c r="OW36" s="286" t="e">
        <f>'Data-temp_employment'!#REF!-last_qrtr_tempemp!OX36</f>
        <v>#REF!</v>
      </c>
      <c r="OX36" s="286" t="e">
        <f>'Data-temp_employment'!#REF!-last_qrtr_tempemp!OY36</f>
        <v>#REF!</v>
      </c>
      <c r="OY36" s="286" t="e">
        <f>'Data-temp_employment'!#REF!-last_qrtr_tempemp!OZ36</f>
        <v>#REF!</v>
      </c>
      <c r="OZ36" s="286" t="e">
        <f>'Data-temp_employment'!#REF!-last_qrtr_tempemp!PA36</f>
        <v>#REF!</v>
      </c>
      <c r="PA36" s="286" t="e">
        <f>'Data-temp_employment'!#REF!-last_qrtr_tempemp!PB36</f>
        <v>#REF!</v>
      </c>
      <c r="PB36" s="286" t="e">
        <f>'Data-temp_employment'!#REF!-last_qrtr_tempemp!PC36</f>
        <v>#REF!</v>
      </c>
      <c r="PC36" s="286" t="e">
        <f>'Data-temp_employment'!#REF!</f>
        <v>#REF!</v>
      </c>
      <c r="PE36" s="319"/>
      <c r="PF36" s="319"/>
      <c r="PG36" s="319"/>
      <c r="PH36" s="319"/>
      <c r="PI36" s="319"/>
      <c r="PJ36" s="319"/>
      <c r="PK36" s="319"/>
      <c r="PL36" s="319"/>
      <c r="PM36" s="319"/>
      <c r="PN36" s="319"/>
      <c r="PO36" s="319"/>
      <c r="PP36" s="319"/>
      <c r="PQ36" s="319"/>
      <c r="PR36" s="319"/>
      <c r="PS36" s="319"/>
      <c r="PT36" s="319"/>
      <c r="PU36" s="319"/>
      <c r="PV36" s="319"/>
      <c r="PW36" s="319"/>
      <c r="PX36" s="319"/>
      <c r="PY36" s="319"/>
      <c r="PZ36" s="319"/>
      <c r="QA36" s="319"/>
      <c r="QB36" s="319"/>
      <c r="QC36" s="319"/>
      <c r="QD36" s="319"/>
      <c r="QE36" s="319"/>
      <c r="QF36" s="319"/>
      <c r="QG36" s="319"/>
      <c r="QH36" s="319"/>
      <c r="QI36" s="319"/>
      <c r="QJ36" s="319"/>
      <c r="QK36" s="319"/>
      <c r="QL36" s="319"/>
      <c r="QM36" s="319"/>
      <c r="QN36" s="319"/>
      <c r="QO36" s="319"/>
      <c r="QP36" s="319"/>
      <c r="QQ36" s="319"/>
      <c r="QR36" s="319"/>
      <c r="QS36" s="319"/>
      <c r="QT36" s="319"/>
      <c r="QU36" s="319"/>
      <c r="QV36" s="319"/>
      <c r="QW36" s="319"/>
      <c r="QX36" s="319"/>
      <c r="QY36" s="319"/>
      <c r="QZ36" s="319"/>
      <c r="RA36" s="319"/>
      <c r="RB36" s="319"/>
      <c r="RC36" s="319"/>
      <c r="RD36" s="319"/>
      <c r="RE36" s="319"/>
      <c r="RF36" s="319"/>
      <c r="RG36" s="319"/>
      <c r="RH36" s="319"/>
      <c r="RI36" s="319"/>
      <c r="RJ36" s="319"/>
      <c r="RK36" s="319"/>
      <c r="RL36" s="319"/>
      <c r="RM36" s="319"/>
      <c r="RN36" s="319"/>
      <c r="RO36" s="319"/>
      <c r="RP36" s="319"/>
    </row>
    <row r="37" spans="1:485">
      <c r="A37" s="269">
        <v>34</v>
      </c>
      <c r="B37" s="285" t="s">
        <v>39</v>
      </c>
      <c r="C37" s="286">
        <f>'Data-temp_employment'!C37-last_qrtr_tempemp!D37</f>
        <v>-1.1000000000000014</v>
      </c>
      <c r="D37" s="286">
        <f>'Data-temp_employment'!D37-last_qrtr_tempemp!E37</f>
        <v>-2.4000000000000021</v>
      </c>
      <c r="E37" s="286">
        <f>'Data-temp_employment'!E37-last_qrtr_tempemp!F37</f>
        <v>-0.5</v>
      </c>
      <c r="F37" s="286">
        <f>'Data-temp_employment'!F37-last_qrtr_tempemp!G37</f>
        <v>0</v>
      </c>
      <c r="G37" s="286">
        <f>'Data-temp_employment'!G37-last_qrtr_tempemp!H37</f>
        <v>-9.9999999999997868E-2</v>
      </c>
      <c r="H37" s="286">
        <f>'Data-temp_employment'!H37-last_qrtr_tempemp!I37</f>
        <v>0.5</v>
      </c>
      <c r="I37" s="286">
        <f>'Data-temp_employment'!I37-last_qrtr_tempemp!J37</f>
        <v>2.3000000000000007</v>
      </c>
      <c r="J37" s="286">
        <f>'Data-temp_employment'!J37-last_qrtr_tempemp!K37</f>
        <v>-0.5</v>
      </c>
      <c r="K37" s="286">
        <f>'Data-temp_employment'!K37-last_qrtr_tempemp!L37</f>
        <v>-1.1000000000000014</v>
      </c>
      <c r="L37" s="286">
        <f>'Data-temp_employment'!L37</f>
        <v>16.2</v>
      </c>
      <c r="M37" s="285" t="s">
        <v>39</v>
      </c>
      <c r="N37" s="286">
        <f>'Data-temp_employment'!N37-last_qrtr_tempemp!O37</f>
        <v>-9.5</v>
      </c>
      <c r="O37" s="286">
        <f>'Data-temp_employment'!O37-last_qrtr_tempemp!P37</f>
        <v>-17.799999999999983</v>
      </c>
      <c r="P37" s="286">
        <f>'Data-temp_employment'!P37-last_qrtr_tempemp!Q37</f>
        <v>0.5</v>
      </c>
      <c r="Q37" s="286">
        <f>'Data-temp_employment'!Q37-last_qrtr_tempemp!R37</f>
        <v>6.6999999999999886</v>
      </c>
      <c r="R37" s="286">
        <f>'Data-temp_employment'!R37-last_qrtr_tempemp!S37</f>
        <v>1.5999999999999943</v>
      </c>
      <c r="S37" s="286">
        <f>'Data-temp_employment'!S37-last_qrtr_tempemp!T37</f>
        <v>7.0999999999999943</v>
      </c>
      <c r="T37" s="286">
        <f>'Data-temp_employment'!T37-last_qrtr_tempemp!U37</f>
        <v>24.800000000000011</v>
      </c>
      <c r="U37" s="286">
        <f>'Data-temp_employment'!U37-last_qrtr_tempemp!V37</f>
        <v>0.19999999999998863</v>
      </c>
      <c r="V37" s="286">
        <f>'Data-temp_employment'!V37-last_qrtr_tempemp!W37</f>
        <v>-8.7000000000000171</v>
      </c>
      <c r="W37" s="286">
        <f>'Data-temp_employment'!W37</f>
        <v>133.69999999999999</v>
      </c>
      <c r="X37" s="285" t="s">
        <v>39</v>
      </c>
      <c r="Y37" s="286">
        <f>'Data-temp_employment'!Y37-last_qrtr_tempemp!Z37</f>
        <v>-3.1999999999999997</v>
      </c>
      <c r="Z37" s="286">
        <f>'Data-temp_employment'!Z37-last_qrtr_tempemp!AA37</f>
        <v>-5.1999999999999993</v>
      </c>
      <c r="AA37" s="286">
        <f>'Data-temp_employment'!AA37-last_qrtr_tempemp!AB37</f>
        <v>3.1000000000000005</v>
      </c>
      <c r="AB37" s="286">
        <f>'Data-temp_employment'!AB37-last_qrtr_tempemp!AC37</f>
        <v>0.89999999999999991</v>
      </c>
      <c r="AC37" s="286">
        <f>'Data-temp_employment'!AC37-last_qrtr_tempemp!AD37</f>
        <v>1.6</v>
      </c>
      <c r="AD37" s="286">
        <f>'Data-temp_employment'!AD37-last_qrtr_tempemp!AE37</f>
        <v>-1.1000000000000005</v>
      </c>
      <c r="AE37" s="286">
        <f>'Data-temp_employment'!AE37-last_qrtr_tempemp!AF37</f>
        <v>9.3000000000000007</v>
      </c>
      <c r="AF37" s="286">
        <f>'Data-temp_employment'!AF37-last_qrtr_tempemp!AG37</f>
        <v>0.79999999999999982</v>
      </c>
      <c r="AG37" s="286">
        <f>'Data-temp_employment'!AG37-last_qrtr_tempemp!AH37</f>
        <v>0.29999999999999982</v>
      </c>
      <c r="AH37" s="286">
        <f>'Data-temp_employment'!AH37</f>
        <v>4.0999999999999996</v>
      </c>
      <c r="AI37" s="285" t="s">
        <v>39</v>
      </c>
      <c r="AJ37" s="286">
        <f>'Data-temp_employment'!AJ37-last_qrtr_tempemp!AK37</f>
        <v>-5.3999999999999986</v>
      </c>
      <c r="AK37" s="286">
        <f>'Data-temp_employment'!AK37-last_qrtr_tempemp!AL37</f>
        <v>-6.0999999999999943</v>
      </c>
      <c r="AL37" s="286">
        <f>'Data-temp_employment'!AL37-last_qrtr_tempemp!AM37</f>
        <v>2.8000000000000043</v>
      </c>
      <c r="AM37" s="286">
        <f>'Data-temp_employment'!AM37-last_qrtr_tempemp!AN37</f>
        <v>5</v>
      </c>
      <c r="AN37" s="286">
        <f>'Data-temp_employment'!AN37-last_qrtr_tempemp!AO37</f>
        <v>-1</v>
      </c>
      <c r="AO37" s="286">
        <f>'Data-temp_employment'!AO37-last_qrtr_tempemp!AP37</f>
        <v>-3.6000000000000014</v>
      </c>
      <c r="AP37" s="286">
        <f>'Data-temp_employment'!AP37-last_qrtr_tempemp!AQ37</f>
        <v>7.8000000000000043</v>
      </c>
      <c r="AQ37" s="286">
        <f>'Data-temp_employment'!AQ37-last_qrtr_tempemp!AR37</f>
        <v>2.5999999999999943</v>
      </c>
      <c r="AR37" s="286">
        <f>'Data-temp_employment'!AR37-last_qrtr_tempemp!AS37</f>
        <v>-4.3999999999999986</v>
      </c>
      <c r="AS37" s="286">
        <f>'Data-temp_employment'!AS37</f>
        <v>30.6</v>
      </c>
      <c r="AT37" s="285" t="s">
        <v>39</v>
      </c>
      <c r="AU37" s="286">
        <f>'Data-temp_employment'!AU37-last_qrtr_tempemp!AV37</f>
        <v>0.19999999999999929</v>
      </c>
      <c r="AV37" s="286">
        <f>'Data-temp_employment'!AV37-last_qrtr_tempemp!AW37</f>
        <v>-3.6999999999999993</v>
      </c>
      <c r="AW37" s="286">
        <f>'Data-temp_employment'!AW37-last_qrtr_tempemp!AX37</f>
        <v>0.60000000000000142</v>
      </c>
      <c r="AX37" s="286">
        <f>'Data-temp_employment'!AX37-last_qrtr_tempemp!AY37</f>
        <v>2.8000000000000007</v>
      </c>
      <c r="AY37" s="286">
        <f>'Data-temp_employment'!AY37-last_qrtr_tempemp!AZ37</f>
        <v>1.8999999999999986</v>
      </c>
      <c r="AZ37" s="286">
        <f>'Data-temp_employment'!AZ37-last_qrtr_tempemp!BA37</f>
        <v>2.5</v>
      </c>
      <c r="BA37" s="286">
        <f>'Data-temp_employment'!BA37-last_qrtr_tempemp!BB37</f>
        <v>-1.6000000000000014</v>
      </c>
      <c r="BB37" s="286">
        <f>'Data-temp_employment'!BB37-last_qrtr_tempemp!BC37</f>
        <v>3.5</v>
      </c>
      <c r="BC37" s="286">
        <f>'Data-temp_employment'!BC37-last_qrtr_tempemp!BD37</f>
        <v>0.69999999999999929</v>
      </c>
      <c r="BD37" s="286">
        <f>'Data-temp_employment'!BD37</f>
        <v>25</v>
      </c>
      <c r="BE37" s="279" t="s">
        <v>39</v>
      </c>
      <c r="BF37" s="286">
        <f>'Data-temp_employment'!BF37-last_qrtr_tempemp!BG37</f>
        <v>-6.2000000000000028</v>
      </c>
      <c r="BG37" s="286">
        <f>'Data-temp_employment'!BG37-last_qrtr_tempemp!BH37</f>
        <v>-3.7000000000000028</v>
      </c>
      <c r="BH37" s="286">
        <f>'Data-temp_employment'!BH37-last_qrtr_tempemp!BI37</f>
        <v>-3.7000000000000028</v>
      </c>
      <c r="BI37" s="286">
        <f>'Data-temp_employment'!BI37-last_qrtr_tempemp!BJ37</f>
        <v>4.3000000000000043</v>
      </c>
      <c r="BJ37" s="286">
        <f>'Data-temp_employment'!BJ37-last_qrtr_tempemp!BK37</f>
        <v>4</v>
      </c>
      <c r="BK37" s="286">
        <f>'Data-temp_employment'!BK37-last_qrtr_tempemp!BL37</f>
        <v>11.600000000000001</v>
      </c>
      <c r="BL37" s="286">
        <f>'Data-temp_employment'!BL37-last_qrtr_tempemp!BM37</f>
        <v>6.1000000000000014</v>
      </c>
      <c r="BM37" s="286">
        <f>'Data-temp_employment'!BM37-last_qrtr_tempemp!BN37</f>
        <v>-3.2999999999999972</v>
      </c>
      <c r="BN37" s="286">
        <f>'Data-temp_employment'!BN37-last_qrtr_tempemp!BO37</f>
        <v>-7.1000000000000014</v>
      </c>
      <c r="BO37" s="286">
        <f>'Data-temp_employment'!BO37</f>
        <v>55.7</v>
      </c>
      <c r="BP37" s="282" t="s">
        <v>39</v>
      </c>
      <c r="BQ37" s="286">
        <f>'Data-temp_employment'!BQ37-last_qrtr_tempemp!BR37</f>
        <v>3.6000000000000014</v>
      </c>
      <c r="BR37" s="286">
        <f>'Data-temp_employment'!BR37-last_qrtr_tempemp!BS37</f>
        <v>-0.5</v>
      </c>
      <c r="BS37" s="286">
        <f>'Data-temp_employment'!BS37-last_qrtr_tempemp!BT37</f>
        <v>-2.4000000000000004</v>
      </c>
      <c r="BT37" s="286">
        <f>'Data-temp_employment'!BT37-last_qrtr_tempemp!BU37</f>
        <v>-3.8000000000000007</v>
      </c>
      <c r="BU37" s="286">
        <f>'Data-temp_employment'!BU37-last_qrtr_tempemp!BV37</f>
        <v>-4.4999999999999982</v>
      </c>
      <c r="BV37" s="286">
        <f>'Data-temp_employment'!BV37-last_qrtr_tempemp!BW37</f>
        <v>-2.2999999999999989</v>
      </c>
      <c r="BW37" s="286">
        <f>'Data-temp_employment'!BW37-last_qrtr_tempemp!BX37</f>
        <v>0.69999999999999929</v>
      </c>
      <c r="BX37" s="286">
        <f>'Data-temp_employment'!BX37-last_qrtr_tempemp!BY37</f>
        <v>0.29999999999999893</v>
      </c>
      <c r="BY37" s="286">
        <f>'Data-temp_employment'!BY37-last_qrtr_tempemp!BZ37</f>
        <v>1.1999999999999993</v>
      </c>
      <c r="BZ37" s="286">
        <f>'Data-temp_employment'!BZ37</f>
        <v>11.6</v>
      </c>
      <c r="CA37" s="282" t="s">
        <v>39</v>
      </c>
      <c r="CB37" s="286">
        <f>'Data-temp_employment'!CB37-last_qrtr_tempemp!CC37</f>
        <v>1.5</v>
      </c>
      <c r="CC37" s="286">
        <f>'Data-temp_employment'!CC37-last_qrtr_tempemp!CD37</f>
        <v>1.3000000000000007</v>
      </c>
      <c r="CD37" s="286">
        <f>'Data-temp_employment'!CD37-last_qrtr_tempemp!CE37</f>
        <v>0</v>
      </c>
      <c r="CE37" s="286">
        <f>'Data-temp_employment'!CE37-last_qrtr_tempemp!CF37</f>
        <v>-2.5000000000000018</v>
      </c>
      <c r="CF37" s="286">
        <f>'Data-temp_employment'!CF37-last_qrtr_tempemp!CG37</f>
        <v>-0.40000000000000213</v>
      </c>
      <c r="CG37" s="286">
        <f>'Data-temp_employment'!CG37-last_qrtr_tempemp!CH37</f>
        <v>0.10000000000000142</v>
      </c>
      <c r="CH37" s="286">
        <f>'Data-temp_employment'!CH37-last_qrtr_tempemp!CI37</f>
        <v>2.5</v>
      </c>
      <c r="CI37" s="286">
        <f>'Data-temp_employment'!CI37-last_qrtr_tempemp!CJ37</f>
        <v>-3.5999999999999979</v>
      </c>
      <c r="CJ37" s="286">
        <f>'Data-temp_employment'!CJ37-last_qrtr_tempemp!CK37</f>
        <v>0.69999999999999929</v>
      </c>
      <c r="CK37" s="286">
        <f>'Data-temp_employment'!CK37</f>
        <v>6.6</v>
      </c>
      <c r="CL37" s="285" t="s">
        <v>39</v>
      </c>
      <c r="CM37" s="286">
        <f>'Data-temp_employment'!CM37-last_qrtr_tempemp!CN37</f>
        <v>-2.6999999999999993</v>
      </c>
      <c r="CN37" s="286">
        <f>'Data-temp_employment'!CN37-last_qrtr_tempemp!CO37</f>
        <v>-3.8000000000000007</v>
      </c>
      <c r="CO37" s="286">
        <f>'Data-temp_employment'!CO37-last_qrtr_tempemp!CP37</f>
        <v>2.0999999999999996</v>
      </c>
      <c r="CP37" s="286">
        <f>'Data-temp_employment'!CP37-last_qrtr_tempemp!CQ37</f>
        <v>0.40000000000000036</v>
      </c>
      <c r="CQ37" s="286">
        <f>'Data-temp_employment'!CQ37-last_qrtr_tempemp!CR37</f>
        <v>1.5</v>
      </c>
      <c r="CR37" s="286">
        <f>'Data-temp_employment'!CR37-last_qrtr_tempemp!CS37</f>
        <v>-0.69999999999999929</v>
      </c>
      <c r="CS37" s="286">
        <f>'Data-temp_employment'!CS37-last_qrtr_tempemp!CT37</f>
        <v>7.9999999999999982</v>
      </c>
      <c r="CT37" s="286">
        <f>'Data-temp_employment'!CT37-last_qrtr_tempemp!CU37</f>
        <v>0.59999999999999964</v>
      </c>
      <c r="CU37" s="286">
        <f>'Data-temp_employment'!CU37-last_qrtr_tempemp!CV37</f>
        <v>0.29999999999999893</v>
      </c>
      <c r="CV37" s="286">
        <f>'Data-temp_employment'!CV37</f>
        <v>14.4</v>
      </c>
      <c r="CW37" s="285" t="s">
        <v>39</v>
      </c>
      <c r="CX37" s="286">
        <f>'Data-temp_employment'!CX37-last_qrtr_tempemp!CY37</f>
        <v>-4.6000000000000085</v>
      </c>
      <c r="CY37" s="286">
        <f>'Data-temp_employment'!CY37-last_qrtr_tempemp!CZ37</f>
        <v>-19.400000000000006</v>
      </c>
      <c r="CZ37" s="286">
        <f>'Data-temp_employment'!CZ37-last_qrtr_tempemp!DA37</f>
        <v>-0.40000000000000568</v>
      </c>
      <c r="DA37" s="286">
        <f>'Data-temp_employment'!DA37-last_qrtr_tempemp!DB37</f>
        <v>1.7999999999999972</v>
      </c>
      <c r="DB37" s="286">
        <f>'Data-temp_employment'!DB37-last_qrtr_tempemp!DC37</f>
        <v>2.5</v>
      </c>
      <c r="DC37" s="286">
        <f>'Data-temp_employment'!DC37-last_qrtr_tempemp!DD37</f>
        <v>2.7999999999999972</v>
      </c>
      <c r="DD37" s="286">
        <f>'Data-temp_employment'!DD37-last_qrtr_tempemp!DE37</f>
        <v>10.400000000000006</v>
      </c>
      <c r="DE37" s="286">
        <f>'Data-temp_employment'!DE37-last_qrtr_tempemp!DF37</f>
        <v>-2.2999999999999972</v>
      </c>
      <c r="DF37" s="286">
        <f>'Data-temp_employment'!DF37-last_qrtr_tempemp!DG37</f>
        <v>-7.0999999999999943</v>
      </c>
      <c r="DG37" s="286">
        <f>'Data-temp_employment'!DG37</f>
        <v>76.400000000000006</v>
      </c>
      <c r="DH37" s="285" t="s">
        <v>39</v>
      </c>
      <c r="DI37" s="286">
        <f>'Data-temp_employment'!DI37-last_qrtr_tempemp!DJ37</f>
        <v>-2.2999999999999972</v>
      </c>
      <c r="DJ37" s="286">
        <f>'Data-temp_employment'!DJ37-last_qrtr_tempemp!DK37</f>
        <v>5.3000000000000043</v>
      </c>
      <c r="DK37" s="286">
        <f>'Data-temp_employment'!DK37-last_qrtr_tempemp!DL37</f>
        <v>-1.1000000000000014</v>
      </c>
      <c r="DL37" s="286">
        <f>'Data-temp_employment'!DL37-last_qrtr_tempemp!DM37</f>
        <v>4.6000000000000014</v>
      </c>
      <c r="DM37" s="286">
        <f>'Data-temp_employment'!DM37-last_qrtr_tempemp!DN37</f>
        <v>-2.3999999999999986</v>
      </c>
      <c r="DN37" s="286">
        <f>'Data-temp_employment'!DN37-last_qrtr_tempemp!DO37</f>
        <v>4.9000000000000057</v>
      </c>
      <c r="DO37" s="286">
        <f>'Data-temp_employment'!DO37-last_qrtr_tempemp!DP37</f>
        <v>6.5</v>
      </c>
      <c r="DP37" s="286">
        <f>'Data-temp_employment'!DP37-last_qrtr_tempemp!DQ37</f>
        <v>1.7999999999999972</v>
      </c>
      <c r="DQ37" s="286">
        <f>'Data-temp_employment'!DQ37-last_qrtr_tempemp!DR37</f>
        <v>-1.8000000000000043</v>
      </c>
      <c r="DR37" s="286">
        <f>'Data-temp_employment'!DR37</f>
        <v>42.9</v>
      </c>
      <c r="DS37" s="285" t="s">
        <v>39</v>
      </c>
      <c r="DT37" s="286">
        <f>'Data-temp_employment'!DT37-last_qrtr_tempemp!DU37</f>
        <v>0</v>
      </c>
      <c r="DU37" s="286">
        <f>'Data-temp_employment'!DU37-last_qrtr_tempemp!DV37</f>
        <v>0</v>
      </c>
      <c r="DV37" s="286">
        <f>'Data-temp_employment'!DV37-last_qrtr_tempemp!DW37</f>
        <v>0</v>
      </c>
      <c r="DW37" s="286">
        <f>'Data-temp_employment'!DW37-last_qrtr_tempemp!DX37</f>
        <v>0</v>
      </c>
      <c r="DX37" s="286">
        <f>'Data-temp_employment'!DX37-last_qrtr_tempemp!DY37</f>
        <v>0</v>
      </c>
      <c r="DY37" s="286">
        <f>'Data-temp_employment'!DY37-last_qrtr_tempemp!DZ37</f>
        <v>0</v>
      </c>
      <c r="DZ37" s="286">
        <f>'Data-temp_employment'!DZ37-last_qrtr_tempemp!EA37</f>
        <v>0</v>
      </c>
      <c r="EA37" s="286">
        <f>'Data-temp_employment'!EA37-last_qrtr_tempemp!EB37</f>
        <v>0</v>
      </c>
      <c r="EB37" s="286">
        <f>'Data-temp_employment'!EB37-last_qrtr_tempemp!EC37</f>
        <v>0</v>
      </c>
      <c r="EC37" s="286">
        <f>'Data-temp_employment'!EC37</f>
        <v>0</v>
      </c>
      <c r="ED37" s="279" t="s">
        <v>39</v>
      </c>
      <c r="EE37" s="286">
        <f>'Data-temp_employment'!EE37-last_qrtr_tempemp!EF37</f>
        <v>-0.39999999999999991</v>
      </c>
      <c r="EF37" s="286">
        <f>'Data-temp_employment'!EF37-last_qrtr_tempemp!EG37</f>
        <v>0.30000000000000027</v>
      </c>
      <c r="EG37" s="286">
        <f>'Data-temp_employment'!EG37-last_qrtr_tempemp!EH37</f>
        <v>-1.6</v>
      </c>
      <c r="EH37" s="286">
        <f>'Data-temp_employment'!EH37-last_qrtr_tempemp!EI37</f>
        <v>0.29999999999999982</v>
      </c>
      <c r="EI37" s="286">
        <f>'Data-temp_employment'!EI37-last_qrtr_tempemp!EJ37</f>
        <v>0.69999999999999973</v>
      </c>
      <c r="EJ37" s="286">
        <f>'Data-temp_employment'!EJ37-last_qrtr_tempemp!EK37</f>
        <v>0.5</v>
      </c>
      <c r="EK37" s="286">
        <f>'Data-temp_employment'!EK37-last_qrtr_tempemp!EL37</f>
        <v>0</v>
      </c>
      <c r="EL37" s="286">
        <f>'Data-temp_employment'!EL37-last_qrtr_tempemp!EM37</f>
        <v>-1.9</v>
      </c>
      <c r="EM37" s="286">
        <f>'Data-temp_employment'!EM37-last_qrtr_tempemp!EN37</f>
        <v>0.20000000000000018</v>
      </c>
      <c r="EN37" s="286">
        <f>'Data-temp_employment'!EN37</f>
        <v>2</v>
      </c>
      <c r="EO37" s="279" t="s">
        <v>39</v>
      </c>
      <c r="EP37" s="286">
        <f>'Data-temp_employment'!EP37-last_qrtr_tempemp!EQ37</f>
        <v>-7.8999999999999986</v>
      </c>
      <c r="EQ37" s="286">
        <f>'Data-temp_employment'!EQ37-last_qrtr_tempemp!ER37</f>
        <v>0.80000000000000071</v>
      </c>
      <c r="ER37" s="286">
        <f>'Data-temp_employment'!ER37-last_qrtr_tempemp!ES37</f>
        <v>-4.8000000000000007</v>
      </c>
      <c r="ES37" s="286">
        <f>'Data-temp_employment'!ES37-last_qrtr_tempemp!ET37</f>
        <v>1.7999999999999972</v>
      </c>
      <c r="ET37" s="286">
        <f>'Data-temp_employment'!ET37-last_qrtr_tempemp!EU37</f>
        <v>-2.5</v>
      </c>
      <c r="EU37" s="286">
        <f>'Data-temp_employment'!EU37-last_qrtr_tempemp!EV37</f>
        <v>2.8999999999999986</v>
      </c>
      <c r="EV37" s="286">
        <f>'Data-temp_employment'!EV37-last_qrtr_tempemp!EW37</f>
        <v>1.7000000000000028</v>
      </c>
      <c r="EW37" s="286">
        <f>'Data-temp_employment'!EW37-last_qrtr_tempemp!EX37</f>
        <v>3</v>
      </c>
      <c r="EX37" s="286">
        <f>'Data-temp_employment'!EX37-last_qrtr_tempemp!EY37</f>
        <v>2.1000000000000014</v>
      </c>
      <c r="EY37" s="286">
        <f>'Data-temp_employment'!EY37</f>
        <v>25.5</v>
      </c>
      <c r="EZ37" s="279" t="s">
        <v>39</v>
      </c>
      <c r="FA37" s="286">
        <f>'Data-temp_employment'!FA37-last_qrtr_tempemp!FB37</f>
        <v>1.5</v>
      </c>
      <c r="FB37" s="286">
        <f>'Data-temp_employment'!FB37-last_qrtr_tempemp!FC37</f>
        <v>1.3000000000000007</v>
      </c>
      <c r="FC37" s="286">
        <f>'Data-temp_employment'!FC37-last_qrtr_tempemp!FD37</f>
        <v>2.1999999999999993</v>
      </c>
      <c r="FD37" s="286">
        <f>'Data-temp_employment'!FD37-last_qrtr_tempemp!FE37</f>
        <v>0</v>
      </c>
      <c r="FE37" s="286">
        <f>'Data-temp_employment'!FE37-last_qrtr_tempemp!FF37</f>
        <v>3.0999999999999996</v>
      </c>
      <c r="FF37" s="286">
        <f>'Data-temp_employment'!FF37-last_qrtr_tempemp!FG37</f>
        <v>2.8000000000000007</v>
      </c>
      <c r="FG37" s="286">
        <f>'Data-temp_employment'!FG37-last_qrtr_tempemp!FH37</f>
        <v>3.9000000000000004</v>
      </c>
      <c r="FH37" s="286">
        <f>'Data-temp_employment'!FH37-last_qrtr_tempemp!FI37</f>
        <v>-1.1999999999999993</v>
      </c>
      <c r="FI37" s="286">
        <f>'Data-temp_employment'!FI37-last_qrtr_tempemp!FJ37</f>
        <v>-1.4000000000000004</v>
      </c>
      <c r="FJ37" s="286">
        <f>'Data-temp_employment'!FJ37</f>
        <v>14</v>
      </c>
      <c r="FK37" s="279" t="s">
        <v>39</v>
      </c>
      <c r="FL37" s="286">
        <f>'Data-temp_employment'!FL37-last_qrtr_tempemp!FM37</f>
        <v>-1.5</v>
      </c>
      <c r="FM37" s="286">
        <f>'Data-temp_employment'!FM37-last_qrtr_tempemp!FN37</f>
        <v>-3.6999999999999993</v>
      </c>
      <c r="FN37" s="286">
        <f>'Data-temp_employment'!FN37-last_qrtr_tempemp!FO37</f>
        <v>3</v>
      </c>
      <c r="FO37" s="286">
        <f>'Data-temp_employment'!FO37-last_qrtr_tempemp!FP37</f>
        <v>2.0999999999999996</v>
      </c>
      <c r="FP37" s="286">
        <f>'Data-temp_employment'!FP37-last_qrtr_tempemp!FQ37</f>
        <v>1.3000000000000007</v>
      </c>
      <c r="FQ37" s="286">
        <f>'Data-temp_employment'!FQ37-last_qrtr_tempemp!FR37</f>
        <v>2.3000000000000007</v>
      </c>
      <c r="FR37" s="286">
        <f>'Data-temp_employment'!FR37-last_qrtr_tempemp!FS37</f>
        <v>-9.9999999999999645E-2</v>
      </c>
      <c r="FS37" s="286">
        <f>'Data-temp_employment'!FS37-last_qrtr_tempemp!FT37</f>
        <v>-0.60000000000000142</v>
      </c>
      <c r="FT37" s="286">
        <f>'Data-temp_employment'!FT37-last_qrtr_tempemp!FU37</f>
        <v>-3</v>
      </c>
      <c r="FU37" s="286">
        <f>'Data-temp_employment'!FU37</f>
        <v>13.2</v>
      </c>
      <c r="FV37" s="279" t="s">
        <v>39</v>
      </c>
      <c r="FW37" s="286">
        <f>'Data-temp_employment'!FW37-last_qrtr_tempemp!FX37</f>
        <v>3.1999999999999993</v>
      </c>
      <c r="FX37" s="286">
        <f>'Data-temp_employment'!FX37-last_qrtr_tempemp!FY37</f>
        <v>-4.7999999999999972</v>
      </c>
      <c r="FY37" s="286">
        <f>'Data-temp_employment'!FY37-last_qrtr_tempemp!FZ37</f>
        <v>3.3000000000000007</v>
      </c>
      <c r="FZ37" s="286">
        <f>'Data-temp_employment'!FZ37-last_qrtr_tempemp!GA37</f>
        <v>0.80000000000000071</v>
      </c>
      <c r="GA37" s="286">
        <f>'Data-temp_employment'!GA37-last_qrtr_tempemp!GB37</f>
        <v>-1.3999999999999986</v>
      </c>
      <c r="GB37" s="286">
        <f>'Data-temp_employment'!GB37-last_qrtr_tempemp!GC37</f>
        <v>-5.9000000000000021</v>
      </c>
      <c r="GC37" s="286">
        <f>'Data-temp_employment'!GC37-last_qrtr_tempemp!GD37</f>
        <v>2.0999999999999979</v>
      </c>
      <c r="GD37" s="286">
        <f>'Data-temp_employment'!GD37-last_qrtr_tempemp!GE37</f>
        <v>-3.6000000000000014</v>
      </c>
      <c r="GE37" s="286">
        <f>'Data-temp_employment'!GE37-last_qrtr_tempemp!GF37</f>
        <v>-1.8000000000000007</v>
      </c>
      <c r="GF37" s="286">
        <f>'Data-temp_employment'!GF37</f>
        <v>29.3</v>
      </c>
      <c r="GG37" s="279" t="s">
        <v>39</v>
      </c>
      <c r="GH37" s="286">
        <f>'Data-temp_employment'!GH37-last_qrtr_tempemp!GI37</f>
        <v>-0.79999999999999982</v>
      </c>
      <c r="GI37" s="286">
        <f>'Data-temp_employment'!GI37-last_qrtr_tempemp!GJ37</f>
        <v>0</v>
      </c>
      <c r="GJ37" s="286">
        <f>'Data-temp_employment'!GJ37-last_qrtr_tempemp!GK37</f>
        <v>-0.7</v>
      </c>
      <c r="GK37" s="286">
        <f>'Data-temp_employment'!GK37-last_qrtr_tempemp!GL37</f>
        <v>-0.60000000000000009</v>
      </c>
      <c r="GL37" s="286">
        <f>'Data-temp_employment'!GL37-last_qrtr_tempemp!GM37</f>
        <v>-2.1</v>
      </c>
      <c r="GM37" s="286">
        <f>'Data-temp_employment'!GM37-last_qrtr_tempemp!GN37</f>
        <v>0.19999999999999996</v>
      </c>
      <c r="GN37" s="286">
        <f>'Data-temp_employment'!GN37-last_qrtr_tempemp!GO37</f>
        <v>0.30000000000000004</v>
      </c>
      <c r="GO37" s="286">
        <f>'Data-temp_employment'!GO37-last_qrtr_tempemp!GP37</f>
        <v>1.1000000000000001</v>
      </c>
      <c r="GP37" s="286">
        <f>'Data-temp_employment'!GP37-last_qrtr_tempemp!GQ37</f>
        <v>-1.4</v>
      </c>
      <c r="GQ37" s="286">
        <f>'Data-temp_employment'!GQ37</f>
        <v>1.5</v>
      </c>
      <c r="GR37" s="279" t="s">
        <v>39</v>
      </c>
      <c r="GS37" s="286">
        <f>'Data-temp_employment'!GS37-last_qrtr_tempemp!GT37</f>
        <v>3.3000000000000007</v>
      </c>
      <c r="GT37" s="286">
        <f>'Data-temp_employment'!GT37-last_qrtr_tempemp!GU37</f>
        <v>-3</v>
      </c>
      <c r="GU37" s="286">
        <f>'Data-temp_employment'!GU37-last_qrtr_tempemp!GV37</f>
        <v>0.19999999999999929</v>
      </c>
      <c r="GV37" s="286">
        <f>'Data-temp_employment'!GV37-last_qrtr_tempemp!GW37</f>
        <v>-0.20000000000000284</v>
      </c>
      <c r="GW37" s="286">
        <f>'Data-temp_employment'!GW37-last_qrtr_tempemp!GX37</f>
        <v>-1.1000000000000014</v>
      </c>
      <c r="GX37" s="286">
        <f>'Data-temp_employment'!GX37-last_qrtr_tempemp!GY37</f>
        <v>-1.6000000000000014</v>
      </c>
      <c r="GY37" s="286">
        <f>'Data-temp_employment'!GY37-last_qrtr_tempemp!GZ37</f>
        <v>1.6000000000000014</v>
      </c>
      <c r="GZ37" s="286">
        <f>'Data-temp_employment'!GZ37-last_qrtr_tempemp!HA37</f>
        <v>2.5</v>
      </c>
      <c r="HA37" s="286">
        <f>'Data-temp_employment'!HA37-last_qrtr_tempemp!HB37</f>
        <v>-2.1999999999999993</v>
      </c>
      <c r="HB37" s="286">
        <f>'Data-temp_employment'!HB37</f>
        <v>14.4</v>
      </c>
      <c r="HC37" s="279" t="s">
        <v>39</v>
      </c>
      <c r="HD37" s="286">
        <f>'Data-temp_employment'!HD37-last_qrtr_tempemp!HE37</f>
        <v>1.3000000000000007</v>
      </c>
      <c r="HE37" s="286">
        <f>'Data-temp_employment'!HE37-last_qrtr_tempemp!HF37</f>
        <v>0.69999999999999929</v>
      </c>
      <c r="HF37" s="286">
        <f>'Data-temp_employment'!HF37-last_qrtr_tempemp!HG37</f>
        <v>2.7000000000000011</v>
      </c>
      <c r="HG37" s="286">
        <f>'Data-temp_employment'!HG37-last_qrtr_tempemp!HH37</f>
        <v>0.90000000000000036</v>
      </c>
      <c r="HH37" s="286">
        <f>'Data-temp_employment'!HH37-last_qrtr_tempemp!HI37</f>
        <v>0.60000000000000142</v>
      </c>
      <c r="HI37" s="286">
        <f>'Data-temp_employment'!HI37-last_qrtr_tempemp!HJ37</f>
        <v>4.4000000000000004</v>
      </c>
      <c r="HJ37" s="286">
        <f>'Data-temp_employment'!HJ37-last_qrtr_tempemp!HK37</f>
        <v>7.7999999999999989</v>
      </c>
      <c r="HK37" s="286">
        <f>'Data-temp_employment'!HK37-last_qrtr_tempemp!HL37</f>
        <v>1</v>
      </c>
      <c r="HL37" s="286">
        <f>'Data-temp_employment'!HL37-last_qrtr_tempemp!HM37</f>
        <v>-3.9000000000000004</v>
      </c>
      <c r="HM37" s="286">
        <f>'Data-temp_employment'!HM37</f>
        <v>15.3</v>
      </c>
      <c r="HN37" s="279" t="s">
        <v>39</v>
      </c>
      <c r="HO37" s="286">
        <f>'Data-temp_employment'!HO37-last_qrtr_tempemp!HP37</f>
        <v>-3.6000000000000014</v>
      </c>
      <c r="HP37" s="286">
        <f>'Data-temp_employment'!HP37-last_qrtr_tempemp!HQ37</f>
        <v>-7.8999999999999986</v>
      </c>
      <c r="HQ37" s="286">
        <f>'Data-temp_employment'!HQ37-last_qrtr_tempemp!HR37</f>
        <v>-3.2000000000000011</v>
      </c>
      <c r="HR37" s="286">
        <f>'Data-temp_employment'!HR37-last_qrtr_tempemp!HS37</f>
        <v>-0.19999999999999929</v>
      </c>
      <c r="HS37" s="286">
        <f>'Data-temp_employment'!HS37-last_qrtr_tempemp!HT37</f>
        <v>4</v>
      </c>
      <c r="HT37" s="286">
        <f>'Data-temp_employment'!HT37-last_qrtr_tempemp!HU37</f>
        <v>1.2000000000000011</v>
      </c>
      <c r="HU37" s="286">
        <f>'Data-temp_employment'!HU37-last_qrtr_tempemp!HV37</f>
        <v>8.1000000000000014</v>
      </c>
      <c r="HV37" s="286">
        <f>'Data-temp_employment'!HV37-last_qrtr_tempemp!HW37</f>
        <v>1</v>
      </c>
      <c r="HW37" s="286">
        <f>'Data-temp_employment'!HW37-last_qrtr_tempemp!HX37</f>
        <v>0.69999999999999929</v>
      </c>
      <c r="HX37" s="286">
        <f>'Data-temp_employment'!HX37</f>
        <v>13.9</v>
      </c>
      <c r="HY37" s="279" t="s">
        <v>39</v>
      </c>
      <c r="HZ37" s="286">
        <f>'Data-temp_employment'!HZ37-last_qrtr_tempemp!IA37</f>
        <v>-0.20000000000000018</v>
      </c>
      <c r="IA37" s="286">
        <f>'Data-temp_employment'!IA37-last_qrtr_tempemp!IB37</f>
        <v>-0.19999999999999973</v>
      </c>
      <c r="IB37" s="286">
        <f>'Data-temp_employment'!IB37-last_qrtr_tempemp!IC37</f>
        <v>-1.2000000000000002</v>
      </c>
      <c r="IC37" s="286">
        <f>'Data-temp_employment'!IC37-last_qrtr_tempemp!ID37</f>
        <v>-0.29999999999999982</v>
      </c>
      <c r="ID37" s="286">
        <f>'Data-temp_employment'!ID37-last_qrtr_tempemp!IE37</f>
        <v>-0.8</v>
      </c>
      <c r="IE37" s="286">
        <f>'Data-temp_employment'!IE37-last_qrtr_tempemp!IF37</f>
        <v>-9.9999999999999867E-2</v>
      </c>
      <c r="IF37" s="286">
        <f>'Data-temp_employment'!IF37-last_qrtr_tempemp!IG37</f>
        <v>0</v>
      </c>
      <c r="IG37" s="286">
        <f>'Data-temp_employment'!IG37-last_qrtr_tempemp!IH37</f>
        <v>0</v>
      </c>
      <c r="IH37" s="286">
        <f>'Data-temp_employment'!IH37-last_qrtr_tempemp!II37</f>
        <v>1.7</v>
      </c>
      <c r="II37" s="286">
        <f>'Data-temp_employment'!II37</f>
        <v>2.2000000000000002</v>
      </c>
      <c r="IJ37" s="279" t="s">
        <v>39</v>
      </c>
      <c r="IK37" s="286">
        <f>'Data-temp_employment'!IK37-last_qrtr_tempemp!IL37</f>
        <v>-4.2</v>
      </c>
      <c r="IL37" s="286">
        <f>'Data-temp_employment'!IL37-last_qrtr_tempemp!IM37</f>
        <v>-1.4</v>
      </c>
      <c r="IM37" s="286">
        <f>'Data-temp_employment'!IM37-last_qrtr_tempemp!IN37</f>
        <v>0.60000000000000009</v>
      </c>
      <c r="IN37" s="286">
        <f>'Data-temp_employment'!IN37-last_qrtr_tempemp!IO37</f>
        <v>2</v>
      </c>
      <c r="IO37" s="286">
        <f>'Data-temp_employment'!IO37-last_qrtr_tempemp!IP37</f>
        <v>-1.3000000000000003</v>
      </c>
      <c r="IP37" s="286">
        <f>'Data-temp_employment'!IP37-last_qrtr_tempemp!IQ37</f>
        <v>0.29999999999999982</v>
      </c>
      <c r="IQ37" s="286">
        <f>'Data-temp_employment'!IQ37-last_qrtr_tempemp!IR37</f>
        <v>-0.80000000000000027</v>
      </c>
      <c r="IR37" s="286">
        <f>'Data-temp_employment'!IR37-last_qrtr_tempemp!IS37</f>
        <v>-9.9999999999999645E-2</v>
      </c>
      <c r="IS37" s="286">
        <f>'Data-temp_employment'!IS37-last_qrtr_tempemp!IT37</f>
        <v>-0.79999999999999982</v>
      </c>
      <c r="IT37" s="286">
        <f>'Data-temp_employment'!IT37</f>
        <v>2.4</v>
      </c>
      <c r="IU37" s="279" t="s">
        <v>39</v>
      </c>
      <c r="IV37" s="286">
        <f>'Data-temp_employment'!IV37-last_qrtr_tempemp!IW37</f>
        <v>0.80000000000000027</v>
      </c>
      <c r="IW37" s="286">
        <f>'Data-temp_employment'!IW37-last_qrtr_tempemp!IX37</f>
        <v>-1.5</v>
      </c>
      <c r="IX37" s="286">
        <f>'Data-temp_employment'!IX37-last_qrtr_tempemp!IY37</f>
        <v>-2.5</v>
      </c>
      <c r="IY37" s="286">
        <f>'Data-temp_employment'!IY37-last_qrtr_tempemp!IZ37</f>
        <v>-1.3000000000000003</v>
      </c>
      <c r="IZ37" s="286">
        <f>'Data-temp_employment'!IZ37-last_qrtr_tempemp!JA37</f>
        <v>0.10000000000000009</v>
      </c>
      <c r="JA37" s="286">
        <f>'Data-temp_employment'!JA37-last_qrtr_tempemp!JB37</f>
        <v>2.7</v>
      </c>
      <c r="JB37" s="286">
        <f>'Data-temp_employment'!JB37-last_qrtr_tempemp!JC37</f>
        <v>0.40000000000000013</v>
      </c>
      <c r="JC37" s="286">
        <f>'Data-temp_employment'!JC37-last_qrtr_tempemp!JD37</f>
        <v>9.9999999999999867E-2</v>
      </c>
      <c r="JD37" s="286">
        <f>'Data-temp_employment'!JD37-last_qrtr_tempemp!JE37</f>
        <v>-1.3000000000000003</v>
      </c>
      <c r="JE37" s="286">
        <f>'Data-temp_employment'!JE37</f>
        <v>1.5</v>
      </c>
      <c r="JF37" s="279" t="s">
        <v>39</v>
      </c>
      <c r="JG37" s="286">
        <f>'Data-temp_employment'!JG37-last_qrtr_tempemp!JH37</f>
        <v>0.90000000000000213</v>
      </c>
      <c r="JH37" s="286">
        <f>'Data-temp_employment'!JH37-last_qrtr_tempemp!JI37</f>
        <v>-5.4000000000000021</v>
      </c>
      <c r="JI37" s="286">
        <f>'Data-temp_employment'!JI37-last_qrtr_tempemp!JJ37</f>
        <v>3.8000000000000007</v>
      </c>
      <c r="JJ37" s="286">
        <f>'Data-temp_employment'!JJ37-last_qrtr_tempemp!JK37</f>
        <v>3.2999999999999972</v>
      </c>
      <c r="JK37" s="286">
        <f>'Data-temp_employment'!JK37-last_qrtr_tempemp!JL37</f>
        <v>3.0999999999999979</v>
      </c>
      <c r="JL37" s="286">
        <f>'Data-temp_employment'!JL37-last_qrtr_tempemp!JM37</f>
        <v>4.8999999999999986</v>
      </c>
      <c r="JM37" s="286">
        <f>'Data-temp_employment'!JM37-last_qrtr_tempemp!JN37</f>
        <v>13.5</v>
      </c>
      <c r="JN37" s="286">
        <f>'Data-temp_employment'!JN37-last_qrtr_tempemp!JO37</f>
        <v>2</v>
      </c>
      <c r="JO37" s="286">
        <f>'Data-temp_employment'!JO37-last_qrtr_tempemp!JP37</f>
        <v>-3.8999999999999986</v>
      </c>
      <c r="JP37" s="286">
        <f>'Data-temp_employment'!JP37</f>
        <v>33.6</v>
      </c>
      <c r="JQ37" s="279" t="s">
        <v>39</v>
      </c>
      <c r="JR37" s="286">
        <f>'Data-temp_employment'!JR37-last_qrtr_tempemp!JS37</f>
        <v>-2.2000000000000002</v>
      </c>
      <c r="JS37" s="286">
        <f>'Data-temp_employment'!JS37-last_qrtr_tempemp!JT37</f>
        <v>-2.6999999999999993</v>
      </c>
      <c r="JT37" s="286">
        <f>'Data-temp_employment'!JT37-last_qrtr_tempemp!JU37</f>
        <v>-1.5</v>
      </c>
      <c r="JU37" s="286">
        <f>'Data-temp_employment'!JU37-last_qrtr_tempemp!JV37</f>
        <v>1.7999999999999998</v>
      </c>
      <c r="JV37" s="286">
        <f>'Data-temp_employment'!JV37-last_qrtr_tempemp!JW37</f>
        <v>-2.5</v>
      </c>
      <c r="JW37" s="286">
        <f>'Data-temp_employment'!JW37-last_qrtr_tempemp!JX37</f>
        <v>0.19999999999999929</v>
      </c>
      <c r="JX37" s="286">
        <f>'Data-temp_employment'!JX37-last_qrtr_tempemp!JY37</f>
        <v>-1.5</v>
      </c>
      <c r="JY37" s="286">
        <f>'Data-temp_employment'!JY37-last_qrtr_tempemp!JZ37</f>
        <v>2.8000000000000007</v>
      </c>
      <c r="JZ37" s="286">
        <f>'Data-temp_employment'!JZ37-last_qrtr_tempemp!KA37</f>
        <v>-2</v>
      </c>
      <c r="KA37" s="286">
        <f>'Data-temp_employment'!KA37</f>
        <v>5.0999999999999996</v>
      </c>
      <c r="KB37" s="279" t="s">
        <v>39</v>
      </c>
      <c r="KC37" s="286">
        <f>'Data-temp_employment'!KC37-last_qrtr_tempemp!KD37</f>
        <v>2.4999999999999982</v>
      </c>
      <c r="KD37" s="286">
        <f>'Data-temp_employment'!KD37-last_qrtr_tempemp!KE37</f>
        <v>2.0999999999999979</v>
      </c>
      <c r="KE37" s="286">
        <f>'Data-temp_employment'!KE37-last_qrtr_tempemp!KF37</f>
        <v>-0.39999999999999858</v>
      </c>
      <c r="KF37" s="286">
        <f>'Data-temp_employment'!KF37-last_qrtr_tempemp!KG37</f>
        <v>0.40000000000000213</v>
      </c>
      <c r="KG37" s="286">
        <f>'Data-temp_employment'!KG37-last_qrtr_tempemp!KH37</f>
        <v>-0.89999999999999858</v>
      </c>
      <c r="KH37" s="286">
        <f>'Data-temp_employment'!KH37-last_qrtr_tempemp!KI37</f>
        <v>-0.5</v>
      </c>
      <c r="KI37" s="286">
        <f>'Data-temp_employment'!KI37-last_qrtr_tempemp!KJ37</f>
        <v>0.59999999999999787</v>
      </c>
      <c r="KJ37" s="286">
        <f>'Data-temp_employment'!KJ37-last_qrtr_tempemp!KK37</f>
        <v>-3.6000000000000014</v>
      </c>
      <c r="KK37" s="286">
        <f>'Data-temp_employment'!KK37-last_qrtr_tempemp!KL37</f>
        <v>0</v>
      </c>
      <c r="KL37" s="286">
        <f>'Data-temp_employment'!KL37</f>
        <v>16.7</v>
      </c>
      <c r="KM37" s="279" t="s">
        <v>39</v>
      </c>
      <c r="KN37" s="286">
        <f>'Data-temp_employment'!KN37-last_qrtr_tempemp!KO37</f>
        <v>1.4000000000000004</v>
      </c>
      <c r="KO37" s="286">
        <f>'Data-temp_employment'!KO37-last_qrtr_tempemp!KP37</f>
        <v>-0.89999999999999947</v>
      </c>
      <c r="KP37" s="286">
        <f>'Data-temp_employment'!KP37-last_qrtr_tempemp!KQ37</f>
        <v>0.29999999999999982</v>
      </c>
      <c r="KQ37" s="286">
        <f>'Data-temp_employment'!KQ37-last_qrtr_tempemp!KR37</f>
        <v>0.19999999999999929</v>
      </c>
      <c r="KR37" s="286">
        <f>'Data-temp_employment'!KR37-last_qrtr_tempemp!KS37</f>
        <v>9.9999999999999645E-2</v>
      </c>
      <c r="KS37" s="286">
        <f>'Data-temp_employment'!KS37-last_qrtr_tempemp!KT37</f>
        <v>-0.39999999999999947</v>
      </c>
      <c r="KT37" s="286">
        <f>'Data-temp_employment'!KT37-last_qrtr_tempemp!KU37</f>
        <v>0</v>
      </c>
      <c r="KU37" s="286">
        <f>'Data-temp_employment'!KU37-last_qrtr_tempemp!KV37</f>
        <v>0.20000000000000018</v>
      </c>
      <c r="KV37" s="286">
        <f>'Data-temp_employment'!KV37-last_qrtr_tempemp!KW37</f>
        <v>1.3999999999999995</v>
      </c>
      <c r="KW37" s="286">
        <f>'Data-temp_employment'!KW37</f>
        <v>5.2</v>
      </c>
      <c r="KX37" s="279" t="s">
        <v>39</v>
      </c>
      <c r="KY37" s="286">
        <f>'Data-temp_employment'!KY37-last_qrtr_tempemp!KZ37</f>
        <v>-1.3000000000000007</v>
      </c>
      <c r="KZ37" s="286">
        <f>'Data-temp_employment'!KZ37-last_qrtr_tempemp!LA37</f>
        <v>-4.0999999999999979</v>
      </c>
      <c r="LA37" s="286">
        <f>'Data-temp_employment'!LA37-last_qrtr_tempemp!LB37</f>
        <v>1.5</v>
      </c>
      <c r="LB37" s="286">
        <f>'Data-temp_employment'!LB37-last_qrtr_tempemp!LC37</f>
        <v>-2.1999999999999993</v>
      </c>
      <c r="LC37" s="286">
        <f>'Data-temp_employment'!LC37-last_qrtr_tempemp!LD37</f>
        <v>0.29999999999999893</v>
      </c>
      <c r="LD37" s="286">
        <f>'Data-temp_employment'!LD37-last_qrtr_tempemp!LE37</f>
        <v>-2.6999999999999993</v>
      </c>
      <c r="LE37" s="286">
        <f>'Data-temp_employment'!LE37-last_qrtr_tempemp!LF37</f>
        <v>4.7000000000000011</v>
      </c>
      <c r="LF37" s="286">
        <f>'Data-temp_employment'!LF37-last_qrtr_tempemp!LG37</f>
        <v>-2</v>
      </c>
      <c r="LG37" s="286">
        <f>'Data-temp_employment'!LG37-last_qrtr_tempemp!LH37</f>
        <v>-0.30000000000000071</v>
      </c>
      <c r="LH37" s="286">
        <f>'Data-temp_employment'!LH37</f>
        <v>12</v>
      </c>
      <c r="LI37" s="279" t="s">
        <v>39</v>
      </c>
      <c r="LJ37" s="286">
        <f>'Data-temp_employment'!LJ37-last_qrtr_tempemp!LK37</f>
        <v>-3.8999999999999995</v>
      </c>
      <c r="LK37" s="286">
        <f>'Data-temp_employment'!LK37-last_qrtr_tempemp!LL37</f>
        <v>-1.4</v>
      </c>
      <c r="LL37" s="286">
        <f>'Data-temp_employment'!LL37-last_qrtr_tempemp!LM37</f>
        <v>0.89999999999999991</v>
      </c>
      <c r="LM37" s="286">
        <f>'Data-temp_employment'!LM37-last_qrtr_tempemp!LN37</f>
        <v>1</v>
      </c>
      <c r="LN37" s="286">
        <f>'Data-temp_employment'!LN37-last_qrtr_tempemp!LO37</f>
        <v>-0.10000000000000009</v>
      </c>
      <c r="LO37" s="286">
        <f>'Data-temp_employment'!LO37-last_qrtr_tempemp!LP37</f>
        <v>1.0999999999999996</v>
      </c>
      <c r="LP37" s="286">
        <f>'Data-temp_employment'!LP37-last_qrtr_tempemp!LQ37</f>
        <v>-0.60000000000000009</v>
      </c>
      <c r="LQ37" s="286">
        <f>'Data-temp_employment'!LQ37-last_qrtr_tempemp!LR37</f>
        <v>-1.5999999999999999</v>
      </c>
      <c r="LR37" s="286">
        <f>'Data-temp_employment'!LR37-last_qrtr_tempemp!LS37</f>
        <v>-1.2999999999999998</v>
      </c>
      <c r="LS37" s="286">
        <f>'Data-temp_employment'!LS37</f>
        <v>5</v>
      </c>
      <c r="LT37" s="279" t="s">
        <v>39</v>
      </c>
      <c r="LU37" s="286">
        <f>'Data-temp_employment'!LU37-last_qrtr_tempemp!LV37</f>
        <v>-0.29999999999999982</v>
      </c>
      <c r="LV37" s="286">
        <f>'Data-temp_employment'!LV37-last_qrtr_tempemp!LW37</f>
        <v>0.30000000000000004</v>
      </c>
      <c r="LW37" s="286">
        <f>'Data-temp_employment'!LW37-last_qrtr_tempemp!LX37</f>
        <v>-0.40000000000000013</v>
      </c>
      <c r="LX37" s="286">
        <f>'Data-temp_employment'!LX37-last_qrtr_tempemp!LY37</f>
        <v>-1</v>
      </c>
      <c r="LY37" s="286">
        <f>'Data-temp_employment'!LY37-last_qrtr_tempemp!LZ37</f>
        <v>1.1000000000000001</v>
      </c>
      <c r="LZ37" s="286">
        <f>'Data-temp_employment'!LZ37-last_qrtr_tempemp!MA37</f>
        <v>1.2</v>
      </c>
      <c r="MA37" s="286">
        <f>'Data-temp_employment'!MA37-last_qrtr_tempemp!MB37</f>
        <v>0.19999999999999996</v>
      </c>
      <c r="MB37" s="286">
        <f>'Data-temp_employment'!MB37-last_qrtr_tempemp!MC37</f>
        <v>-1.8</v>
      </c>
      <c r="MC37" s="286">
        <f>'Data-temp_employment'!MC37-last_qrtr_tempemp!MD37</f>
        <v>-1</v>
      </c>
      <c r="MD37" s="286">
        <f>'Data-temp_employment'!MD37</f>
        <v>1.5</v>
      </c>
      <c r="ME37" s="279" t="s">
        <v>39</v>
      </c>
      <c r="MF37" s="286">
        <f>'Data-temp_employment'!MF37-last_qrtr_tempemp!MG37</f>
        <v>0.60000000000000053</v>
      </c>
      <c r="MG37" s="286">
        <f>'Data-temp_employment'!MG37-last_qrtr_tempemp!MH37</f>
        <v>-0.10000000000000053</v>
      </c>
      <c r="MH37" s="286">
        <f>'Data-temp_employment'!MH37-last_qrtr_tempemp!MI37</f>
        <v>-0.89999999999999947</v>
      </c>
      <c r="MI37" s="286">
        <f>'Data-temp_employment'!MI37-last_qrtr_tempemp!MJ37</f>
        <v>0.59999999999999964</v>
      </c>
      <c r="MJ37" s="286">
        <f>'Data-temp_employment'!MJ37-last_qrtr_tempemp!MK37</f>
        <v>0.40000000000000036</v>
      </c>
      <c r="MK37" s="286">
        <f>'Data-temp_employment'!MK37-last_qrtr_tempemp!ML37</f>
        <v>0.79999999999999982</v>
      </c>
      <c r="ML37" s="286">
        <f>'Data-temp_employment'!ML37-last_qrtr_tempemp!MM37</f>
        <v>2.2000000000000002</v>
      </c>
      <c r="MM37" s="286">
        <f>'Data-temp_employment'!MM37-last_qrtr_tempemp!MN37</f>
        <v>-0.5</v>
      </c>
      <c r="MN37" s="286">
        <f>'Data-temp_employment'!MN37-last_qrtr_tempemp!MO37</f>
        <v>0.20000000000000018</v>
      </c>
      <c r="MO37" s="286">
        <f>'Data-temp_employment'!MO37</f>
        <v>5.7</v>
      </c>
      <c r="MP37" s="279" t="s">
        <v>39</v>
      </c>
      <c r="MQ37" s="286">
        <f>'Data-temp_employment'!MQ37-last_qrtr_tempemp!MR37</f>
        <v>0.19999999999999929</v>
      </c>
      <c r="MR37" s="286">
        <f>'Data-temp_employment'!MR37-last_qrtr_tempemp!MS37</f>
        <v>-0.5</v>
      </c>
      <c r="MS37" s="286">
        <f>'Data-temp_employment'!MS37-last_qrtr_tempemp!MT37</f>
        <v>1.5</v>
      </c>
      <c r="MT37" s="286">
        <f>'Data-temp_employment'!MT37-last_qrtr_tempemp!MU37</f>
        <v>-0.79999999999999982</v>
      </c>
      <c r="MU37" s="286">
        <f>'Data-temp_employment'!MU37-last_qrtr_tempemp!MV37</f>
        <v>0.30000000000000071</v>
      </c>
      <c r="MV37" s="286">
        <f>'Data-temp_employment'!MV37-last_qrtr_tempemp!MW37</f>
        <v>-2.6000000000000005</v>
      </c>
      <c r="MW37" s="286">
        <f>'Data-temp_employment'!MW37-last_qrtr_tempemp!MX37</f>
        <v>2.5</v>
      </c>
      <c r="MX37" s="286">
        <f>'Data-temp_employment'!MX37-last_qrtr_tempemp!MY37</f>
        <v>0.89999999999999947</v>
      </c>
      <c r="MY37" s="286">
        <f>'Data-temp_employment'!MY37-last_qrtr_tempemp!MZ37</f>
        <v>0.10000000000000053</v>
      </c>
      <c r="MZ37" s="286">
        <f>'Data-temp_employment'!MZ37</f>
        <v>4.7</v>
      </c>
      <c r="NA37" s="279" t="s">
        <v>39</v>
      </c>
      <c r="NB37" s="286">
        <f>'Data-temp_employment'!NB37-last_qrtr_tempemp!NC37</f>
        <v>-0.80000000000000071</v>
      </c>
      <c r="NC37" s="286">
        <f>'Data-temp_employment'!NC37-last_qrtr_tempemp!ND37</f>
        <v>1.2000000000000002</v>
      </c>
      <c r="ND37" s="286">
        <f>'Data-temp_employment'!ND37-last_qrtr_tempemp!NE37</f>
        <v>-1.9000000000000004</v>
      </c>
      <c r="NE37" s="286">
        <f>'Data-temp_employment'!NE37-last_qrtr_tempemp!NF37</f>
        <v>-9.9999999999999645E-2</v>
      </c>
      <c r="NF37" s="286">
        <f>'Data-temp_employment'!NF37-last_qrtr_tempemp!NG37</f>
        <v>-1.2000000000000002</v>
      </c>
      <c r="NG37" s="286">
        <f>'Data-temp_employment'!NG37-last_qrtr_tempemp!NH37</f>
        <v>1.6000000000000005</v>
      </c>
      <c r="NH37" s="286">
        <f>'Data-temp_employment'!NH37-last_qrtr_tempemp!NI37</f>
        <v>-0.59999999999999964</v>
      </c>
      <c r="NI37" s="286">
        <f>'Data-temp_employment'!NI37-last_qrtr_tempemp!NJ37</f>
        <v>-1.2999999999999998</v>
      </c>
      <c r="NJ37" s="286">
        <f>'Data-temp_employment'!NJ37-last_qrtr_tempemp!NK37</f>
        <v>0.20000000000000018</v>
      </c>
      <c r="NK37" s="286">
        <f>'Data-temp_employment'!NK37</f>
        <v>5.7</v>
      </c>
      <c r="NL37" s="279" t="s">
        <v>39</v>
      </c>
      <c r="NM37" s="286">
        <f>'Data-temp_employment'!NM37-last_qrtr_tempemp!NN37</f>
        <v>-3.5</v>
      </c>
      <c r="NN37" s="286">
        <f>'Data-temp_employment'!NN37-last_qrtr_tempemp!NO37</f>
        <v>0</v>
      </c>
      <c r="NO37" s="286">
        <f>'Data-temp_employment'!NO37-last_qrtr_tempemp!NP37</f>
        <v>-3.9000000000000004</v>
      </c>
      <c r="NP37" s="286">
        <f>'Data-temp_employment'!NP37-last_qrtr_tempemp!NQ37</f>
        <v>0.79999999999999893</v>
      </c>
      <c r="NQ37" s="286">
        <f>'Data-temp_employment'!NQ37-last_qrtr_tempemp!NR37</f>
        <v>-2.5999999999999996</v>
      </c>
      <c r="NR37" s="286">
        <f>'Data-temp_employment'!NR37-last_qrtr_tempemp!NS37</f>
        <v>0.70000000000000107</v>
      </c>
      <c r="NS37" s="286">
        <f>'Data-temp_employment'!NS37-last_qrtr_tempemp!NT37</f>
        <v>-9.9999999999999645E-2</v>
      </c>
      <c r="NT37" s="286">
        <f>'Data-temp_employment'!NT37-last_qrtr_tempemp!NU37</f>
        <v>2.4000000000000004</v>
      </c>
      <c r="NU37" s="286">
        <f>'Data-temp_employment'!NU37-last_qrtr_tempemp!NV37</f>
        <v>3.0999999999999996</v>
      </c>
      <c r="NV37" s="286">
        <f>'Data-temp_employment'!NV37</f>
        <v>13.6</v>
      </c>
      <c r="NW37" s="279" t="s">
        <v>39</v>
      </c>
      <c r="NX37" s="286">
        <f>'Data-temp_employment'!NX37-last_qrtr_tempemp!NY37</f>
        <v>1.4000000000000004</v>
      </c>
      <c r="NY37" s="286">
        <f>'Data-temp_employment'!NY37-last_qrtr_tempemp!NZ37</f>
        <v>0.19999999999999929</v>
      </c>
      <c r="NZ37" s="286">
        <f>'Data-temp_employment'!NZ37-last_qrtr_tempemp!OA37</f>
        <v>1.3999999999999995</v>
      </c>
      <c r="OA37" s="286">
        <f>'Data-temp_employment'!OA37-last_qrtr_tempemp!OB37</f>
        <v>-0.30000000000000071</v>
      </c>
      <c r="OB37" s="286">
        <f>'Data-temp_employment'!OB37-last_qrtr_tempemp!OC37</f>
        <v>0.60000000000000142</v>
      </c>
      <c r="OC37" s="286">
        <f>'Data-temp_employment'!OC37-last_qrtr_tempemp!OD37</f>
        <v>0.20000000000000107</v>
      </c>
      <c r="OD37" s="286">
        <f>'Data-temp_employment'!OD37-last_qrtr_tempemp!OE37</f>
        <v>0.30000000000000071</v>
      </c>
      <c r="OE37" s="286">
        <f>'Data-temp_employment'!OE37-last_qrtr_tempemp!OF37</f>
        <v>-1.5000000000000009</v>
      </c>
      <c r="OF37" s="286">
        <f>'Data-temp_employment'!OF37-last_qrtr_tempemp!OG37</f>
        <v>-1.8000000000000007</v>
      </c>
      <c r="OG37" s="286">
        <f>'Data-temp_employment'!OG37</f>
        <v>10</v>
      </c>
      <c r="OH37" s="287" t="s">
        <v>39</v>
      </c>
      <c r="OI37" s="286"/>
      <c r="OJ37" s="286"/>
      <c r="OK37" s="286"/>
      <c r="OL37" s="286"/>
      <c r="OM37" s="286"/>
      <c r="ON37" s="286"/>
      <c r="OO37" s="286"/>
      <c r="OP37" s="286"/>
      <c r="OQ37" s="286"/>
      <c r="OR37" s="286"/>
      <c r="OS37" s="279" t="s">
        <v>39</v>
      </c>
      <c r="OT37" s="286" t="e">
        <f>'Data-temp_employment'!#REF!-last_qrtr_tempemp!OU37</f>
        <v>#REF!</v>
      </c>
      <c r="OU37" s="286">
        <f>'Data-temp_employment'!OT36-last_qrtr_tempemp!OV37</f>
        <v>-1.5</v>
      </c>
      <c r="OV37" s="286">
        <f>'Data-temp_employment'!OU36-last_qrtr_tempemp!OW37</f>
        <v>-1.3</v>
      </c>
      <c r="OW37" s="286">
        <f>'Data-temp_employment'!OV36-last_qrtr_tempemp!OX37</f>
        <v>-0.3</v>
      </c>
      <c r="OX37" s="286">
        <f>'Data-temp_employment'!OW36-last_qrtr_tempemp!OY37</f>
        <v>-0.5</v>
      </c>
      <c r="OY37" s="286">
        <f>'Data-temp_employment'!OX36-last_qrtr_tempemp!OZ37</f>
        <v>-0.5</v>
      </c>
      <c r="OZ37" s="286">
        <f>'Data-temp_employment'!OY36-last_qrtr_tempemp!PA37</f>
        <v>-0.5</v>
      </c>
      <c r="PA37" s="286">
        <f>'Data-temp_employment'!OZ36-last_qrtr_tempemp!PB37</f>
        <v>-0.5</v>
      </c>
      <c r="PB37" s="286">
        <f>'Data-temp_employment'!PA36-last_qrtr_tempemp!PC37</f>
        <v>-1.2</v>
      </c>
      <c r="PC37" s="286">
        <f>'Data-temp_employment'!PB36</f>
        <v>0</v>
      </c>
      <c r="PE37" s="319"/>
      <c r="PF37" s="319"/>
      <c r="PG37" s="319"/>
      <c r="PH37" s="319"/>
      <c r="PI37" s="319"/>
      <c r="PJ37" s="319"/>
      <c r="PK37" s="319"/>
      <c r="PL37" s="319"/>
      <c r="PM37" s="319"/>
      <c r="PN37" s="319"/>
      <c r="PO37" s="319"/>
      <c r="PP37" s="319"/>
      <c r="PQ37" s="319"/>
      <c r="PR37" s="319"/>
      <c r="PS37" s="319"/>
      <c r="PT37" s="319"/>
      <c r="PU37" s="319"/>
      <c r="PV37" s="319"/>
      <c r="PW37" s="319"/>
      <c r="PX37" s="319"/>
      <c r="PY37" s="319"/>
      <c r="PZ37" s="319"/>
      <c r="QA37" s="319"/>
      <c r="QB37" s="319"/>
      <c r="QC37" s="319"/>
      <c r="QD37" s="319"/>
      <c r="QE37" s="319"/>
      <c r="QF37" s="319"/>
      <c r="QG37" s="319"/>
      <c r="QH37" s="319"/>
      <c r="QI37" s="319"/>
      <c r="QJ37" s="319"/>
      <c r="QK37" s="319"/>
      <c r="QL37" s="319"/>
      <c r="QM37" s="319"/>
      <c r="QN37" s="319"/>
      <c r="QO37" s="319"/>
      <c r="QP37" s="319"/>
      <c r="QQ37" s="319"/>
      <c r="QR37" s="319"/>
      <c r="QS37" s="319"/>
      <c r="QT37" s="319"/>
      <c r="QU37" s="319"/>
      <c r="QV37" s="319"/>
      <c r="QW37" s="319"/>
      <c r="QX37" s="319"/>
      <c r="QY37" s="319"/>
      <c r="QZ37" s="319"/>
      <c r="RA37" s="319"/>
      <c r="RB37" s="319"/>
      <c r="RC37" s="319"/>
      <c r="RD37" s="319"/>
      <c r="RE37" s="319"/>
      <c r="RF37" s="319"/>
      <c r="RG37" s="319"/>
      <c r="RH37" s="319"/>
      <c r="RI37" s="319"/>
      <c r="RJ37" s="319"/>
      <c r="RK37" s="319"/>
      <c r="RL37" s="319"/>
      <c r="RM37" s="319"/>
      <c r="RN37" s="319"/>
      <c r="RO37" s="319"/>
      <c r="RP37" s="319"/>
    </row>
    <row r="38" spans="1:485">
      <c r="A38" s="269">
        <v>35</v>
      </c>
      <c r="B38" s="285" t="s">
        <v>24</v>
      </c>
      <c r="C38" s="286">
        <f>'Data-temp_employment'!C38-last_qrtr_tempemp!D38</f>
        <v>0</v>
      </c>
      <c r="D38" s="286">
        <f>'Data-temp_employment'!D38-last_qrtr_tempemp!E38</f>
        <v>-0.39999999999999858</v>
      </c>
      <c r="E38" s="286">
        <f>'Data-temp_employment'!E38-last_qrtr_tempemp!F38</f>
        <v>1.3000000000000007</v>
      </c>
      <c r="F38" s="286">
        <f>'Data-temp_employment'!F38-last_qrtr_tempemp!G38</f>
        <v>1.3999999999999986</v>
      </c>
      <c r="G38" s="286">
        <f>'Data-temp_employment'!G38-last_qrtr_tempemp!H38</f>
        <v>0</v>
      </c>
      <c r="H38" s="286">
        <f>'Data-temp_employment'!H38-last_qrtr_tempemp!I38</f>
        <v>-0.10000000000000142</v>
      </c>
      <c r="I38" s="286">
        <f>'Data-temp_employment'!I38-last_qrtr_tempemp!J38</f>
        <v>1</v>
      </c>
      <c r="J38" s="286">
        <f>'Data-temp_employment'!J38-last_qrtr_tempemp!K38</f>
        <v>1</v>
      </c>
      <c r="K38" s="286">
        <f>'Data-temp_employment'!K38-last_qrtr_tempemp!L38</f>
        <v>-0.69999999999999929</v>
      </c>
      <c r="L38" s="286">
        <f>'Data-temp_employment'!L38</f>
        <v>26.9</v>
      </c>
      <c r="M38" s="285" t="s">
        <v>24</v>
      </c>
      <c r="N38" s="286">
        <f>'Data-temp_employment'!N38-last_qrtr_tempemp!O38</f>
        <v>35.899999999999636</v>
      </c>
      <c r="O38" s="286">
        <f>'Data-temp_employment'!O38-last_qrtr_tempemp!P38</f>
        <v>-2.0999999999999091</v>
      </c>
      <c r="P38" s="286">
        <f>'Data-temp_employment'!P38-last_qrtr_tempemp!Q38</f>
        <v>306.99999999999955</v>
      </c>
      <c r="Q38" s="286">
        <f>'Data-temp_employment'!Q38-last_qrtr_tempemp!R38</f>
        <v>332.60000000000036</v>
      </c>
      <c r="R38" s="286">
        <f>'Data-temp_employment'!R38-last_qrtr_tempemp!S38</f>
        <v>47.599999999999909</v>
      </c>
      <c r="S38" s="286">
        <f>'Data-temp_employment'!S38-last_qrtr_tempemp!T38</f>
        <v>54.800000000000182</v>
      </c>
      <c r="T38" s="286">
        <f>'Data-temp_employment'!T38-last_qrtr_tempemp!U38</f>
        <v>283</v>
      </c>
      <c r="U38" s="286">
        <f>'Data-temp_employment'!U38-last_qrtr_tempemp!V38</f>
        <v>296.19999999999982</v>
      </c>
      <c r="V38" s="286">
        <f>'Data-temp_employment'!V38-last_qrtr_tempemp!W38</f>
        <v>-85.800000000000182</v>
      </c>
      <c r="W38" s="286">
        <f>'Data-temp_employment'!W38</f>
        <v>4348.8</v>
      </c>
      <c r="X38" s="285" t="s">
        <v>24</v>
      </c>
      <c r="Y38" s="286">
        <f>'Data-temp_employment'!Y38-last_qrtr_tempemp!Z38</f>
        <v>-19.400000000000006</v>
      </c>
      <c r="Z38" s="286">
        <f>'Data-temp_employment'!Z38-last_qrtr_tempemp!AA38</f>
        <v>-7.4000000000000057</v>
      </c>
      <c r="AA38" s="286">
        <f>'Data-temp_employment'!AA38-last_qrtr_tempemp!AB38</f>
        <v>-18.200000000000017</v>
      </c>
      <c r="AB38" s="286">
        <f>'Data-temp_employment'!AB38-last_qrtr_tempemp!AC38</f>
        <v>25.400000000000006</v>
      </c>
      <c r="AC38" s="286">
        <f>'Data-temp_employment'!AC38-last_qrtr_tempemp!AD38</f>
        <v>-6.9000000000000057</v>
      </c>
      <c r="AD38" s="286">
        <f>'Data-temp_employment'!AD38-last_qrtr_tempemp!AE38</f>
        <v>11.600000000000023</v>
      </c>
      <c r="AE38" s="286">
        <f>'Data-temp_employment'!AE38-last_qrtr_tempemp!AF38</f>
        <v>-23.600000000000023</v>
      </c>
      <c r="AF38" s="286">
        <f>'Data-temp_employment'!AF38-last_qrtr_tempemp!AG38</f>
        <v>9.7000000000000171</v>
      </c>
      <c r="AG38" s="286">
        <f>'Data-temp_employment'!AG38-last_qrtr_tempemp!AH38</f>
        <v>-32</v>
      </c>
      <c r="AH38" s="286">
        <f>'Data-temp_employment'!AH38</f>
        <v>231.6</v>
      </c>
      <c r="AI38" s="285" t="s">
        <v>24</v>
      </c>
      <c r="AJ38" s="286">
        <f>'Data-temp_employment'!AJ38-last_qrtr_tempemp!AK38</f>
        <v>-29.099999999999966</v>
      </c>
      <c r="AK38" s="286">
        <f>'Data-temp_employment'!AK38-last_qrtr_tempemp!AL38</f>
        <v>-273</v>
      </c>
      <c r="AL38" s="286">
        <f>'Data-temp_employment'!AL38-last_qrtr_tempemp!AM38</f>
        <v>231.79999999999995</v>
      </c>
      <c r="AM38" s="286">
        <f>'Data-temp_employment'!AM38-last_qrtr_tempemp!AN38</f>
        <v>88.299999999999955</v>
      </c>
      <c r="AN38" s="286">
        <f>'Data-temp_employment'!AN38-last_qrtr_tempemp!AO38</f>
        <v>-21.099999999999966</v>
      </c>
      <c r="AO38" s="286">
        <f>'Data-temp_employment'!AO38-last_qrtr_tempemp!AP38</f>
        <v>-226</v>
      </c>
      <c r="AP38" s="286">
        <f>'Data-temp_employment'!AP38-last_qrtr_tempemp!AQ38</f>
        <v>278.10000000000002</v>
      </c>
      <c r="AQ38" s="286">
        <f>'Data-temp_employment'!AQ38-last_qrtr_tempemp!AR38</f>
        <v>93.199999999999989</v>
      </c>
      <c r="AR38" s="286">
        <f>'Data-temp_employment'!AR38-last_qrtr_tempemp!AS38</f>
        <v>-92.899999999999977</v>
      </c>
      <c r="AS38" s="286">
        <f>'Data-temp_employment'!AS38</f>
        <v>441.8</v>
      </c>
      <c r="AT38" s="279" t="s">
        <v>24</v>
      </c>
      <c r="AU38" s="286">
        <f>'Data-temp_employment'!AU38-last_qrtr_tempemp!AV38</f>
        <v>-70.700000000000045</v>
      </c>
      <c r="AV38" s="286">
        <f>'Data-temp_employment'!AV38-last_qrtr_tempemp!AW38</f>
        <v>-45.5</v>
      </c>
      <c r="AW38" s="286">
        <f>'Data-temp_employment'!AW38-last_qrtr_tempemp!AX38</f>
        <v>59.300000000000068</v>
      </c>
      <c r="AX38" s="286">
        <f>'Data-temp_employment'!AX38-last_qrtr_tempemp!AY38</f>
        <v>21</v>
      </c>
      <c r="AY38" s="286">
        <f>'Data-temp_employment'!AY38-last_qrtr_tempemp!AZ38</f>
        <v>-38.600000000000023</v>
      </c>
      <c r="AZ38" s="286">
        <f>'Data-temp_employment'!AZ38-last_qrtr_tempemp!BA38</f>
        <v>24</v>
      </c>
      <c r="BA38" s="286">
        <f>'Data-temp_employment'!BA38-last_qrtr_tempemp!BB38</f>
        <v>160.30000000000007</v>
      </c>
      <c r="BB38" s="286">
        <f>'Data-temp_employment'!BB38-last_qrtr_tempemp!BC38</f>
        <v>53.100000000000023</v>
      </c>
      <c r="BC38" s="286">
        <f>'Data-temp_employment'!BC38-last_qrtr_tempemp!BD38</f>
        <v>-82.300000000000068</v>
      </c>
      <c r="BD38" s="286">
        <f>'Data-temp_employment'!BD38</f>
        <v>636.5</v>
      </c>
      <c r="BE38" s="279" t="s">
        <v>24</v>
      </c>
      <c r="BF38" s="286">
        <f>'Data-temp_employment'!BF38-last_qrtr_tempemp!BG38</f>
        <v>67.100000000000023</v>
      </c>
      <c r="BG38" s="286">
        <f>'Data-temp_employment'!BG38-last_qrtr_tempemp!BH38</f>
        <v>78</v>
      </c>
      <c r="BH38" s="286">
        <f>'Data-temp_employment'!BH38-last_qrtr_tempemp!BI38</f>
        <v>-97.199999999999989</v>
      </c>
      <c r="BI38" s="286">
        <f>'Data-temp_employment'!BI38-last_qrtr_tempemp!BJ38</f>
        <v>-51.5</v>
      </c>
      <c r="BJ38" s="286">
        <f>'Data-temp_employment'!BJ38-last_qrtr_tempemp!BK38</f>
        <v>30.699999999999932</v>
      </c>
      <c r="BK38" s="286">
        <f>'Data-temp_employment'!BK38-last_qrtr_tempemp!BL38</f>
        <v>133.59999999999997</v>
      </c>
      <c r="BL38" s="286">
        <f>'Data-temp_employment'!BL38-last_qrtr_tempemp!BM38</f>
        <v>-40.5</v>
      </c>
      <c r="BM38" s="286">
        <f>'Data-temp_employment'!BM38-last_qrtr_tempemp!BN38</f>
        <v>16.800000000000068</v>
      </c>
      <c r="BN38" s="286">
        <f>'Data-temp_employment'!BN38-last_qrtr_tempemp!BO38</f>
        <v>37.5</v>
      </c>
      <c r="BO38" s="286">
        <f>'Data-temp_employment'!BO38</f>
        <v>700.8</v>
      </c>
      <c r="BP38" s="282" t="s">
        <v>24</v>
      </c>
      <c r="BQ38" s="286">
        <f>'Data-temp_employment'!BQ38-last_qrtr_tempemp!BR38</f>
        <v>3.3999999999999986</v>
      </c>
      <c r="BR38" s="286">
        <f>'Data-temp_employment'!BR38-last_qrtr_tempemp!BS38</f>
        <v>10.100000000000001</v>
      </c>
      <c r="BS38" s="286">
        <f>'Data-temp_employment'!BS38-last_qrtr_tempemp!BT38</f>
        <v>13.199999999999996</v>
      </c>
      <c r="BT38" s="286">
        <f>'Data-temp_employment'!BT38-last_qrtr_tempemp!BU38</f>
        <v>16.100000000000009</v>
      </c>
      <c r="BU38" s="286">
        <f>'Data-temp_employment'!BU38-last_qrtr_tempemp!BV38</f>
        <v>-4.7000000000000028</v>
      </c>
      <c r="BV38" s="286">
        <f>'Data-temp_employment'!BV38-last_qrtr_tempemp!BW38</f>
        <v>4.8999999999999986</v>
      </c>
      <c r="BW38" s="286">
        <f>'Data-temp_employment'!BW38-last_qrtr_tempemp!BX38</f>
        <v>6.5</v>
      </c>
      <c r="BX38" s="286">
        <f>'Data-temp_employment'!BX38-last_qrtr_tempemp!BY38</f>
        <v>11.799999999999997</v>
      </c>
      <c r="BY38" s="286">
        <f>'Data-temp_employment'!BY38-last_qrtr_tempemp!BZ38</f>
        <v>0.79999999999999716</v>
      </c>
      <c r="BZ38" s="286">
        <f>'Data-temp_employment'!BZ38</f>
        <v>75.2</v>
      </c>
      <c r="CA38" s="282" t="s">
        <v>24</v>
      </c>
      <c r="CB38" s="286">
        <f>'Data-temp_employment'!CB38-last_qrtr_tempemp!CC38</f>
        <v>37.5</v>
      </c>
      <c r="CC38" s="286">
        <f>'Data-temp_employment'!CC38-last_qrtr_tempemp!CD38</f>
        <v>36.300000000000011</v>
      </c>
      <c r="CD38" s="286">
        <f>'Data-temp_employment'!CD38-last_qrtr_tempemp!CE38</f>
        <v>7.0999999999999943</v>
      </c>
      <c r="CE38" s="286">
        <f>'Data-temp_employment'!CE38-last_qrtr_tempemp!CF38</f>
        <v>3.9000000000000057</v>
      </c>
      <c r="CF38" s="286">
        <f>'Data-temp_employment'!CF38-last_qrtr_tempemp!CG38</f>
        <v>0.69999999999998863</v>
      </c>
      <c r="CG38" s="286">
        <f>'Data-temp_employment'!CG38-last_qrtr_tempemp!CH38</f>
        <v>-4.0999999999999943</v>
      </c>
      <c r="CH38" s="286">
        <f>'Data-temp_employment'!CH38-last_qrtr_tempemp!CI38</f>
        <v>4.4000000000000057</v>
      </c>
      <c r="CI38" s="286">
        <f>'Data-temp_employment'!CI38-last_qrtr_tempemp!CJ38</f>
        <v>-1.7999999999999829</v>
      </c>
      <c r="CJ38" s="286">
        <f>'Data-temp_employment'!CJ38-last_qrtr_tempemp!CK38</f>
        <v>23.800000000000011</v>
      </c>
      <c r="CK38" s="286">
        <f>'Data-temp_employment'!CK38</f>
        <v>212.9</v>
      </c>
      <c r="CL38" s="285" t="s">
        <v>24</v>
      </c>
      <c r="CM38" s="286">
        <f>'Data-temp_employment'!CM38-last_qrtr_tempemp!CN38</f>
        <v>-27.400000000000091</v>
      </c>
      <c r="CN38" s="286">
        <f>'Data-temp_employment'!CN38-last_qrtr_tempemp!CO38</f>
        <v>-33.299999999999955</v>
      </c>
      <c r="CO38" s="286">
        <f>'Data-temp_employment'!CO38-last_qrtr_tempemp!CP38</f>
        <v>129</v>
      </c>
      <c r="CP38" s="286">
        <f>'Data-temp_employment'!CP38-last_qrtr_tempemp!CQ38</f>
        <v>172.90000000000009</v>
      </c>
      <c r="CQ38" s="286">
        <f>'Data-temp_employment'!CQ38-last_qrtr_tempemp!CR38</f>
        <v>-15</v>
      </c>
      <c r="CR38" s="286">
        <f>'Data-temp_employment'!CR38-last_qrtr_tempemp!CS38</f>
        <v>-5.2999999999999545</v>
      </c>
      <c r="CS38" s="286">
        <f>'Data-temp_employment'!CS38-last_qrtr_tempemp!CT38</f>
        <v>61.799999999999955</v>
      </c>
      <c r="CT38" s="286">
        <f>'Data-temp_employment'!CT38-last_qrtr_tempemp!CU38</f>
        <v>128.09999999999991</v>
      </c>
      <c r="CU38" s="286">
        <f>'Data-temp_employment'!CU38-last_qrtr_tempemp!CV38</f>
        <v>-67.599999999999909</v>
      </c>
      <c r="CV38" s="286">
        <f>'Data-temp_employment'!CV38</f>
        <v>1682.3</v>
      </c>
      <c r="CW38" s="285" t="s">
        <v>24</v>
      </c>
      <c r="CX38" s="286">
        <f>'Data-temp_employment'!CX38-last_qrtr_tempemp!CY38</f>
        <v>36</v>
      </c>
      <c r="CY38" s="286">
        <f>'Data-temp_employment'!CY38-last_qrtr_tempemp!CZ38</f>
        <v>-43.199999999999932</v>
      </c>
      <c r="CZ38" s="286">
        <f>'Data-temp_employment'!CZ38-last_qrtr_tempemp!DA38</f>
        <v>120.89999999999986</v>
      </c>
      <c r="DA38" s="286">
        <f>'Data-temp_employment'!DA38-last_qrtr_tempemp!DB38</f>
        <v>93.200000000000045</v>
      </c>
      <c r="DB38" s="286">
        <f>'Data-temp_employment'!DB38-last_qrtr_tempemp!DC38</f>
        <v>34.599999999999909</v>
      </c>
      <c r="DC38" s="286">
        <f>'Data-temp_employment'!DC38-last_qrtr_tempemp!DD38</f>
        <v>5.5</v>
      </c>
      <c r="DD38" s="286">
        <f>'Data-temp_employment'!DD38-last_qrtr_tempemp!DE38</f>
        <v>114.09999999999991</v>
      </c>
      <c r="DE38" s="286">
        <f>'Data-temp_employment'!DE38-last_qrtr_tempemp!DF38</f>
        <v>67.900000000000091</v>
      </c>
      <c r="DF38" s="286">
        <f>'Data-temp_employment'!DF38-last_qrtr_tempemp!DG38</f>
        <v>-42.699999999999932</v>
      </c>
      <c r="DG38" s="286">
        <f>'Data-temp_employment'!DG38</f>
        <v>1080.5999999999999</v>
      </c>
      <c r="DH38" s="285" t="s">
        <v>24</v>
      </c>
      <c r="DI38" s="286">
        <f>'Data-temp_employment'!DI38-last_qrtr_tempemp!DJ38</f>
        <v>27.299999999999955</v>
      </c>
      <c r="DJ38" s="286">
        <f>'Data-temp_employment'!DJ38-last_qrtr_tempemp!DK38</f>
        <v>74.400000000000091</v>
      </c>
      <c r="DK38" s="286">
        <f>'Data-temp_employment'!DK38-last_qrtr_tempemp!DL38</f>
        <v>57.099999999999909</v>
      </c>
      <c r="DL38" s="286">
        <f>'Data-temp_employment'!DL38-last_qrtr_tempemp!DM38</f>
        <v>66.599999999999909</v>
      </c>
      <c r="DM38" s="286">
        <f>'Data-temp_employment'!DM38-last_qrtr_tempemp!DN38</f>
        <v>28</v>
      </c>
      <c r="DN38" s="286">
        <f>'Data-temp_employment'!DN38-last_qrtr_tempemp!DO38</f>
        <v>54.599999999999909</v>
      </c>
      <c r="DO38" s="286">
        <f>'Data-temp_employment'!DO38-last_qrtr_tempemp!DP38</f>
        <v>107</v>
      </c>
      <c r="DP38" s="286">
        <f>'Data-temp_employment'!DP38-last_qrtr_tempemp!DQ38</f>
        <v>100.20000000000005</v>
      </c>
      <c r="DQ38" s="286">
        <f>'Data-temp_employment'!DQ38-last_qrtr_tempemp!DR38</f>
        <v>24.5</v>
      </c>
      <c r="DR38" s="286">
        <f>'Data-temp_employment'!DR38</f>
        <v>1585.9</v>
      </c>
      <c r="DS38" s="285" t="s">
        <v>24</v>
      </c>
      <c r="DT38" s="286">
        <f>'Data-temp_employment'!DT38-last_qrtr_tempemp!DU38</f>
        <v>0</v>
      </c>
      <c r="DU38" s="286">
        <f>'Data-temp_employment'!DU38-last_qrtr_tempemp!DV38</f>
        <v>0</v>
      </c>
      <c r="DV38" s="286">
        <f>'Data-temp_employment'!DV38-last_qrtr_tempemp!DW38</f>
        <v>0</v>
      </c>
      <c r="DW38" s="286">
        <f>'Data-temp_employment'!DW38-last_qrtr_tempemp!DX38</f>
        <v>0</v>
      </c>
      <c r="DX38" s="286">
        <f>'Data-temp_employment'!DX38-last_qrtr_tempemp!DY38</f>
        <v>0</v>
      </c>
      <c r="DY38" s="286">
        <f>'Data-temp_employment'!DY38-last_qrtr_tempemp!DZ38</f>
        <v>0</v>
      </c>
      <c r="DZ38" s="286">
        <f>'Data-temp_employment'!DZ38-last_qrtr_tempemp!EA38</f>
        <v>0</v>
      </c>
      <c r="EA38" s="286">
        <f>'Data-temp_employment'!EA38-last_qrtr_tempemp!EB38</f>
        <v>0</v>
      </c>
      <c r="EB38" s="286">
        <f>'Data-temp_employment'!EB38-last_qrtr_tempemp!EC38</f>
        <v>0</v>
      </c>
      <c r="EC38" s="286">
        <f>'Data-temp_employment'!EC38</f>
        <v>0</v>
      </c>
      <c r="ED38" s="279" t="s">
        <v>24</v>
      </c>
      <c r="EE38" s="286">
        <f>'Data-temp_employment'!EE38-last_qrtr_tempemp!EF38</f>
        <v>4.1000000000000014</v>
      </c>
      <c r="EF38" s="286">
        <f>'Data-temp_employment'!EF38-last_qrtr_tempemp!EG38</f>
        <v>-1.3000000000000007</v>
      </c>
      <c r="EG38" s="286">
        <f>'Data-temp_employment'!EG38-last_qrtr_tempemp!EH38</f>
        <v>-4</v>
      </c>
      <c r="EH38" s="286">
        <f>'Data-temp_employment'!EH38-last_qrtr_tempemp!EI38</f>
        <v>-0.69999999999999929</v>
      </c>
      <c r="EI38" s="286">
        <f>'Data-temp_employment'!EI38-last_qrtr_tempemp!EJ38</f>
        <v>0.39999999999999858</v>
      </c>
      <c r="EJ38" s="286">
        <f>'Data-temp_employment'!EJ38-last_qrtr_tempemp!EK38</f>
        <v>-4.1999999999999993</v>
      </c>
      <c r="EK38" s="286">
        <f>'Data-temp_employment'!EK38-last_qrtr_tempemp!EL38</f>
        <v>-4.4000000000000021</v>
      </c>
      <c r="EL38" s="286">
        <f>'Data-temp_employment'!EL38-last_qrtr_tempemp!EM38</f>
        <v>-1.5999999999999979</v>
      </c>
      <c r="EM38" s="286">
        <f>'Data-temp_employment'!EM38-last_qrtr_tempemp!EN38</f>
        <v>3.9000000000000021</v>
      </c>
      <c r="EN38" s="286">
        <f>'Data-temp_employment'!EN38</f>
        <v>26.2</v>
      </c>
      <c r="EO38" s="279" t="s">
        <v>24</v>
      </c>
      <c r="EP38" s="286">
        <f>'Data-temp_employment'!EP38-last_qrtr_tempemp!EQ38</f>
        <v>50</v>
      </c>
      <c r="EQ38" s="286">
        <f>'Data-temp_employment'!EQ38-last_qrtr_tempemp!ER38</f>
        <v>128.29999999999995</v>
      </c>
      <c r="ER38" s="286">
        <f>'Data-temp_employment'!ER38-last_qrtr_tempemp!ES38</f>
        <v>3.0999999999999091</v>
      </c>
      <c r="ES38" s="286">
        <f>'Data-temp_employment'!ES38-last_qrtr_tempemp!ET38</f>
        <v>44.800000000000068</v>
      </c>
      <c r="ET38" s="286">
        <f>'Data-temp_employment'!ET38-last_qrtr_tempemp!EU38</f>
        <v>10</v>
      </c>
      <c r="EU38" s="286">
        <f>'Data-temp_employment'!EU38-last_qrtr_tempemp!EV38</f>
        <v>68.700000000000045</v>
      </c>
      <c r="EV38" s="286">
        <f>'Data-temp_employment'!EV38-last_qrtr_tempemp!EW38</f>
        <v>-45.700000000000045</v>
      </c>
      <c r="EW38" s="286">
        <f>'Data-temp_employment'!EW38-last_qrtr_tempemp!EX38</f>
        <v>17.100000000000023</v>
      </c>
      <c r="EX38" s="286">
        <f>'Data-temp_employment'!EX38-last_qrtr_tempemp!EY38</f>
        <v>18.200000000000045</v>
      </c>
      <c r="EY38" s="286">
        <f>'Data-temp_employment'!EY38</f>
        <v>686.4</v>
      </c>
      <c r="EZ38" s="279" t="s">
        <v>24</v>
      </c>
      <c r="FA38" s="286">
        <f>'Data-temp_employment'!FA38-last_qrtr_tempemp!FB38</f>
        <v>6.0999999999999659</v>
      </c>
      <c r="FB38" s="286">
        <f>'Data-temp_employment'!FB38-last_qrtr_tempemp!FC38</f>
        <v>6.4000000000000341</v>
      </c>
      <c r="FC38" s="286">
        <f>'Data-temp_employment'!FC38-last_qrtr_tempemp!FD38</f>
        <v>-6.7999999999999545</v>
      </c>
      <c r="FD38" s="286">
        <f>'Data-temp_employment'!FD38-last_qrtr_tempemp!FE38</f>
        <v>-3.7999999999999545</v>
      </c>
      <c r="FE38" s="286">
        <f>'Data-temp_employment'!FE38-last_qrtr_tempemp!FF38</f>
        <v>14.399999999999977</v>
      </c>
      <c r="FF38" s="286">
        <f>'Data-temp_employment'!FF38-last_qrtr_tempemp!FG38</f>
        <v>27.299999999999955</v>
      </c>
      <c r="FG38" s="286">
        <f>'Data-temp_employment'!FG38-last_qrtr_tempemp!FH38</f>
        <v>50.799999999999955</v>
      </c>
      <c r="FH38" s="286">
        <f>'Data-temp_employment'!FH38-last_qrtr_tempemp!FI38</f>
        <v>32.400000000000034</v>
      </c>
      <c r="FI38" s="286">
        <f>'Data-temp_employment'!FI38-last_qrtr_tempemp!FJ38</f>
        <v>31.5</v>
      </c>
      <c r="FJ38" s="286">
        <f>'Data-temp_employment'!FJ38</f>
        <v>353.9</v>
      </c>
      <c r="FK38" s="279" t="s">
        <v>24</v>
      </c>
      <c r="FL38" s="286">
        <f>'Data-temp_employment'!FL38-last_qrtr_tempemp!FM38</f>
        <v>16.400000000000034</v>
      </c>
      <c r="FM38" s="286">
        <f>'Data-temp_employment'!FM38-last_qrtr_tempemp!FN38</f>
        <v>-2.1999999999999886</v>
      </c>
      <c r="FN38" s="286">
        <f>'Data-temp_employment'!FN38-last_qrtr_tempemp!FO38</f>
        <v>-6.0999999999999659</v>
      </c>
      <c r="FO38" s="286">
        <f>'Data-temp_employment'!FO38-last_qrtr_tempemp!FP38</f>
        <v>-8.9000000000000341</v>
      </c>
      <c r="FP38" s="286">
        <f>'Data-temp_employment'!FP38-last_qrtr_tempemp!FQ38</f>
        <v>10.899999999999977</v>
      </c>
      <c r="FQ38" s="286">
        <f>'Data-temp_employment'!FQ38-last_qrtr_tempemp!FR38</f>
        <v>23.5</v>
      </c>
      <c r="FR38" s="286">
        <f>'Data-temp_employment'!FR38-last_qrtr_tempemp!FS38</f>
        <v>76.100000000000023</v>
      </c>
      <c r="FS38" s="286">
        <f>'Data-temp_employment'!FS38-last_qrtr_tempemp!FT38</f>
        <v>43.300000000000011</v>
      </c>
      <c r="FT38" s="286">
        <f>'Data-temp_employment'!FT38-last_qrtr_tempemp!FU38</f>
        <v>5.5</v>
      </c>
      <c r="FU38" s="286">
        <f>'Data-temp_employment'!FU38</f>
        <v>381.4</v>
      </c>
      <c r="FV38" s="279" t="s">
        <v>24</v>
      </c>
      <c r="FW38" s="286">
        <f>'Data-temp_employment'!FW38-last_qrtr_tempemp!FX38</f>
        <v>-34.699999999999932</v>
      </c>
      <c r="FX38" s="286">
        <f>'Data-temp_employment'!FX38-last_qrtr_tempemp!FY38</f>
        <v>-135.29999999999995</v>
      </c>
      <c r="FY38" s="286">
        <f>'Data-temp_employment'!FY38-last_qrtr_tempemp!FZ38</f>
        <v>172.10000000000002</v>
      </c>
      <c r="FZ38" s="286">
        <f>'Data-temp_employment'!FZ38-last_qrtr_tempemp!GA38</f>
        <v>120.69999999999993</v>
      </c>
      <c r="GA38" s="286">
        <f>'Data-temp_employment'!GA38-last_qrtr_tempemp!GB38</f>
        <v>-18.299999999999955</v>
      </c>
      <c r="GB38" s="286">
        <f>'Data-temp_employment'!GB38-last_qrtr_tempemp!GC38</f>
        <v>-98.100000000000023</v>
      </c>
      <c r="GC38" s="286">
        <f>'Data-temp_employment'!GC38-last_qrtr_tempemp!GD38</f>
        <v>136.29999999999995</v>
      </c>
      <c r="GD38" s="286">
        <f>'Data-temp_employment'!GD38-last_qrtr_tempemp!GE38</f>
        <v>38.199999999999932</v>
      </c>
      <c r="GE38" s="286">
        <f>'Data-temp_employment'!GE38-last_qrtr_tempemp!GF38</f>
        <v>-110.30000000000007</v>
      </c>
      <c r="GF38" s="286">
        <f>'Data-temp_employment'!GF38</f>
        <v>958.1</v>
      </c>
      <c r="GG38" s="279" t="s">
        <v>24</v>
      </c>
      <c r="GH38" s="286">
        <f>'Data-temp_employment'!GH38-last_qrtr_tempemp!GI38</f>
        <v>-12.199999999999996</v>
      </c>
      <c r="GI38" s="286">
        <f>'Data-temp_employment'!GI38-last_qrtr_tempemp!GJ38</f>
        <v>-18.200000000000003</v>
      </c>
      <c r="GJ38" s="286">
        <f>'Data-temp_employment'!GJ38-last_qrtr_tempemp!GK38</f>
        <v>-5.3999999999999986</v>
      </c>
      <c r="GK38" s="286">
        <f>'Data-temp_employment'!GK38-last_qrtr_tempemp!GL38</f>
        <v>-6.2000000000000028</v>
      </c>
      <c r="GL38" s="286">
        <f>'Data-temp_employment'!GL38-last_qrtr_tempemp!GM38</f>
        <v>7.6000000000000014</v>
      </c>
      <c r="GM38" s="286">
        <f>'Data-temp_employment'!GM38-last_qrtr_tempemp!GN38</f>
        <v>9.8000000000000043</v>
      </c>
      <c r="GN38" s="286">
        <f>'Data-temp_employment'!GN38-last_qrtr_tempemp!GO38</f>
        <v>9.3999999999999986</v>
      </c>
      <c r="GO38" s="286">
        <f>'Data-temp_employment'!GO38-last_qrtr_tempemp!GP38</f>
        <v>6.8999999999999986</v>
      </c>
      <c r="GP38" s="286">
        <f>'Data-temp_employment'!GP38-last_qrtr_tempemp!GQ38</f>
        <v>-10.400000000000006</v>
      </c>
      <c r="GQ38" s="286">
        <f>'Data-temp_employment'!GQ38</f>
        <v>60.1</v>
      </c>
      <c r="GR38" s="279" t="s">
        <v>24</v>
      </c>
      <c r="GS38" s="286">
        <f>'Data-temp_employment'!GS38-last_qrtr_tempemp!GT38</f>
        <v>7.1999999999999886</v>
      </c>
      <c r="GT38" s="286">
        <f>'Data-temp_employment'!GT38-last_qrtr_tempemp!GU38</f>
        <v>27.100000000000023</v>
      </c>
      <c r="GU38" s="286">
        <f>'Data-temp_employment'!GU38-last_qrtr_tempemp!GV38</f>
        <v>61.199999999999989</v>
      </c>
      <c r="GV38" s="286">
        <f>'Data-temp_employment'!GV38-last_qrtr_tempemp!GW38</f>
        <v>36.399999999999977</v>
      </c>
      <c r="GW38" s="286">
        <f>'Data-temp_employment'!GW38-last_qrtr_tempemp!GX38</f>
        <v>-14.800000000000011</v>
      </c>
      <c r="GX38" s="286">
        <f>'Data-temp_employment'!GX38-last_qrtr_tempemp!GY38</f>
        <v>10</v>
      </c>
      <c r="GY38" s="286">
        <f>'Data-temp_employment'!GY38-last_qrtr_tempemp!GZ38</f>
        <v>22.099999999999966</v>
      </c>
      <c r="GZ38" s="286">
        <f>'Data-temp_employment'!GZ38-last_qrtr_tempemp!HA38</f>
        <v>28.699999999999989</v>
      </c>
      <c r="HA38" s="286">
        <f>'Data-temp_employment'!HA38-last_qrtr_tempemp!HB38</f>
        <v>-45.199999999999989</v>
      </c>
      <c r="HB38" s="286">
        <f>'Data-temp_employment'!HB38</f>
        <v>540.6</v>
      </c>
      <c r="HC38" s="279" t="s">
        <v>24</v>
      </c>
      <c r="HD38" s="286">
        <f>'Data-temp_employment'!HD38-last_qrtr_tempemp!HE38</f>
        <v>-8.1999999999999886</v>
      </c>
      <c r="HE38" s="286">
        <f>'Data-temp_employment'!HE38-last_qrtr_tempemp!HF38</f>
        <v>-4.8000000000000114</v>
      </c>
      <c r="HF38" s="286">
        <f>'Data-temp_employment'!HF38-last_qrtr_tempemp!HG38</f>
        <v>40.5</v>
      </c>
      <c r="HG38" s="286">
        <f>'Data-temp_employment'!HG38-last_qrtr_tempemp!HH38</f>
        <v>32.800000000000011</v>
      </c>
      <c r="HH38" s="286">
        <f>'Data-temp_employment'!HH38-last_qrtr_tempemp!HI38</f>
        <v>15.700000000000045</v>
      </c>
      <c r="HI38" s="286">
        <f>'Data-temp_employment'!HI38-last_qrtr_tempemp!HJ38</f>
        <v>5.3000000000000114</v>
      </c>
      <c r="HJ38" s="286">
        <f>'Data-temp_employment'!HJ38-last_qrtr_tempemp!HK38</f>
        <v>29.199999999999989</v>
      </c>
      <c r="HK38" s="286">
        <f>'Data-temp_employment'!HK38-last_qrtr_tempemp!HL38</f>
        <v>44.199999999999989</v>
      </c>
      <c r="HL38" s="286">
        <f>'Data-temp_employment'!HL38-last_qrtr_tempemp!HM38</f>
        <v>14.800000000000011</v>
      </c>
      <c r="HM38" s="286">
        <f>'Data-temp_employment'!HM38</f>
        <v>313.89999999999998</v>
      </c>
      <c r="HN38" s="279" t="s">
        <v>24</v>
      </c>
      <c r="HO38" s="286">
        <f>'Data-temp_employment'!HO38-last_qrtr_tempemp!HP38</f>
        <v>5.2999999999999545</v>
      </c>
      <c r="HP38" s="286">
        <f>'Data-temp_employment'!HP38-last_qrtr_tempemp!HQ38</f>
        <v>2.6999999999999318</v>
      </c>
      <c r="HQ38" s="286">
        <f>'Data-temp_employment'!HQ38-last_qrtr_tempemp!HR38</f>
        <v>56</v>
      </c>
      <c r="HR38" s="286">
        <f>'Data-temp_employment'!HR38-last_qrtr_tempemp!HS38</f>
        <v>118.39999999999998</v>
      </c>
      <c r="HS38" s="286">
        <f>'Data-temp_employment'!HS38-last_qrtr_tempemp!HT38</f>
        <v>18.700000000000045</v>
      </c>
      <c r="HT38" s="286">
        <f>'Data-temp_employment'!HT38-last_qrtr_tempemp!HU38</f>
        <v>12.299999999999955</v>
      </c>
      <c r="HU38" s="286">
        <f>'Data-temp_employment'!HU38-last_qrtr_tempemp!HV38</f>
        <v>9.2000000000000455</v>
      </c>
      <c r="HV38" s="286">
        <f>'Data-temp_employment'!HV38-last_qrtr_tempemp!HW38</f>
        <v>85.299999999999955</v>
      </c>
      <c r="HW38" s="286">
        <f>'Data-temp_employment'!HW38-last_qrtr_tempemp!HX38</f>
        <v>4.2999999999999545</v>
      </c>
      <c r="HX38" s="286">
        <f>'Data-temp_employment'!HX38</f>
        <v>1018.7</v>
      </c>
      <c r="HY38" s="279" t="s">
        <v>24</v>
      </c>
      <c r="HZ38" s="286">
        <f>'Data-temp_employment'!HZ38-last_qrtr_tempemp!IA38</f>
        <v>2</v>
      </c>
      <c r="IA38" s="286">
        <f>'Data-temp_employment'!IA38-last_qrtr_tempemp!IB38</f>
        <v>-4.8999999999999995</v>
      </c>
      <c r="IB38" s="286">
        <f>'Data-temp_employment'!IB38-last_qrtr_tempemp!IC38</f>
        <v>-3.5999999999999996</v>
      </c>
      <c r="IC38" s="286">
        <f>'Data-temp_employment'!IC38-last_qrtr_tempemp!ID38</f>
        <v>-0.90000000000000036</v>
      </c>
      <c r="ID38" s="286">
        <f>'Data-temp_employment'!ID38-last_qrtr_tempemp!IE38</f>
        <v>2.9999999999999991</v>
      </c>
      <c r="IE38" s="286">
        <f>'Data-temp_employment'!IE38-last_qrtr_tempemp!IF38</f>
        <v>0.30000000000000071</v>
      </c>
      <c r="IF38" s="286">
        <f>'Data-temp_employment'!IF38-last_qrtr_tempemp!IG38</f>
        <v>0</v>
      </c>
      <c r="IG38" s="286">
        <f>'Data-temp_employment'!IG38-last_qrtr_tempemp!IH38</f>
        <v>1.8000000000000007</v>
      </c>
      <c r="IH38" s="286">
        <f>'Data-temp_employment'!IH38-last_qrtr_tempemp!II38</f>
        <v>2</v>
      </c>
      <c r="II38" s="286">
        <f>'Data-temp_employment'!II38</f>
        <v>9.8000000000000007</v>
      </c>
      <c r="IJ38" s="279" t="s">
        <v>24</v>
      </c>
      <c r="IK38" s="286">
        <f>'Data-temp_employment'!IK38-last_qrtr_tempemp!IL38</f>
        <v>0</v>
      </c>
      <c r="IL38" s="286">
        <f>'Data-temp_employment'!IL38-last_qrtr_tempemp!IM38</f>
        <v>0</v>
      </c>
      <c r="IM38" s="286">
        <f>'Data-temp_employment'!IM38-last_qrtr_tempemp!IN38</f>
        <v>0</v>
      </c>
      <c r="IN38" s="286">
        <f>'Data-temp_employment'!IN38-last_qrtr_tempemp!IO38</f>
        <v>0</v>
      </c>
      <c r="IO38" s="286">
        <f>'Data-temp_employment'!IO38-last_qrtr_tempemp!IP38</f>
        <v>0</v>
      </c>
      <c r="IP38" s="286">
        <f>'Data-temp_employment'!IP38-last_qrtr_tempemp!IQ38</f>
        <v>0</v>
      </c>
      <c r="IQ38" s="286">
        <f>'Data-temp_employment'!IQ38-last_qrtr_tempemp!IR38</f>
        <v>0</v>
      </c>
      <c r="IR38" s="286">
        <f>'Data-temp_employment'!IR38-last_qrtr_tempemp!IS38</f>
        <v>0</v>
      </c>
      <c r="IS38" s="286">
        <f>'Data-temp_employment'!IS38-last_qrtr_tempemp!IT38</f>
        <v>0</v>
      </c>
      <c r="IT38" s="286">
        <f>'Data-temp_employment'!IT38</f>
        <v>0</v>
      </c>
      <c r="IU38" s="279" t="s">
        <v>24</v>
      </c>
      <c r="IV38" s="286">
        <f>'Data-temp_employment'!IV38-last_qrtr_tempemp!IW38</f>
        <v>28.099999999999966</v>
      </c>
      <c r="IW38" s="286">
        <f>'Data-temp_employment'!IW38-last_qrtr_tempemp!IX38</f>
        <v>40</v>
      </c>
      <c r="IX38" s="286">
        <f>'Data-temp_employment'!IX38-last_qrtr_tempemp!IY38</f>
        <v>-41.399999999999977</v>
      </c>
      <c r="IY38" s="286">
        <f>'Data-temp_employment'!IY38-last_qrtr_tempemp!IZ38</f>
        <v>-1.6999999999999886</v>
      </c>
      <c r="IZ38" s="286">
        <f>'Data-temp_employment'!IZ38-last_qrtr_tempemp!JA38</f>
        <v>19.699999999999989</v>
      </c>
      <c r="JA38" s="286">
        <f>'Data-temp_employment'!JA38-last_qrtr_tempemp!JB38</f>
        <v>49.099999999999966</v>
      </c>
      <c r="JB38" s="286">
        <f>'Data-temp_employment'!JB38-last_qrtr_tempemp!JC38</f>
        <v>-47.100000000000023</v>
      </c>
      <c r="JC38" s="286">
        <f>'Data-temp_employment'!JC38-last_qrtr_tempemp!JD38</f>
        <v>4.1000000000000227</v>
      </c>
      <c r="JD38" s="286">
        <f>'Data-temp_employment'!JD38-last_qrtr_tempemp!JE38</f>
        <v>7.5</v>
      </c>
      <c r="JE38" s="286">
        <f>'Data-temp_employment'!JE38</f>
        <v>312.89999999999998</v>
      </c>
      <c r="JF38" s="279" t="s">
        <v>24</v>
      </c>
      <c r="JG38" s="286">
        <f>'Data-temp_employment'!JG38-last_qrtr_tempemp!JH38</f>
        <v>-3.3000000000000114</v>
      </c>
      <c r="JH38" s="286">
        <f>'Data-temp_employment'!JH38-last_qrtr_tempemp!JI38</f>
        <v>25.199999999999989</v>
      </c>
      <c r="JI38" s="286">
        <f>'Data-temp_employment'!JI38-last_qrtr_tempemp!JJ38</f>
        <v>26.599999999999966</v>
      </c>
      <c r="JJ38" s="286">
        <f>'Data-temp_employment'!JJ38-last_qrtr_tempemp!JK38</f>
        <v>56.800000000000011</v>
      </c>
      <c r="JK38" s="286">
        <f>'Data-temp_employment'!JK38-last_qrtr_tempemp!JL38</f>
        <v>6</v>
      </c>
      <c r="JL38" s="286">
        <f>'Data-temp_employment'!JL38-last_qrtr_tempemp!JM38</f>
        <v>6.9000000000000341</v>
      </c>
      <c r="JM38" s="286">
        <f>'Data-temp_employment'!JM38-last_qrtr_tempemp!JN38</f>
        <v>24.199999999999989</v>
      </c>
      <c r="JN38" s="286">
        <f>'Data-temp_employment'!JN38-last_qrtr_tempemp!JO38</f>
        <v>33.400000000000034</v>
      </c>
      <c r="JO38" s="286">
        <f>'Data-temp_employment'!JO38-last_qrtr_tempemp!JP38</f>
        <v>23.899999999999977</v>
      </c>
      <c r="JP38" s="286">
        <f>'Data-temp_employment'!JP38</f>
        <v>478.5</v>
      </c>
      <c r="JQ38" s="279" t="s">
        <v>24</v>
      </c>
      <c r="JR38" s="286">
        <f>'Data-temp_employment'!JR38-last_qrtr_tempemp!JS38</f>
        <v>-20.699999999999989</v>
      </c>
      <c r="JS38" s="286">
        <f>'Data-temp_employment'!JS38-last_qrtr_tempemp!JT38</f>
        <v>9.7999999999999545</v>
      </c>
      <c r="JT38" s="286">
        <f>'Data-temp_employment'!JT38-last_qrtr_tempemp!JU38</f>
        <v>38.700000000000045</v>
      </c>
      <c r="JU38" s="286">
        <f>'Data-temp_employment'!JU38-last_qrtr_tempemp!JV38</f>
        <v>32.900000000000034</v>
      </c>
      <c r="JV38" s="286">
        <f>'Data-temp_employment'!JV38-last_qrtr_tempemp!JW38</f>
        <v>-6.2999999999999545</v>
      </c>
      <c r="JW38" s="286">
        <f>'Data-temp_employment'!JW38-last_qrtr_tempemp!JX38</f>
        <v>9.3999999999999773</v>
      </c>
      <c r="JX38" s="286">
        <f>'Data-temp_employment'!JX38-last_qrtr_tempemp!JY38</f>
        <v>14.799999999999955</v>
      </c>
      <c r="JY38" s="286">
        <f>'Data-temp_employment'!JY38-last_qrtr_tempemp!JZ38</f>
        <v>20.399999999999977</v>
      </c>
      <c r="JZ38" s="286">
        <f>'Data-temp_employment'!JZ38-last_qrtr_tempemp!KA38</f>
        <v>-23.600000000000023</v>
      </c>
      <c r="KA38" s="286">
        <f>'Data-temp_employment'!KA38</f>
        <v>357.2</v>
      </c>
      <c r="KB38" s="279" t="s">
        <v>24</v>
      </c>
      <c r="KC38" s="286">
        <f>'Data-temp_employment'!KC38-last_qrtr_tempemp!KD38</f>
        <v>15.800000000000011</v>
      </c>
      <c r="KD38" s="286">
        <f>'Data-temp_employment'!KD38-last_qrtr_tempemp!KE38</f>
        <v>-61</v>
      </c>
      <c r="KE38" s="286">
        <f>'Data-temp_employment'!KE38-last_qrtr_tempemp!KF38</f>
        <v>32.199999999999932</v>
      </c>
      <c r="KF38" s="286">
        <f>'Data-temp_employment'!KF38-last_qrtr_tempemp!KG38</f>
        <v>68.399999999999977</v>
      </c>
      <c r="KG38" s="286">
        <f>'Data-temp_employment'!KG38-last_qrtr_tempemp!KH38</f>
        <v>43.100000000000023</v>
      </c>
      <c r="KH38" s="286">
        <f>'Data-temp_employment'!KH38-last_qrtr_tempemp!KI38</f>
        <v>-12.099999999999966</v>
      </c>
      <c r="KI38" s="286">
        <f>'Data-temp_employment'!KI38-last_qrtr_tempemp!KJ38</f>
        <v>38.200000000000045</v>
      </c>
      <c r="KJ38" s="286">
        <f>'Data-temp_employment'!KJ38-last_qrtr_tempemp!KK38</f>
        <v>28.599999999999966</v>
      </c>
      <c r="KK38" s="286">
        <f>'Data-temp_employment'!KK38-last_qrtr_tempemp!KL38</f>
        <v>-33.399999999999977</v>
      </c>
      <c r="KL38" s="286">
        <f>'Data-temp_employment'!KL38</f>
        <v>499.6</v>
      </c>
      <c r="KM38" s="279" t="s">
        <v>24</v>
      </c>
      <c r="KN38" s="286">
        <f>'Data-temp_employment'!KN38-last_qrtr_tempemp!KO38</f>
        <v>12.900000000000006</v>
      </c>
      <c r="KO38" s="286">
        <f>'Data-temp_employment'!KO38-last_qrtr_tempemp!KP38</f>
        <v>7.5999999999999943</v>
      </c>
      <c r="KP38" s="286">
        <f>'Data-temp_employment'!KP38-last_qrtr_tempemp!KQ38</f>
        <v>19.200000000000017</v>
      </c>
      <c r="KQ38" s="286">
        <f>'Data-temp_employment'!KQ38-last_qrtr_tempemp!KR38</f>
        <v>18.700000000000017</v>
      </c>
      <c r="KR38" s="286">
        <f>'Data-temp_employment'!KR38-last_qrtr_tempemp!KS38</f>
        <v>10</v>
      </c>
      <c r="KS38" s="286">
        <f>'Data-temp_employment'!KS38-last_qrtr_tempemp!KT38</f>
        <v>2.0999999999999943</v>
      </c>
      <c r="KT38" s="286">
        <f>'Data-temp_employment'!KT38-last_qrtr_tempemp!KU38</f>
        <v>11.599999999999994</v>
      </c>
      <c r="KU38" s="286">
        <f>'Data-temp_employment'!KU38-last_qrtr_tempemp!KV38</f>
        <v>21</v>
      </c>
      <c r="KV38" s="286">
        <f>'Data-temp_employment'!KV38-last_qrtr_tempemp!KW38</f>
        <v>3.5999999999999943</v>
      </c>
      <c r="KW38" s="286">
        <f>'Data-temp_employment'!KW38</f>
        <v>180.6</v>
      </c>
      <c r="KX38" s="279" t="s">
        <v>24</v>
      </c>
      <c r="KY38" s="286">
        <f>'Data-temp_employment'!KY38-last_qrtr_tempemp!KZ38</f>
        <v>-27.899999999999977</v>
      </c>
      <c r="KZ38" s="286">
        <f>'Data-temp_employment'!KZ38-last_qrtr_tempemp!LA38</f>
        <v>-50.300000000000011</v>
      </c>
      <c r="LA38" s="286">
        <f>'Data-temp_employment'!LA38-last_qrtr_tempemp!LB38</f>
        <v>131.80000000000001</v>
      </c>
      <c r="LB38" s="286">
        <f>'Data-temp_employment'!LB38-last_qrtr_tempemp!LC38</f>
        <v>27.099999999999966</v>
      </c>
      <c r="LC38" s="286">
        <f>'Data-temp_employment'!LC38-last_qrtr_tempemp!LD38</f>
        <v>-76.300000000000011</v>
      </c>
      <c r="LD38" s="286">
        <f>'Data-temp_employment'!LD38-last_qrtr_tempemp!LE38</f>
        <v>-44.399999999999977</v>
      </c>
      <c r="LE38" s="286">
        <f>'Data-temp_employment'!LE38-last_qrtr_tempemp!LF38</f>
        <v>148.69999999999999</v>
      </c>
      <c r="LF38" s="286">
        <f>'Data-temp_employment'!LF38-last_qrtr_tempemp!LG38</f>
        <v>81.100000000000023</v>
      </c>
      <c r="LG38" s="286">
        <f>'Data-temp_employment'!LG38-last_qrtr_tempemp!LH38</f>
        <v>-101.60000000000002</v>
      </c>
      <c r="LH38" s="286">
        <f>'Data-temp_employment'!LH38</f>
        <v>551.20000000000005</v>
      </c>
      <c r="LI38" s="279" t="s">
        <v>24</v>
      </c>
      <c r="LJ38" s="286">
        <f>'Data-temp_employment'!LJ38-last_qrtr_tempemp!LK38</f>
        <v>10.5</v>
      </c>
      <c r="LK38" s="286">
        <f>'Data-temp_employment'!LK38-last_qrtr_tempemp!LL38</f>
        <v>3.9000000000000057</v>
      </c>
      <c r="LL38" s="286">
        <f>'Data-temp_employment'!LL38-last_qrtr_tempemp!LM38</f>
        <v>-2.5</v>
      </c>
      <c r="LM38" s="286">
        <f>'Data-temp_employment'!LM38-last_qrtr_tempemp!LN38</f>
        <v>-1.5</v>
      </c>
      <c r="LN38" s="286">
        <f>'Data-temp_employment'!LN38-last_qrtr_tempemp!LO38</f>
        <v>7.7000000000000028</v>
      </c>
      <c r="LO38" s="286">
        <f>'Data-temp_employment'!LO38-last_qrtr_tempemp!LP38</f>
        <v>2.7000000000000028</v>
      </c>
      <c r="LP38" s="286">
        <f>'Data-temp_employment'!LP38-last_qrtr_tempemp!LQ38</f>
        <v>-2.2000000000000028</v>
      </c>
      <c r="LQ38" s="286">
        <f>'Data-temp_employment'!LQ38-last_qrtr_tempemp!LR38</f>
        <v>1.7999999999999972</v>
      </c>
      <c r="LR38" s="286">
        <f>'Data-temp_employment'!LR38-last_qrtr_tempemp!LS38</f>
        <v>-5.7000000000000028</v>
      </c>
      <c r="LS38" s="286">
        <f>'Data-temp_employment'!LS38</f>
        <v>82</v>
      </c>
      <c r="LT38" s="279" t="s">
        <v>24</v>
      </c>
      <c r="LU38" s="286">
        <f>'Data-temp_employment'!LU38-last_qrtr_tempemp!LV38</f>
        <v>-2</v>
      </c>
      <c r="LV38" s="286">
        <f>'Data-temp_employment'!LV38-last_qrtr_tempemp!LW38</f>
        <v>-1</v>
      </c>
      <c r="LW38" s="286">
        <f>'Data-temp_employment'!LW38-last_qrtr_tempemp!LX38</f>
        <v>12.899999999999999</v>
      </c>
      <c r="LX38" s="286">
        <f>'Data-temp_employment'!LX38-last_qrtr_tempemp!LY38</f>
        <v>7.7000000000000028</v>
      </c>
      <c r="LY38" s="286">
        <f>'Data-temp_employment'!LY38-last_qrtr_tempemp!LZ38</f>
        <v>1.2999999999999972</v>
      </c>
      <c r="LZ38" s="286">
        <f>'Data-temp_employment'!LZ38-last_qrtr_tempemp!MA38</f>
        <v>-3.6000000000000014</v>
      </c>
      <c r="MA38" s="286">
        <f>'Data-temp_employment'!MA38-last_qrtr_tempemp!MB38</f>
        <v>-3.5</v>
      </c>
      <c r="MB38" s="286">
        <f>'Data-temp_employment'!MB38-last_qrtr_tempemp!MC38</f>
        <v>-7.9999999999999964</v>
      </c>
      <c r="MC38" s="286">
        <f>'Data-temp_employment'!MC38-last_qrtr_tempemp!MD38</f>
        <v>0.80000000000000426</v>
      </c>
      <c r="MD38" s="286">
        <f>'Data-temp_employment'!MD38</f>
        <v>32.4</v>
      </c>
      <c r="ME38" s="279" t="s">
        <v>24</v>
      </c>
      <c r="MF38" s="286">
        <f>'Data-temp_employment'!MF38-last_qrtr_tempemp!MG38</f>
        <v>4.7000000000000028</v>
      </c>
      <c r="MG38" s="286">
        <f>'Data-temp_employment'!MG38-last_qrtr_tempemp!MH38</f>
        <v>12.199999999999989</v>
      </c>
      <c r="MH38" s="286">
        <f>'Data-temp_employment'!MH38-last_qrtr_tempemp!MI38</f>
        <v>13.600000000000009</v>
      </c>
      <c r="MI38" s="286">
        <f>'Data-temp_employment'!MI38-last_qrtr_tempemp!MJ38</f>
        <v>8.9000000000000057</v>
      </c>
      <c r="MJ38" s="286">
        <f>'Data-temp_employment'!MJ38-last_qrtr_tempemp!MK38</f>
        <v>-6</v>
      </c>
      <c r="MK38" s="286">
        <f>'Data-temp_employment'!MK38-last_qrtr_tempemp!ML38</f>
        <v>7.0999999999999943</v>
      </c>
      <c r="ML38" s="286">
        <f>'Data-temp_employment'!ML38-last_qrtr_tempemp!MM38</f>
        <v>6.1999999999999886</v>
      </c>
      <c r="MM38" s="286">
        <f>'Data-temp_employment'!MM38-last_qrtr_tempemp!MN38</f>
        <v>9</v>
      </c>
      <c r="MN38" s="286">
        <f>'Data-temp_employment'!MN38-last_qrtr_tempemp!MO38</f>
        <v>-10.700000000000003</v>
      </c>
      <c r="MO38" s="286">
        <f>'Data-temp_employment'!MO38</f>
        <v>124.4</v>
      </c>
      <c r="MP38" s="279" t="s">
        <v>24</v>
      </c>
      <c r="MQ38" s="286">
        <f>'Data-temp_employment'!MQ38-last_qrtr_tempemp!MR38</f>
        <v>-0.30000000000001137</v>
      </c>
      <c r="MR38" s="286">
        <f>'Data-temp_employment'!MR38-last_qrtr_tempemp!MS38</f>
        <v>-28.199999999999989</v>
      </c>
      <c r="MS38" s="286">
        <f>'Data-temp_employment'!MS38-last_qrtr_tempemp!MT38</f>
        <v>22.100000000000023</v>
      </c>
      <c r="MT38" s="286">
        <f>'Data-temp_employment'!MT38-last_qrtr_tempemp!MU38</f>
        <v>13.600000000000023</v>
      </c>
      <c r="MU38" s="286">
        <f>'Data-temp_employment'!MU38-last_qrtr_tempemp!MV38</f>
        <v>-9</v>
      </c>
      <c r="MV38" s="286">
        <f>'Data-temp_employment'!MV38-last_qrtr_tempemp!MW38</f>
        <v>-15.300000000000011</v>
      </c>
      <c r="MW38" s="286">
        <f>'Data-temp_employment'!MW38-last_qrtr_tempemp!MX38</f>
        <v>29.199999999999989</v>
      </c>
      <c r="MX38" s="286">
        <f>'Data-temp_employment'!MX38-last_qrtr_tempemp!MY38</f>
        <v>24.399999999999977</v>
      </c>
      <c r="MY38" s="286">
        <f>'Data-temp_employment'!MY38-last_qrtr_tempemp!MZ38</f>
        <v>-6.8000000000000114</v>
      </c>
      <c r="MZ38" s="286">
        <f>'Data-temp_employment'!MZ38</f>
        <v>242.9</v>
      </c>
      <c r="NA38" s="279" t="s">
        <v>24</v>
      </c>
      <c r="NB38" s="286">
        <f>'Data-temp_employment'!NB38-last_qrtr_tempemp!NC38</f>
        <v>-46.599999999999994</v>
      </c>
      <c r="NC38" s="286">
        <f>'Data-temp_employment'!NC38-last_qrtr_tempemp!ND38</f>
        <v>-42.599999999999994</v>
      </c>
      <c r="ND38" s="286">
        <f>'Data-temp_employment'!ND38-last_qrtr_tempemp!NE38</f>
        <v>10</v>
      </c>
      <c r="NE38" s="286">
        <f>'Data-temp_employment'!NE38-last_qrtr_tempemp!NF38</f>
        <v>11.199999999999989</v>
      </c>
      <c r="NF38" s="286">
        <f>'Data-temp_employment'!NF38-last_qrtr_tempemp!NG38</f>
        <v>10.099999999999994</v>
      </c>
      <c r="NG38" s="286">
        <f>'Data-temp_employment'!NG38-last_qrtr_tempemp!NH38</f>
        <v>-1.7000000000000171</v>
      </c>
      <c r="NH38" s="286">
        <f>'Data-temp_employment'!NH38-last_qrtr_tempemp!NI38</f>
        <v>31.600000000000023</v>
      </c>
      <c r="NI38" s="286">
        <f>'Data-temp_employment'!NI38-last_qrtr_tempemp!NJ38</f>
        <v>37.200000000000017</v>
      </c>
      <c r="NJ38" s="286">
        <f>'Data-temp_employment'!NJ38-last_qrtr_tempemp!NK38</f>
        <v>22.200000000000017</v>
      </c>
      <c r="NK38" s="286">
        <f>'Data-temp_employment'!NK38</f>
        <v>245.1</v>
      </c>
      <c r="NL38" s="279" t="s">
        <v>24</v>
      </c>
      <c r="NM38" s="286">
        <f>'Data-temp_employment'!NM38-last_qrtr_tempemp!NN38</f>
        <v>39.699999999999989</v>
      </c>
      <c r="NN38" s="286">
        <f>'Data-temp_employment'!NN38-last_qrtr_tempemp!NO38</f>
        <v>113.19999999999999</v>
      </c>
      <c r="NO38" s="286">
        <f>'Data-temp_employment'!NO38-last_qrtr_tempemp!NP38</f>
        <v>-59.199999999999989</v>
      </c>
      <c r="NP38" s="286">
        <f>'Data-temp_employment'!NP38-last_qrtr_tempemp!NQ38</f>
        <v>-9.8000000000000114</v>
      </c>
      <c r="NQ38" s="286">
        <f>'Data-temp_employment'!NQ38-last_qrtr_tempemp!NR38</f>
        <v>-3.8000000000000114</v>
      </c>
      <c r="NR38" s="286">
        <f>'Data-temp_employment'!NR38-last_qrtr_tempemp!NS38</f>
        <v>90.699999999999989</v>
      </c>
      <c r="NS38" s="286">
        <f>'Data-temp_employment'!NS38-last_qrtr_tempemp!NT38</f>
        <v>-72.299999999999983</v>
      </c>
      <c r="NT38" s="286">
        <f>'Data-temp_employment'!NT38-last_qrtr_tempemp!NU38</f>
        <v>-1</v>
      </c>
      <c r="NU38" s="286">
        <f>'Data-temp_employment'!NU38-last_qrtr_tempemp!NV38</f>
        <v>37</v>
      </c>
      <c r="NV38" s="286">
        <f>'Data-temp_employment'!NV38</f>
        <v>361.6</v>
      </c>
      <c r="NW38" s="279" t="s">
        <v>24</v>
      </c>
      <c r="NX38" s="286">
        <f>'Data-temp_employment'!NX38-last_qrtr_tempemp!NY38</f>
        <v>31.100000000000023</v>
      </c>
      <c r="NY38" s="286">
        <f>'Data-temp_employment'!NY38-last_qrtr_tempemp!NZ38</f>
        <v>-10.300000000000011</v>
      </c>
      <c r="NZ38" s="286">
        <f>'Data-temp_employment'!NZ38-last_qrtr_tempemp!OA38</f>
        <v>74.899999999999977</v>
      </c>
      <c r="OA38" s="286">
        <f>'Data-temp_employment'!OA38-last_qrtr_tempemp!OB38</f>
        <v>41.599999999999966</v>
      </c>
      <c r="OB38" s="286">
        <f>'Data-temp_employment'!OB38-last_qrtr_tempemp!OC38</f>
        <v>22.399999999999977</v>
      </c>
      <c r="OC38" s="286">
        <f>'Data-temp_employment'!OC38-last_qrtr_tempemp!OD38</f>
        <v>-34.600000000000023</v>
      </c>
      <c r="OD38" s="286">
        <f>'Data-temp_employment'!OD38-last_qrtr_tempemp!OE38</f>
        <v>70.300000000000011</v>
      </c>
      <c r="OE38" s="286">
        <f>'Data-temp_employment'!OE38-last_qrtr_tempemp!OF38</f>
        <v>28.900000000000034</v>
      </c>
      <c r="OF38" s="286">
        <f>'Data-temp_employment'!OF38-last_qrtr_tempemp!OG38</f>
        <v>12.200000000000045</v>
      </c>
      <c r="OG38" s="286">
        <f>'Data-temp_employment'!OG38</f>
        <v>453.6</v>
      </c>
      <c r="OH38" s="287" t="s">
        <v>24</v>
      </c>
      <c r="OI38" s="286"/>
      <c r="OJ38" s="286"/>
      <c r="OK38" s="286"/>
      <c r="OL38" s="286"/>
      <c r="OM38" s="286"/>
      <c r="ON38" s="286"/>
      <c r="OO38" s="286"/>
      <c r="OP38" s="286"/>
      <c r="OQ38" s="286"/>
      <c r="OR38" s="286"/>
      <c r="OS38" s="279" t="s">
        <v>24</v>
      </c>
      <c r="OT38" s="286" t="e">
        <f>'Data-temp_employment'!#REF!-last_qrtr_tempemp!OU38</f>
        <v>#REF!</v>
      </c>
      <c r="OU38" s="286">
        <f>'Data-temp_employment'!OT37-last_qrtr_tempemp!OV38</f>
        <v>0.60000000000000009</v>
      </c>
      <c r="OV38" s="286">
        <f>'Data-temp_employment'!OU37-last_qrtr_tempemp!OW38</f>
        <v>0.4</v>
      </c>
      <c r="OW38" s="286">
        <f>'Data-temp_employment'!OV37-last_qrtr_tempemp!OX38</f>
        <v>0.89999999999999991</v>
      </c>
      <c r="OX38" s="286">
        <f>'Data-temp_employment'!OW37-last_qrtr_tempemp!OY38</f>
        <v>0.3</v>
      </c>
      <c r="OY38" s="286">
        <f>'Data-temp_employment'!OX37-last_qrtr_tempemp!OZ38</f>
        <v>1.5</v>
      </c>
      <c r="OZ38" s="286">
        <f>'Data-temp_employment'!OY37-last_qrtr_tempemp!PA38</f>
        <v>1.5</v>
      </c>
      <c r="PA38" s="286">
        <f>'Data-temp_employment'!OZ37-last_qrtr_tempemp!PB38</f>
        <v>0.9</v>
      </c>
      <c r="PB38" s="286">
        <f>'Data-temp_employment'!PA37-last_qrtr_tempemp!PC38</f>
        <v>1.6</v>
      </c>
      <c r="PC38" s="286">
        <f>'Data-temp_employment'!PB37</f>
        <v>0.6</v>
      </c>
      <c r="PE38" s="319"/>
      <c r="PF38" s="319"/>
      <c r="PG38" s="319"/>
      <c r="PH38" s="319"/>
      <c r="PI38" s="319"/>
      <c r="PJ38" s="319"/>
      <c r="PK38" s="319"/>
      <c r="PL38" s="319"/>
      <c r="PM38" s="319"/>
      <c r="PN38" s="319"/>
      <c r="PO38" s="319"/>
      <c r="PP38" s="319"/>
      <c r="PQ38" s="319"/>
      <c r="PR38" s="319"/>
      <c r="PS38" s="319"/>
      <c r="PT38" s="319"/>
      <c r="PU38" s="319"/>
      <c r="PV38" s="319"/>
      <c r="PW38" s="319"/>
      <c r="PX38" s="319"/>
      <c r="PY38" s="319"/>
      <c r="PZ38" s="319"/>
      <c r="QA38" s="319"/>
      <c r="QB38" s="319"/>
      <c r="QC38" s="319"/>
      <c r="QD38" s="319"/>
      <c r="QE38" s="319"/>
      <c r="QF38" s="319"/>
      <c r="QG38" s="319"/>
      <c r="QH38" s="319"/>
      <c r="QI38" s="319"/>
      <c r="QJ38" s="319"/>
      <c r="QK38" s="319"/>
      <c r="QL38" s="319"/>
      <c r="QM38" s="319"/>
      <c r="QN38" s="319"/>
      <c r="QO38" s="319"/>
      <c r="QP38" s="319"/>
      <c r="QQ38" s="319"/>
      <c r="QR38" s="319"/>
      <c r="QS38" s="319"/>
      <c r="QT38" s="319"/>
      <c r="QU38" s="319"/>
      <c r="QV38" s="319"/>
      <c r="QW38" s="319"/>
      <c r="QX38" s="319"/>
      <c r="QY38" s="319"/>
      <c r="QZ38" s="319"/>
      <c r="RA38" s="319"/>
      <c r="RB38" s="319"/>
      <c r="RC38" s="319"/>
      <c r="RD38" s="319"/>
      <c r="RE38" s="319"/>
      <c r="RF38" s="319"/>
      <c r="RG38" s="319"/>
      <c r="RH38" s="319"/>
      <c r="RI38" s="319"/>
      <c r="RJ38" s="319"/>
      <c r="RK38" s="319"/>
      <c r="RL38" s="319"/>
      <c r="RM38" s="319"/>
      <c r="RN38" s="319"/>
      <c r="RO38" s="319"/>
      <c r="RP38" s="319"/>
    </row>
    <row r="39" spans="1:485">
      <c r="A39" s="269">
        <v>36</v>
      </c>
      <c r="B39" s="285" t="s">
        <v>42</v>
      </c>
      <c r="C39" s="286">
        <f>'Data-temp_employment'!C39-last_qrtr_tempemp!D39</f>
        <v>-1.5</v>
      </c>
      <c r="D39" s="286">
        <f>'Data-temp_employment'!D39-last_qrtr_tempemp!E39</f>
        <v>-1.5</v>
      </c>
      <c r="E39" s="286">
        <f>'Data-temp_employment'!E39-last_qrtr_tempemp!F39</f>
        <v>1</v>
      </c>
      <c r="F39" s="286">
        <f>'Data-temp_employment'!F39-last_qrtr_tempemp!G39</f>
        <v>0.5</v>
      </c>
      <c r="G39" s="286">
        <f>'Data-temp_employment'!G39-last_qrtr_tempemp!H39</f>
        <v>-1.0999999999999996</v>
      </c>
      <c r="H39" s="286">
        <f>'Data-temp_employment'!H39-last_qrtr_tempemp!I39</f>
        <v>-0.80000000000000071</v>
      </c>
      <c r="I39" s="286">
        <f>'Data-temp_employment'!I39-last_qrtr_tempemp!J39</f>
        <v>1.5</v>
      </c>
      <c r="J39" s="286">
        <f>'Data-temp_employment'!J39-last_qrtr_tempemp!K39</f>
        <v>0.19999999999999929</v>
      </c>
      <c r="K39" s="286">
        <f>'Data-temp_employment'!K39-last_qrtr_tempemp!L39</f>
        <v>-1.4000000000000004</v>
      </c>
      <c r="L39" s="286">
        <f>'Data-temp_employment'!L39</f>
        <v>15.7</v>
      </c>
      <c r="M39" s="285" t="s">
        <v>42</v>
      </c>
      <c r="N39" s="286">
        <f>'Data-temp_employment'!N39-last_qrtr_tempemp!O39</f>
        <v>-67.800000000000068</v>
      </c>
      <c r="O39" s="286">
        <f>'Data-temp_employment'!O39-last_qrtr_tempemp!P39</f>
        <v>-62.699999999999932</v>
      </c>
      <c r="P39" s="286">
        <f>'Data-temp_employment'!P39-last_qrtr_tempemp!Q39</f>
        <v>64.100000000000023</v>
      </c>
      <c r="Q39" s="286">
        <f>'Data-temp_employment'!Q39-last_qrtr_tempemp!R39</f>
        <v>36.600000000000023</v>
      </c>
      <c r="R39" s="286">
        <f>'Data-temp_employment'!R39-last_qrtr_tempemp!S39</f>
        <v>-53.600000000000023</v>
      </c>
      <c r="S39" s="286">
        <f>'Data-temp_employment'!S39-last_qrtr_tempemp!T39</f>
        <v>-27.5</v>
      </c>
      <c r="T39" s="286">
        <f>'Data-temp_employment'!T39-last_qrtr_tempemp!U39</f>
        <v>95.399999999999977</v>
      </c>
      <c r="U39" s="286">
        <f>'Data-temp_employment'!U39-last_qrtr_tempemp!V39</f>
        <v>28</v>
      </c>
      <c r="V39" s="286">
        <f>'Data-temp_employment'!V39-last_qrtr_tempemp!W39</f>
        <v>-65.600000000000023</v>
      </c>
      <c r="W39" s="286">
        <f>'Data-temp_employment'!W39</f>
        <v>708.5</v>
      </c>
      <c r="X39" s="285" t="s">
        <v>42</v>
      </c>
      <c r="Y39" s="286">
        <f>'Data-temp_employment'!Y39-last_qrtr_tempemp!Z39</f>
        <v>-16.699999999999989</v>
      </c>
      <c r="Z39" s="286">
        <f>'Data-temp_employment'!Z39-last_qrtr_tempemp!AA39</f>
        <v>-9.1000000000000085</v>
      </c>
      <c r="AA39" s="286">
        <f>'Data-temp_employment'!AA39-last_qrtr_tempemp!AB39</f>
        <v>-24.399999999999991</v>
      </c>
      <c r="AB39" s="286">
        <f>'Data-temp_employment'!AB39-last_qrtr_tempemp!AC39</f>
        <v>-4.1000000000000085</v>
      </c>
      <c r="AC39" s="286">
        <f>'Data-temp_employment'!AC39-last_qrtr_tempemp!AD39</f>
        <v>0.20000000000000284</v>
      </c>
      <c r="AD39" s="286">
        <f>'Data-temp_employment'!AD39-last_qrtr_tempemp!AE39</f>
        <v>5.8999999999999915</v>
      </c>
      <c r="AE39" s="286">
        <f>'Data-temp_employment'!AE39-last_qrtr_tempemp!AF39</f>
        <v>-5.7000000000000028</v>
      </c>
      <c r="AF39" s="286">
        <f>'Data-temp_employment'!AF39-last_qrtr_tempemp!AG39</f>
        <v>-5.3999999999999915</v>
      </c>
      <c r="AG39" s="286">
        <f>'Data-temp_employment'!AG39-last_qrtr_tempemp!AH39</f>
        <v>-6</v>
      </c>
      <c r="AH39" s="286">
        <f>'Data-temp_employment'!AH39</f>
        <v>79</v>
      </c>
      <c r="AI39" s="279" t="s">
        <v>42</v>
      </c>
      <c r="AJ39" s="286">
        <f>'Data-temp_employment'!AJ39-last_qrtr_tempemp!AK39</f>
        <v>-51.7</v>
      </c>
      <c r="AK39" s="286">
        <f>'Data-temp_employment'!AK39-last_qrtr_tempemp!AL39</f>
        <v>-72</v>
      </c>
      <c r="AL39" s="286">
        <f>'Data-temp_employment'!AL39-last_qrtr_tempemp!AM39</f>
        <v>68.400000000000006</v>
      </c>
      <c r="AM39" s="286">
        <f>'Data-temp_employment'!AM39-last_qrtr_tempemp!AN39</f>
        <v>14.999999999999996</v>
      </c>
      <c r="AN39" s="286">
        <f>'Data-temp_employment'!AN39-last_qrtr_tempemp!AO39</f>
        <v>-52.699999999999996</v>
      </c>
      <c r="AO39" s="286">
        <f>'Data-temp_employment'!AO39-last_qrtr_tempemp!AP39</f>
        <v>-44.599999999999994</v>
      </c>
      <c r="AP39" s="286">
        <f>'Data-temp_employment'!AP39-last_qrtr_tempemp!AQ39</f>
        <v>80.8</v>
      </c>
      <c r="AQ39" s="286">
        <f>'Data-temp_employment'!AQ39-last_qrtr_tempemp!AR39</f>
        <v>11.200000000000003</v>
      </c>
      <c r="AR39" s="286">
        <f>'Data-temp_employment'!AR39-last_qrtr_tempemp!AS39</f>
        <v>-50.6</v>
      </c>
      <c r="AS39" s="286">
        <f>'Data-temp_employment'!AS39</f>
        <v>62.9</v>
      </c>
      <c r="AT39" s="279" t="s">
        <v>42</v>
      </c>
      <c r="AU39" s="286">
        <f>'Data-temp_employment'!AU39-last_qrtr_tempemp!AV39</f>
        <v>-6.7000000000000028</v>
      </c>
      <c r="AV39" s="286">
        <f>'Data-temp_employment'!AV39-last_qrtr_tempemp!AW39</f>
        <v>-6.1000000000000085</v>
      </c>
      <c r="AW39" s="286">
        <f>'Data-temp_employment'!AW39-last_qrtr_tempemp!AX39</f>
        <v>2.2999999999999972</v>
      </c>
      <c r="AX39" s="286">
        <f>'Data-temp_employment'!AX39-last_qrtr_tempemp!AY39</f>
        <v>4.5</v>
      </c>
      <c r="AY39" s="286">
        <f>'Data-temp_employment'!AY39-last_qrtr_tempemp!AZ39</f>
        <v>-13.199999999999989</v>
      </c>
      <c r="AZ39" s="286">
        <f>'Data-temp_employment'!AZ39-last_qrtr_tempemp!BA39</f>
        <v>-1.2999999999999972</v>
      </c>
      <c r="BA39" s="286">
        <f>'Data-temp_employment'!BA39-last_qrtr_tempemp!BB39</f>
        <v>11.900000000000006</v>
      </c>
      <c r="BB39" s="286">
        <f>'Data-temp_employment'!BB39-last_qrtr_tempemp!BC39</f>
        <v>8.1999999999999886</v>
      </c>
      <c r="BC39" s="286">
        <f>'Data-temp_employment'!BC39-last_qrtr_tempemp!BD39</f>
        <v>-16.5</v>
      </c>
      <c r="BD39" s="286">
        <f>'Data-temp_employment'!BD39</f>
        <v>99.6</v>
      </c>
      <c r="BE39" s="279" t="s">
        <v>42</v>
      </c>
      <c r="BF39" s="286">
        <f>'Data-temp_employment'!BF39-last_qrtr_tempemp!BG39</f>
        <v>-4.7000000000000028</v>
      </c>
      <c r="BG39" s="286">
        <f>'Data-temp_employment'!BG39-last_qrtr_tempemp!BH39</f>
        <v>-5.4000000000000057</v>
      </c>
      <c r="BH39" s="286">
        <f>'Data-temp_employment'!BH39-last_qrtr_tempemp!BI39</f>
        <v>-18.899999999999991</v>
      </c>
      <c r="BI39" s="286">
        <f>'Data-temp_employment'!BI39-last_qrtr_tempemp!BJ39</f>
        <v>1.2999999999999972</v>
      </c>
      <c r="BJ39" s="286">
        <f>'Data-temp_employment'!BJ39-last_qrtr_tempemp!BK39</f>
        <v>7.7000000000000028</v>
      </c>
      <c r="BK39" s="286">
        <f>'Data-temp_employment'!BK39-last_qrtr_tempemp!BL39</f>
        <v>12.799999999999997</v>
      </c>
      <c r="BL39" s="286">
        <f>'Data-temp_employment'!BL39-last_qrtr_tempemp!BM39</f>
        <v>-1.7999999999999972</v>
      </c>
      <c r="BM39" s="286">
        <f>'Data-temp_employment'!BM39-last_qrtr_tempemp!BN39</f>
        <v>7.7000000000000028</v>
      </c>
      <c r="BN39" s="286">
        <f>'Data-temp_employment'!BN39-last_qrtr_tempemp!BO39</f>
        <v>-7.7000000000000028</v>
      </c>
      <c r="BO39" s="286">
        <f>'Data-temp_employment'!BO39</f>
        <v>108.9</v>
      </c>
      <c r="BP39" s="282" t="s">
        <v>42</v>
      </c>
      <c r="BQ39" s="286">
        <f>'Data-temp_employment'!BQ39-last_qrtr_tempemp!BR39</f>
        <v>-1.9000000000000057</v>
      </c>
      <c r="BR39" s="286">
        <f>'Data-temp_employment'!BR39-last_qrtr_tempemp!BS39</f>
        <v>0.90000000000000568</v>
      </c>
      <c r="BS39" s="286">
        <f>'Data-temp_employment'!BS39-last_qrtr_tempemp!BT39</f>
        <v>6.5</v>
      </c>
      <c r="BT39" s="286">
        <f>'Data-temp_employment'!BT39-last_qrtr_tempemp!BU39</f>
        <v>-7.5</v>
      </c>
      <c r="BU39" s="286">
        <f>'Data-temp_employment'!BU39-last_qrtr_tempemp!BV39</f>
        <v>-5.5</v>
      </c>
      <c r="BV39" s="286">
        <f>'Data-temp_employment'!BV39-last_qrtr_tempemp!BW39</f>
        <v>-2.5</v>
      </c>
      <c r="BW39" s="286">
        <f>'Data-temp_employment'!BW39-last_qrtr_tempemp!BX39</f>
        <v>9.7000000000000028</v>
      </c>
      <c r="BX39" s="286">
        <f>'Data-temp_employment'!BX39-last_qrtr_tempemp!BY39</f>
        <v>-1.5</v>
      </c>
      <c r="BY39" s="286">
        <f>'Data-temp_employment'!BY39-last_qrtr_tempemp!BZ39</f>
        <v>-1.6999999999999886</v>
      </c>
      <c r="BZ39" s="286">
        <f>'Data-temp_employment'!BZ39</f>
        <v>86.3</v>
      </c>
      <c r="CA39" s="282" t="s">
        <v>42</v>
      </c>
      <c r="CB39" s="286">
        <f>'Data-temp_employment'!CB39-last_qrtr_tempemp!CC39</f>
        <v>0</v>
      </c>
      <c r="CC39" s="286">
        <f>'Data-temp_employment'!CC39-last_qrtr_tempemp!CD39</f>
        <v>-1.6000000000000085</v>
      </c>
      <c r="CD39" s="286">
        <f>'Data-temp_employment'!CD39-last_qrtr_tempemp!CE39</f>
        <v>4.2000000000000028</v>
      </c>
      <c r="CE39" s="286">
        <f>'Data-temp_employment'!CE39-last_qrtr_tempemp!CF39</f>
        <v>-8.4999999999999858</v>
      </c>
      <c r="CF39" s="286">
        <f>'Data-temp_employment'!CF39-last_qrtr_tempemp!CG39</f>
        <v>-9.6000000000000085</v>
      </c>
      <c r="CG39" s="286">
        <f>'Data-temp_employment'!CG39-last_qrtr_tempemp!CH39</f>
        <v>-7.0999999999999943</v>
      </c>
      <c r="CH39" s="286">
        <f>'Data-temp_employment'!CH39-last_qrtr_tempemp!CI39</f>
        <v>-1.1000000000000085</v>
      </c>
      <c r="CI39" s="286">
        <f>'Data-temp_employment'!CI39-last_qrtr_tempemp!CJ39</f>
        <v>-1.7999999999999972</v>
      </c>
      <c r="CJ39" s="286">
        <f>'Data-temp_employment'!CJ39-last_qrtr_tempemp!CK39</f>
        <v>-1.3000000000000114</v>
      </c>
      <c r="CK39" s="286">
        <f>'Data-temp_employment'!CK39</f>
        <v>81.099999999999994</v>
      </c>
      <c r="CL39" s="285" t="s">
        <v>42</v>
      </c>
      <c r="CM39" s="286">
        <f>'Data-temp_employment'!CM39-last_qrtr_tempemp!CN39</f>
        <v>-33.299999999999997</v>
      </c>
      <c r="CN39" s="286">
        <f>'Data-temp_employment'!CN39-last_qrtr_tempemp!CO39</f>
        <v>-6.5</v>
      </c>
      <c r="CO39" s="286">
        <f>'Data-temp_employment'!CO39-last_qrtr_tempemp!CP39</f>
        <v>15.100000000000023</v>
      </c>
      <c r="CP39" s="286">
        <f>'Data-temp_employment'!CP39-last_qrtr_tempemp!CQ39</f>
        <v>34.499999999999986</v>
      </c>
      <c r="CQ39" s="286">
        <f>'Data-temp_employment'!CQ39-last_qrtr_tempemp!CR39</f>
        <v>-20</v>
      </c>
      <c r="CR39" s="286">
        <f>'Data-temp_employment'!CR39-last_qrtr_tempemp!CS39</f>
        <v>5.7999999999999829</v>
      </c>
      <c r="CS39" s="286">
        <f>'Data-temp_employment'!CS39-last_qrtr_tempemp!CT39</f>
        <v>30.5</v>
      </c>
      <c r="CT39" s="286">
        <f>'Data-temp_employment'!CT39-last_qrtr_tempemp!CU39</f>
        <v>25.799999999999983</v>
      </c>
      <c r="CU39" s="286">
        <f>'Data-temp_employment'!CU39-last_qrtr_tempemp!CV39</f>
        <v>-23.199999999999989</v>
      </c>
      <c r="CV39" s="286">
        <f>'Data-temp_employment'!CV39</f>
        <v>187.5</v>
      </c>
      <c r="CW39" s="285" t="s">
        <v>42</v>
      </c>
      <c r="CX39" s="286">
        <f>'Data-temp_employment'!CX39-last_qrtr_tempemp!CY39</f>
        <v>-23.300000000000011</v>
      </c>
      <c r="CY39" s="286">
        <f>'Data-temp_employment'!CY39-last_qrtr_tempemp!CZ39</f>
        <v>-30.399999999999977</v>
      </c>
      <c r="CZ39" s="286">
        <f>'Data-temp_employment'!CZ39-last_qrtr_tempemp!DA39</f>
        <v>25.300000000000011</v>
      </c>
      <c r="DA39" s="286">
        <f>'Data-temp_employment'!DA39-last_qrtr_tempemp!DB39</f>
        <v>-17.5</v>
      </c>
      <c r="DB39" s="286">
        <f>'Data-temp_employment'!DB39-last_qrtr_tempemp!DC39</f>
        <v>-31.5</v>
      </c>
      <c r="DC39" s="286">
        <f>'Data-temp_employment'!DC39-last_qrtr_tempemp!DD39</f>
        <v>-11.600000000000023</v>
      </c>
      <c r="DD39" s="286">
        <f>'Data-temp_employment'!DD39-last_qrtr_tempemp!DE39</f>
        <v>41.300000000000011</v>
      </c>
      <c r="DE39" s="286">
        <f>'Data-temp_employment'!DE39-last_qrtr_tempemp!DF39</f>
        <v>-5.6000000000000227</v>
      </c>
      <c r="DF39" s="286">
        <f>'Data-temp_employment'!DF39-last_qrtr_tempemp!DG39</f>
        <v>-38.600000000000023</v>
      </c>
      <c r="DG39" s="286">
        <f>'Data-temp_employment'!DG39</f>
        <v>293.10000000000002</v>
      </c>
      <c r="DH39" s="285" t="s">
        <v>42</v>
      </c>
      <c r="DI39" s="286">
        <f>'Data-temp_employment'!DI39-last_qrtr_tempemp!DJ39</f>
        <v>-9.9000000000000057</v>
      </c>
      <c r="DJ39" s="286">
        <f>'Data-temp_employment'!DJ39-last_qrtr_tempemp!DK39</f>
        <v>-26.099999999999994</v>
      </c>
      <c r="DK39" s="286">
        <f>'Data-temp_employment'!DK39-last_qrtr_tempemp!DL39</f>
        <v>25.099999999999994</v>
      </c>
      <c r="DL39" s="286">
        <f>'Data-temp_employment'!DL39-last_qrtr_tempemp!DM39</f>
        <v>18.099999999999994</v>
      </c>
      <c r="DM39" s="286">
        <f>'Data-temp_employment'!DM39-last_qrtr_tempemp!DN39</f>
        <v>-0.40000000000000568</v>
      </c>
      <c r="DN39" s="286">
        <f>'Data-temp_employment'!DN39-last_qrtr_tempemp!DO39</f>
        <v>-22.800000000000011</v>
      </c>
      <c r="DO39" s="286">
        <f>'Data-temp_employment'!DO39-last_qrtr_tempemp!DP39</f>
        <v>21.700000000000017</v>
      </c>
      <c r="DP39" s="286">
        <f>'Data-temp_employment'!DP39-last_qrtr_tempemp!DQ39</f>
        <v>6</v>
      </c>
      <c r="DQ39" s="286">
        <f>'Data-temp_employment'!DQ39-last_qrtr_tempemp!DR39</f>
        <v>-2.4000000000000057</v>
      </c>
      <c r="DR39" s="286">
        <f>'Data-temp_employment'!DR39</f>
        <v>225</v>
      </c>
      <c r="DS39" s="285" t="s">
        <v>42</v>
      </c>
      <c r="DT39" s="286">
        <f>'Data-temp_employment'!DT39-last_qrtr_tempemp!DU39</f>
        <v>0</v>
      </c>
      <c r="DU39" s="286">
        <f>'Data-temp_employment'!DU39-last_qrtr_tempemp!DV39</f>
        <v>0.30000000000000027</v>
      </c>
      <c r="DV39" s="286">
        <f>'Data-temp_employment'!DV39-last_qrtr_tempemp!DW39</f>
        <v>-3.8</v>
      </c>
      <c r="DW39" s="286">
        <f>'Data-temp_employment'!DW39-last_qrtr_tempemp!DX39</f>
        <v>0</v>
      </c>
      <c r="DX39" s="286">
        <f>'Data-temp_employment'!DX39-last_qrtr_tempemp!DY39</f>
        <v>-3.7</v>
      </c>
      <c r="DY39" s="286">
        <f>'Data-temp_employment'!DY39-last_qrtr_tempemp!DZ39</f>
        <v>3.5</v>
      </c>
      <c r="DZ39" s="286">
        <f>'Data-temp_employment'!DZ39-last_qrtr_tempemp!EA39</f>
        <v>3.6</v>
      </c>
      <c r="EA39" s="286">
        <f>'Data-temp_employment'!EA39-last_qrtr_tempemp!EB39</f>
        <v>3.8</v>
      </c>
      <c r="EB39" s="286">
        <f>'Data-temp_employment'!EB39-last_qrtr_tempemp!EC39</f>
        <v>-3.5</v>
      </c>
      <c r="EC39" s="286">
        <f>'Data-temp_employment'!EC39</f>
        <v>2.9</v>
      </c>
      <c r="ED39" s="279" t="s">
        <v>42</v>
      </c>
      <c r="EE39" s="286">
        <f>'Data-temp_employment'!EE39-last_qrtr_tempemp!EF39</f>
        <v>0.20000000000000018</v>
      </c>
      <c r="EF39" s="286">
        <f>'Data-temp_employment'!EF39-last_qrtr_tempemp!EG39</f>
        <v>0.69999999999999929</v>
      </c>
      <c r="EG39" s="286">
        <f>'Data-temp_employment'!EG39-last_qrtr_tempemp!EH39</f>
        <v>1.7000000000000002</v>
      </c>
      <c r="EH39" s="286">
        <f>'Data-temp_employment'!EH39-last_qrtr_tempemp!EI39</f>
        <v>-0.10000000000000053</v>
      </c>
      <c r="EI39" s="286">
        <f>'Data-temp_employment'!EI39-last_qrtr_tempemp!EJ39</f>
        <v>-9.9999999999999645E-2</v>
      </c>
      <c r="EJ39" s="286">
        <f>'Data-temp_employment'!EJ39-last_qrtr_tempemp!EK39</f>
        <v>-0.89999999999999947</v>
      </c>
      <c r="EK39" s="286">
        <f>'Data-temp_employment'!EK39-last_qrtr_tempemp!EL39</f>
        <v>1.5</v>
      </c>
      <c r="EL39" s="286">
        <f>'Data-temp_employment'!EL39-last_qrtr_tempemp!EM39</f>
        <v>1.3000000000000007</v>
      </c>
      <c r="EM39" s="286">
        <f>'Data-temp_employment'!EM39-last_qrtr_tempemp!EN39</f>
        <v>1.2999999999999998</v>
      </c>
      <c r="EN39" s="286">
        <f>'Data-temp_employment'!EN39</f>
        <v>5.7</v>
      </c>
      <c r="EO39" s="279" t="s">
        <v>42</v>
      </c>
      <c r="EP39" s="286">
        <f>'Data-temp_employment'!EP39-last_qrtr_tempemp!EQ39</f>
        <v>3.0999999999999943</v>
      </c>
      <c r="EQ39" s="286">
        <f>'Data-temp_employment'!EQ39-last_qrtr_tempemp!ER39</f>
        <v>6.6999999999999886</v>
      </c>
      <c r="ER39" s="286">
        <f>'Data-temp_employment'!ER39-last_qrtr_tempemp!ES39</f>
        <v>-9.2999999999999829</v>
      </c>
      <c r="ES39" s="286">
        <f>'Data-temp_employment'!ES39-last_qrtr_tempemp!ET39</f>
        <v>6.6000000000000227</v>
      </c>
      <c r="ET39" s="286">
        <f>'Data-temp_employment'!ET39-last_qrtr_tempemp!EU39</f>
        <v>1.3000000000000114</v>
      </c>
      <c r="EU39" s="286">
        <f>'Data-temp_employment'!EU39-last_qrtr_tempemp!EV39</f>
        <v>5.2999999999999829</v>
      </c>
      <c r="EV39" s="286">
        <f>'Data-temp_employment'!EV39-last_qrtr_tempemp!EW39</f>
        <v>-7.3000000000000114</v>
      </c>
      <c r="EW39" s="286">
        <f>'Data-temp_employment'!EW39-last_qrtr_tempemp!EX39</f>
        <v>1.0999999999999943</v>
      </c>
      <c r="EX39" s="286">
        <f>'Data-temp_employment'!EX39-last_qrtr_tempemp!EY39</f>
        <v>-5.0999999999999943</v>
      </c>
      <c r="EY39" s="286">
        <f>'Data-temp_employment'!EY39</f>
        <v>141.4</v>
      </c>
      <c r="EZ39" s="279" t="s">
        <v>42</v>
      </c>
      <c r="FA39" s="286">
        <f>'Data-temp_employment'!FA39-last_qrtr_tempemp!FB39</f>
        <v>-0.79999999999999716</v>
      </c>
      <c r="FB39" s="286">
        <f>'Data-temp_employment'!FB39-last_qrtr_tempemp!FC39</f>
        <v>-3.6999999999999886</v>
      </c>
      <c r="FC39" s="286">
        <f>'Data-temp_employment'!FC39-last_qrtr_tempemp!FD39</f>
        <v>-0.5</v>
      </c>
      <c r="FD39" s="286">
        <f>'Data-temp_employment'!FD39-last_qrtr_tempemp!FE39</f>
        <v>-4.7999999999999972</v>
      </c>
      <c r="FE39" s="286">
        <f>'Data-temp_employment'!FE39-last_qrtr_tempemp!FF39</f>
        <v>-3.1000000000000085</v>
      </c>
      <c r="FF39" s="286">
        <f>'Data-temp_employment'!FF39-last_qrtr_tempemp!FG39</f>
        <v>-1.6000000000000085</v>
      </c>
      <c r="FG39" s="286">
        <f>'Data-temp_employment'!FG39-last_qrtr_tempemp!FH39</f>
        <v>13.299999999999997</v>
      </c>
      <c r="FH39" s="286">
        <f>'Data-temp_employment'!FH39-last_qrtr_tempemp!FI39</f>
        <v>7.5</v>
      </c>
      <c r="FI39" s="286">
        <f>'Data-temp_employment'!FI39-last_qrtr_tempemp!FJ39</f>
        <v>0.40000000000000568</v>
      </c>
      <c r="FJ39" s="286">
        <f>'Data-temp_employment'!FJ39</f>
        <v>82.9</v>
      </c>
      <c r="FK39" s="279" t="s">
        <v>42</v>
      </c>
      <c r="FL39" s="286">
        <f>'Data-temp_employment'!FL39-last_qrtr_tempemp!FM39</f>
        <v>-2.6999999999999957</v>
      </c>
      <c r="FM39" s="286">
        <f>'Data-temp_employment'!FM39-last_qrtr_tempemp!FN39</f>
        <v>-7.5</v>
      </c>
      <c r="FN39" s="286">
        <f>'Data-temp_employment'!FN39-last_qrtr_tempemp!FO39</f>
        <v>0.10000000000000142</v>
      </c>
      <c r="FO39" s="286">
        <f>'Data-temp_employment'!FO39-last_qrtr_tempemp!FP39</f>
        <v>-3.2000000000000028</v>
      </c>
      <c r="FP39" s="286">
        <f>'Data-temp_employment'!FP39-last_qrtr_tempemp!FQ39</f>
        <v>-5.3000000000000043</v>
      </c>
      <c r="FQ39" s="286">
        <f>'Data-temp_employment'!FQ39-last_qrtr_tempemp!FR39</f>
        <v>1.8000000000000043</v>
      </c>
      <c r="FR39" s="286">
        <f>'Data-temp_employment'!FR39-last_qrtr_tempemp!FS39</f>
        <v>14.5</v>
      </c>
      <c r="FS39" s="286">
        <f>'Data-temp_employment'!FS39-last_qrtr_tempemp!FT39</f>
        <v>5.3000000000000043</v>
      </c>
      <c r="FT39" s="286">
        <f>'Data-temp_employment'!FT39-last_qrtr_tempemp!FU39</f>
        <v>-5.8000000000000043</v>
      </c>
      <c r="FU39" s="286">
        <f>'Data-temp_employment'!FU39</f>
        <v>50.4</v>
      </c>
      <c r="FV39" s="279" t="s">
        <v>42</v>
      </c>
      <c r="FW39" s="286">
        <f>'Data-temp_employment'!FW39-last_qrtr_tempemp!FX39</f>
        <v>-36.299999999999983</v>
      </c>
      <c r="FX39" s="286">
        <f>'Data-temp_employment'!FX39-last_qrtr_tempemp!FY39</f>
        <v>-35.800000000000011</v>
      </c>
      <c r="FY39" s="286">
        <f>'Data-temp_employment'!FY39-last_qrtr_tempemp!FZ39</f>
        <v>43.199999999999989</v>
      </c>
      <c r="FZ39" s="286">
        <f>'Data-temp_employment'!FZ39-last_qrtr_tempemp!GA39</f>
        <v>22.799999999999983</v>
      </c>
      <c r="GA39" s="286">
        <f>'Data-temp_employment'!GA39-last_qrtr_tempemp!GB39</f>
        <v>-19.099999999999994</v>
      </c>
      <c r="GB39" s="286">
        <f>'Data-temp_employment'!GB39-last_qrtr_tempemp!GC39</f>
        <v>-13.099999999999966</v>
      </c>
      <c r="GC39" s="286">
        <f>'Data-temp_employment'!GC39-last_qrtr_tempemp!GD39</f>
        <v>36.5</v>
      </c>
      <c r="GD39" s="286">
        <f>'Data-temp_employment'!GD39-last_qrtr_tempemp!GE39</f>
        <v>1.5999999999999943</v>
      </c>
      <c r="GE39" s="286">
        <f>'Data-temp_employment'!GE39-last_qrtr_tempemp!GF39</f>
        <v>-38.200000000000017</v>
      </c>
      <c r="GF39" s="286">
        <f>'Data-temp_employment'!GF39</f>
        <v>250.9</v>
      </c>
      <c r="GG39" s="279" t="s">
        <v>42</v>
      </c>
      <c r="GH39" s="286">
        <f>'Data-temp_employment'!GH39-last_qrtr_tempemp!GI39</f>
        <v>-8.8000000000000007</v>
      </c>
      <c r="GI39" s="286">
        <f>'Data-temp_employment'!GI39-last_qrtr_tempemp!GJ39</f>
        <v>-5.7000000000000011</v>
      </c>
      <c r="GJ39" s="286">
        <f>'Data-temp_employment'!GJ39-last_qrtr_tempemp!GK39</f>
        <v>9.0999999999999979</v>
      </c>
      <c r="GK39" s="286">
        <f>'Data-temp_employment'!GK39-last_qrtr_tempemp!GL39</f>
        <v>2.6999999999999993</v>
      </c>
      <c r="GL39" s="286">
        <f>'Data-temp_employment'!GL39-last_qrtr_tempemp!GM39</f>
        <v>-6.6</v>
      </c>
      <c r="GM39" s="286">
        <f>'Data-temp_employment'!GM39-last_qrtr_tempemp!GN39</f>
        <v>-2.3999999999999986</v>
      </c>
      <c r="GN39" s="286">
        <f>'Data-temp_employment'!GN39-last_qrtr_tempemp!GO39</f>
        <v>9.3000000000000007</v>
      </c>
      <c r="GO39" s="286">
        <f>'Data-temp_employment'!GO39-last_qrtr_tempemp!GP39</f>
        <v>3.1999999999999993</v>
      </c>
      <c r="GP39" s="286">
        <f>'Data-temp_employment'!GP39-last_qrtr_tempemp!GQ39</f>
        <v>-7.2</v>
      </c>
      <c r="GQ39" s="286">
        <f>'Data-temp_employment'!GQ39</f>
        <v>15.1</v>
      </c>
      <c r="GR39" s="279" t="s">
        <v>42</v>
      </c>
      <c r="GS39" s="286">
        <f>'Data-temp_employment'!GS39-last_qrtr_tempemp!GT39</f>
        <v>-7.5</v>
      </c>
      <c r="GT39" s="286">
        <f>'Data-temp_employment'!GT39-last_qrtr_tempemp!GU39</f>
        <v>-4.6000000000000014</v>
      </c>
      <c r="GU39" s="286">
        <f>'Data-temp_employment'!GU39-last_qrtr_tempemp!GV39</f>
        <v>1.8999999999999986</v>
      </c>
      <c r="GV39" s="286">
        <f>'Data-temp_employment'!GV39-last_qrtr_tempemp!GW39</f>
        <v>2.4000000000000057</v>
      </c>
      <c r="GW39" s="286">
        <f>'Data-temp_employment'!GW39-last_qrtr_tempemp!GX39</f>
        <v>-8</v>
      </c>
      <c r="GX39" s="286">
        <f>'Data-temp_employment'!GX39-last_qrtr_tempemp!GY39</f>
        <v>-1.2999999999999972</v>
      </c>
      <c r="GY39" s="286">
        <f>'Data-temp_employment'!GY39-last_qrtr_tempemp!GZ39</f>
        <v>10.199999999999996</v>
      </c>
      <c r="GZ39" s="286">
        <f>'Data-temp_employment'!GZ39-last_qrtr_tempemp!HA39</f>
        <v>4.8999999999999986</v>
      </c>
      <c r="HA39" s="286">
        <f>'Data-temp_employment'!HA39-last_qrtr_tempemp!HB39</f>
        <v>-5.2000000000000028</v>
      </c>
      <c r="HB39" s="286">
        <f>'Data-temp_employment'!HB39</f>
        <v>33.6</v>
      </c>
      <c r="HC39" s="279" t="s">
        <v>42</v>
      </c>
      <c r="HD39" s="286">
        <f>'Data-temp_employment'!HD39-last_qrtr_tempemp!HE39</f>
        <v>-10.799999999999997</v>
      </c>
      <c r="HE39" s="286">
        <f>'Data-temp_employment'!HE39-last_qrtr_tempemp!HF39</f>
        <v>-9.8999999999999986</v>
      </c>
      <c r="HF39" s="286">
        <f>'Data-temp_employment'!HF39-last_qrtr_tempemp!HG39</f>
        <v>3.8000000000000043</v>
      </c>
      <c r="HG39" s="286">
        <f>'Data-temp_employment'!HG39-last_qrtr_tempemp!HH39</f>
        <v>0.29999999999999716</v>
      </c>
      <c r="HH39" s="286">
        <f>'Data-temp_employment'!HH39-last_qrtr_tempemp!HI39</f>
        <v>-8.7999999999999972</v>
      </c>
      <c r="HI39" s="286">
        <f>'Data-temp_employment'!HI39-last_qrtr_tempemp!HJ39</f>
        <v>-4.8999999999999986</v>
      </c>
      <c r="HJ39" s="286">
        <f>'Data-temp_employment'!HJ39-last_qrtr_tempemp!HK39</f>
        <v>5.4000000000000057</v>
      </c>
      <c r="HK39" s="286">
        <f>'Data-temp_employment'!HK39-last_qrtr_tempemp!HL39</f>
        <v>3.3999999999999986</v>
      </c>
      <c r="HL39" s="286">
        <f>'Data-temp_employment'!HL39-last_qrtr_tempemp!HM39</f>
        <v>-1.6000000000000014</v>
      </c>
      <c r="HM39" s="286">
        <f>'Data-temp_employment'!HM39</f>
        <v>41</v>
      </c>
      <c r="HN39" s="279" t="s">
        <v>42</v>
      </c>
      <c r="HO39" s="286">
        <f>'Data-temp_employment'!HO39-last_qrtr_tempemp!HP39</f>
        <v>-4</v>
      </c>
      <c r="HP39" s="286">
        <f>'Data-temp_employment'!HP39-last_qrtr_tempemp!HQ39</f>
        <v>-4</v>
      </c>
      <c r="HQ39" s="286">
        <f>'Data-temp_employment'!HQ39-last_qrtr_tempemp!HR39</f>
        <v>12.5</v>
      </c>
      <c r="HR39" s="286">
        <f>'Data-temp_employment'!HR39-last_qrtr_tempemp!HS39</f>
        <v>8.8000000000000114</v>
      </c>
      <c r="HS39" s="286">
        <f>'Data-temp_employment'!HS39-last_qrtr_tempemp!HT39</f>
        <v>-2.8999999999999915</v>
      </c>
      <c r="HT39" s="286">
        <f>'Data-temp_employment'!HT39-last_qrtr_tempemp!HU39</f>
        <v>-9.2999999999999972</v>
      </c>
      <c r="HU39" s="286">
        <f>'Data-temp_employment'!HU39-last_qrtr_tempemp!HV39</f>
        <v>13.099999999999994</v>
      </c>
      <c r="HV39" s="286">
        <f>'Data-temp_employment'!HV39-last_qrtr_tempemp!HW39</f>
        <v>1</v>
      </c>
      <c r="HW39" s="286">
        <f>'Data-temp_employment'!HW39-last_qrtr_tempemp!HX39</f>
        <v>-3.5</v>
      </c>
      <c r="HX39" s="286">
        <f>'Data-temp_employment'!HX39</f>
        <v>85</v>
      </c>
      <c r="HY39" s="279" t="s">
        <v>42</v>
      </c>
      <c r="HZ39" s="286">
        <f>'Data-temp_employment'!HZ39-last_qrtr_tempemp!IA39</f>
        <v>0</v>
      </c>
      <c r="IA39" s="286">
        <f>'Data-temp_employment'!IA39-last_qrtr_tempemp!IB39</f>
        <v>0</v>
      </c>
      <c r="IB39" s="286">
        <f>'Data-temp_employment'!IB39-last_qrtr_tempemp!IC39</f>
        <v>0</v>
      </c>
      <c r="IC39" s="286">
        <f>'Data-temp_employment'!IC39-last_qrtr_tempemp!ID39</f>
        <v>0</v>
      </c>
      <c r="ID39" s="286">
        <f>'Data-temp_employment'!ID39-last_qrtr_tempemp!IE39</f>
        <v>0</v>
      </c>
      <c r="IE39" s="286">
        <f>'Data-temp_employment'!IE39-last_qrtr_tempemp!IF39</f>
        <v>0</v>
      </c>
      <c r="IF39" s="286">
        <f>'Data-temp_employment'!IF39-last_qrtr_tempemp!IG39</f>
        <v>0</v>
      </c>
      <c r="IG39" s="286">
        <f>'Data-temp_employment'!IG39-last_qrtr_tempemp!IH39</f>
        <v>0</v>
      </c>
      <c r="IH39" s="286">
        <f>'Data-temp_employment'!IH39-last_qrtr_tempemp!II39</f>
        <v>0</v>
      </c>
      <c r="II39" s="286">
        <f>'Data-temp_employment'!II39</f>
        <v>0</v>
      </c>
      <c r="IJ39" s="279" t="s">
        <v>42</v>
      </c>
      <c r="IK39" s="286">
        <f>'Data-temp_employment'!IK39-last_qrtr_tempemp!IL39</f>
        <v>-3</v>
      </c>
      <c r="IL39" s="286">
        <f>'Data-temp_employment'!IL39-last_qrtr_tempemp!IM39</f>
        <v>-2.9</v>
      </c>
      <c r="IM39" s="286">
        <f>'Data-temp_employment'!IM39-last_qrtr_tempemp!IN39</f>
        <v>0</v>
      </c>
      <c r="IN39" s="286">
        <f>'Data-temp_employment'!IN39-last_qrtr_tempemp!IO39</f>
        <v>0</v>
      </c>
      <c r="IO39" s="286">
        <f>'Data-temp_employment'!IO39-last_qrtr_tempemp!IP39</f>
        <v>-3.6</v>
      </c>
      <c r="IP39" s="286">
        <f>'Data-temp_employment'!IP39-last_qrtr_tempemp!IQ39</f>
        <v>-3</v>
      </c>
      <c r="IQ39" s="286">
        <f>'Data-temp_employment'!IQ39-last_qrtr_tempemp!IR39</f>
        <v>-2.8</v>
      </c>
      <c r="IR39" s="286">
        <f>'Data-temp_employment'!IR39-last_qrtr_tempemp!IS39</f>
        <v>0</v>
      </c>
      <c r="IS39" s="286">
        <f>'Data-temp_employment'!IS39-last_qrtr_tempemp!IT39</f>
        <v>0</v>
      </c>
      <c r="IT39" s="286">
        <f>'Data-temp_employment'!IT39</f>
        <v>0</v>
      </c>
      <c r="IU39" s="279" t="s">
        <v>42</v>
      </c>
      <c r="IV39" s="286">
        <f>'Data-temp_employment'!IV39-last_qrtr_tempemp!IW39</f>
        <v>-4.8000000000000007</v>
      </c>
      <c r="IW39" s="286">
        <f>'Data-temp_employment'!IW39-last_qrtr_tempemp!IX39</f>
        <v>-3.6000000000000005</v>
      </c>
      <c r="IX39" s="286">
        <f>'Data-temp_employment'!IX39-last_qrtr_tempemp!IY39</f>
        <v>1.2000000000000002</v>
      </c>
      <c r="IY39" s="286">
        <f>'Data-temp_employment'!IY39-last_qrtr_tempemp!IZ39</f>
        <v>-0.29999999999999982</v>
      </c>
      <c r="IZ39" s="286">
        <f>'Data-temp_employment'!IZ39-last_qrtr_tempemp!JA39</f>
        <v>-2.3999999999999995</v>
      </c>
      <c r="JA39" s="286">
        <f>'Data-temp_employment'!JA39-last_qrtr_tempemp!JB39</f>
        <v>0.29999999999999982</v>
      </c>
      <c r="JB39" s="286">
        <f>'Data-temp_employment'!JB39-last_qrtr_tempemp!JC39</f>
        <v>2.8</v>
      </c>
      <c r="JC39" s="286">
        <f>'Data-temp_employment'!JC39-last_qrtr_tempemp!JD39</f>
        <v>1.2999999999999998</v>
      </c>
      <c r="JD39" s="286">
        <f>'Data-temp_employment'!JD39-last_qrtr_tempemp!JE39</f>
        <v>-4</v>
      </c>
      <c r="JE39" s="286">
        <f>'Data-temp_employment'!JE39</f>
        <v>6</v>
      </c>
      <c r="JF39" s="279" t="s">
        <v>42</v>
      </c>
      <c r="JG39" s="286">
        <f>'Data-temp_employment'!JG39-last_qrtr_tempemp!JH39</f>
        <v>-8.5999999999999979</v>
      </c>
      <c r="JH39" s="286">
        <f>'Data-temp_employment'!JH39-last_qrtr_tempemp!JI39</f>
        <v>-8.5</v>
      </c>
      <c r="JI39" s="286">
        <f>'Data-temp_employment'!JI39-last_qrtr_tempemp!JJ39</f>
        <v>12.700000000000003</v>
      </c>
      <c r="JJ39" s="286">
        <f>'Data-temp_employment'!JJ39-last_qrtr_tempemp!JK39</f>
        <v>2</v>
      </c>
      <c r="JK39" s="286">
        <f>'Data-temp_employment'!JK39-last_qrtr_tempemp!JL39</f>
        <v>-8.5</v>
      </c>
      <c r="JL39" s="286">
        <f>'Data-temp_employment'!JL39-last_qrtr_tempemp!JM39</f>
        <v>-3.9000000000000057</v>
      </c>
      <c r="JM39" s="286">
        <f>'Data-temp_employment'!JM39-last_qrtr_tempemp!JN39</f>
        <v>13.900000000000002</v>
      </c>
      <c r="JN39" s="286">
        <f>'Data-temp_employment'!JN39-last_qrtr_tempemp!JO39</f>
        <v>-0.99999999999999645</v>
      </c>
      <c r="JO39" s="286">
        <f>'Data-temp_employment'!JO39-last_qrtr_tempemp!JP39</f>
        <v>-9.9999999999999964</v>
      </c>
      <c r="JP39" s="286">
        <f>'Data-temp_employment'!JP39</f>
        <v>33.6</v>
      </c>
      <c r="JQ39" s="279" t="s">
        <v>42</v>
      </c>
      <c r="JR39" s="286">
        <f>'Data-temp_employment'!JR39-last_qrtr_tempemp!JS39</f>
        <v>-4.5</v>
      </c>
      <c r="JS39" s="286">
        <f>'Data-temp_employment'!JS39-last_qrtr_tempemp!JT39</f>
        <v>-4.6999999999999993</v>
      </c>
      <c r="JT39" s="286">
        <f>'Data-temp_employment'!JT39-last_qrtr_tempemp!JU39</f>
        <v>0.90000000000000213</v>
      </c>
      <c r="JU39" s="286">
        <f>'Data-temp_employment'!JU39-last_qrtr_tempemp!JV39</f>
        <v>1.3999999999999986</v>
      </c>
      <c r="JV39" s="286">
        <f>'Data-temp_employment'!JV39-last_qrtr_tempemp!JW39</f>
        <v>-7.1000000000000014</v>
      </c>
      <c r="JW39" s="286">
        <f>'Data-temp_employment'!JW39-last_qrtr_tempemp!JX39</f>
        <v>-2.9000000000000021</v>
      </c>
      <c r="JX39" s="286">
        <f>'Data-temp_employment'!JX39-last_qrtr_tempemp!JY39</f>
        <v>7.1999999999999993</v>
      </c>
      <c r="JY39" s="286">
        <f>'Data-temp_employment'!JY39-last_qrtr_tempemp!JZ39</f>
        <v>7.6999999999999993</v>
      </c>
      <c r="JZ39" s="286">
        <f>'Data-temp_employment'!JZ39-last_qrtr_tempemp!KA39</f>
        <v>3.9000000000000021</v>
      </c>
      <c r="KA39" s="286">
        <f>'Data-temp_employment'!KA39</f>
        <v>18.899999999999999</v>
      </c>
      <c r="KB39" s="279" t="s">
        <v>42</v>
      </c>
      <c r="KC39" s="286">
        <f>'Data-temp_employment'!KC39-last_qrtr_tempemp!KD39</f>
        <v>-11.799999999999997</v>
      </c>
      <c r="KD39" s="286">
        <f>'Data-temp_employment'!KD39-last_qrtr_tempemp!KE39</f>
        <v>-10.100000000000009</v>
      </c>
      <c r="KE39" s="286">
        <f>'Data-temp_employment'!KE39-last_qrtr_tempemp!KF39</f>
        <v>18.200000000000003</v>
      </c>
      <c r="KF39" s="286">
        <f>'Data-temp_employment'!KF39-last_qrtr_tempemp!KG39</f>
        <v>3.4000000000000057</v>
      </c>
      <c r="KG39" s="286">
        <f>'Data-temp_employment'!KG39-last_qrtr_tempemp!KH39</f>
        <v>-5.8999999999999915</v>
      </c>
      <c r="KH39" s="286">
        <f>'Data-temp_employment'!KH39-last_qrtr_tempemp!KI39</f>
        <v>-9.0999999999999943</v>
      </c>
      <c r="KI39" s="286">
        <f>'Data-temp_employment'!KI39-last_qrtr_tempemp!KJ39</f>
        <v>26</v>
      </c>
      <c r="KJ39" s="286">
        <f>'Data-temp_employment'!KJ39-last_qrtr_tempemp!KK39</f>
        <v>8.0999999999999943</v>
      </c>
      <c r="KK39" s="286">
        <f>'Data-temp_employment'!KK39-last_qrtr_tempemp!KL39</f>
        <v>-11.700000000000003</v>
      </c>
      <c r="KL39" s="286">
        <f>'Data-temp_employment'!KL39</f>
        <v>80.7</v>
      </c>
      <c r="KM39" s="279" t="s">
        <v>42</v>
      </c>
      <c r="KN39" s="286">
        <f>'Data-temp_employment'!KN39-last_qrtr_tempemp!KO39</f>
        <v>-1.7000000000000028</v>
      </c>
      <c r="KO39" s="286">
        <f>'Data-temp_employment'!KO39-last_qrtr_tempemp!KP39</f>
        <v>-4.3999999999999986</v>
      </c>
      <c r="KP39" s="286">
        <f>'Data-temp_employment'!KP39-last_qrtr_tempemp!KQ39</f>
        <v>1.2000000000000028</v>
      </c>
      <c r="KQ39" s="286">
        <f>'Data-temp_employment'!KQ39-last_qrtr_tempemp!KR39</f>
        <v>3</v>
      </c>
      <c r="KR39" s="286">
        <f>'Data-temp_employment'!KR39-last_qrtr_tempemp!KS39</f>
        <v>-4.8000000000000007</v>
      </c>
      <c r="KS39" s="286">
        <f>'Data-temp_employment'!KS39-last_qrtr_tempemp!KT39</f>
        <v>-3.4000000000000021</v>
      </c>
      <c r="KT39" s="286">
        <f>'Data-temp_employment'!KT39-last_qrtr_tempemp!KU39</f>
        <v>-1.2999999999999972</v>
      </c>
      <c r="KU39" s="286">
        <f>'Data-temp_employment'!KU39-last_qrtr_tempemp!KV39</f>
        <v>1.1999999999999993</v>
      </c>
      <c r="KV39" s="286">
        <f>'Data-temp_employment'!KV39-last_qrtr_tempemp!KW39</f>
        <v>0.50000000000000355</v>
      </c>
      <c r="KW39" s="286">
        <f>'Data-temp_employment'!KW39</f>
        <v>32.6</v>
      </c>
      <c r="KX39" s="279" t="s">
        <v>42</v>
      </c>
      <c r="KY39" s="286">
        <f>'Data-temp_employment'!KY39-last_qrtr_tempemp!KZ39</f>
        <v>-6.2999999999999972</v>
      </c>
      <c r="KZ39" s="286">
        <f>'Data-temp_employment'!KZ39-last_qrtr_tempemp!LA39</f>
        <v>-9.2999999999999972</v>
      </c>
      <c r="LA39" s="286">
        <f>'Data-temp_employment'!LA39-last_qrtr_tempemp!LB39</f>
        <v>12.699999999999996</v>
      </c>
      <c r="LB39" s="286">
        <f>'Data-temp_employment'!LB39-last_qrtr_tempemp!LC39</f>
        <v>3.0999999999999943</v>
      </c>
      <c r="LC39" s="286">
        <f>'Data-temp_employment'!LC39-last_qrtr_tempemp!LD39</f>
        <v>-1.7000000000000028</v>
      </c>
      <c r="LD39" s="286">
        <f>'Data-temp_employment'!LD39-last_qrtr_tempemp!LE39</f>
        <v>-7.4999999999999929</v>
      </c>
      <c r="LE39" s="286">
        <f>'Data-temp_employment'!LE39-last_qrtr_tempemp!LF39</f>
        <v>17.100000000000009</v>
      </c>
      <c r="LF39" s="286">
        <f>'Data-temp_employment'!LF39-last_qrtr_tempemp!LG39</f>
        <v>3.1000000000000014</v>
      </c>
      <c r="LG39" s="286">
        <f>'Data-temp_employment'!LG39-last_qrtr_tempemp!LH39</f>
        <v>-5.2000000000000028</v>
      </c>
      <c r="LH39" s="286">
        <f>'Data-temp_employment'!LH39</f>
        <v>59.4</v>
      </c>
      <c r="LI39" s="279" t="s">
        <v>42</v>
      </c>
      <c r="LJ39" s="286">
        <f>'Data-temp_employment'!LJ39-last_qrtr_tempemp!LK39</f>
        <v>-2</v>
      </c>
      <c r="LK39" s="286">
        <f>'Data-temp_employment'!LK39-last_qrtr_tempemp!LL39</f>
        <v>-2.5</v>
      </c>
      <c r="LL39" s="286">
        <f>'Data-temp_employment'!LL39-last_qrtr_tempemp!LM39</f>
        <v>0.40000000000000036</v>
      </c>
      <c r="LM39" s="286">
        <f>'Data-temp_employment'!LM39-last_qrtr_tempemp!LN39</f>
        <v>0.70000000000000107</v>
      </c>
      <c r="LN39" s="286">
        <f>'Data-temp_employment'!LN39-last_qrtr_tempemp!LO39</f>
        <v>1.5</v>
      </c>
      <c r="LO39" s="286">
        <f>'Data-temp_employment'!LO39-last_qrtr_tempemp!LP39</f>
        <v>2</v>
      </c>
      <c r="LP39" s="286">
        <f>'Data-temp_employment'!LP39-last_qrtr_tempemp!LQ39</f>
        <v>5.3999999999999986</v>
      </c>
      <c r="LQ39" s="286">
        <f>'Data-temp_employment'!LQ39-last_qrtr_tempemp!LR39</f>
        <v>3.2000000000000011</v>
      </c>
      <c r="LR39" s="286">
        <f>'Data-temp_employment'!LR39-last_qrtr_tempemp!LS39</f>
        <v>-1.5999999999999996</v>
      </c>
      <c r="LS39" s="286">
        <f>'Data-temp_employment'!LS39</f>
        <v>15.7</v>
      </c>
      <c r="LT39" s="279" t="s">
        <v>42</v>
      </c>
      <c r="LU39" s="286">
        <f>'Data-temp_employment'!LU39-last_qrtr_tempemp!LV39</f>
        <v>-1.3999999999999995</v>
      </c>
      <c r="LV39" s="286">
        <f>'Data-temp_employment'!LV39-last_qrtr_tempemp!LW39</f>
        <v>-1.7000000000000002</v>
      </c>
      <c r="LW39" s="286">
        <f>'Data-temp_employment'!LW39-last_qrtr_tempemp!LX39</f>
        <v>1.2999999999999989</v>
      </c>
      <c r="LX39" s="286">
        <f>'Data-temp_employment'!LX39-last_qrtr_tempemp!LY39</f>
        <v>-0.29999999999999982</v>
      </c>
      <c r="LY39" s="286">
        <f>'Data-temp_employment'!LY39-last_qrtr_tempemp!LZ39</f>
        <v>0.20000000000000018</v>
      </c>
      <c r="LZ39" s="286">
        <f>'Data-temp_employment'!LZ39-last_qrtr_tempemp!MA39</f>
        <v>0.5</v>
      </c>
      <c r="MA39" s="286">
        <f>'Data-temp_employment'!MA39-last_qrtr_tempemp!MB39</f>
        <v>2.2999999999999989</v>
      </c>
      <c r="MB39" s="286">
        <f>'Data-temp_employment'!MB39-last_qrtr_tempemp!MC39</f>
        <v>1.4000000000000004</v>
      </c>
      <c r="MC39" s="286">
        <f>'Data-temp_employment'!MC39-last_qrtr_tempemp!MD39</f>
        <v>0.90000000000000036</v>
      </c>
      <c r="MD39" s="286">
        <f>'Data-temp_employment'!MD39</f>
        <v>11.3</v>
      </c>
      <c r="ME39" s="279" t="s">
        <v>42</v>
      </c>
      <c r="MF39" s="286">
        <f>'Data-temp_employment'!MF39-last_qrtr_tempemp!MG39</f>
        <v>-1.1000000000000014</v>
      </c>
      <c r="MG39" s="286">
        <f>'Data-temp_employment'!MG39-last_qrtr_tempemp!MH39</f>
        <v>1.1000000000000014</v>
      </c>
      <c r="MH39" s="286">
        <f>'Data-temp_employment'!MH39-last_qrtr_tempemp!MI39</f>
        <v>3.3000000000000043</v>
      </c>
      <c r="MI39" s="286">
        <f>'Data-temp_employment'!MI39-last_qrtr_tempemp!MJ39</f>
        <v>3.1999999999999993</v>
      </c>
      <c r="MJ39" s="286">
        <f>'Data-temp_employment'!MJ39-last_qrtr_tempemp!MK39</f>
        <v>-2.3000000000000007</v>
      </c>
      <c r="MK39" s="286">
        <f>'Data-temp_employment'!MK39-last_qrtr_tempemp!ML39</f>
        <v>-5.9000000000000021</v>
      </c>
      <c r="ML39" s="286">
        <f>'Data-temp_employment'!ML39-last_qrtr_tempemp!MM39</f>
        <v>1.1000000000000014</v>
      </c>
      <c r="MM39" s="286">
        <f>'Data-temp_employment'!MM39-last_qrtr_tempemp!MN39</f>
        <v>2.3000000000000007</v>
      </c>
      <c r="MN39" s="286">
        <f>'Data-temp_employment'!MN39-last_qrtr_tempemp!MO39</f>
        <v>1.0999999999999979</v>
      </c>
      <c r="MO39" s="286">
        <f>'Data-temp_employment'!MO39</f>
        <v>30.4</v>
      </c>
      <c r="MP39" s="279" t="s">
        <v>42</v>
      </c>
      <c r="MQ39" s="286">
        <f>'Data-temp_employment'!MQ39-last_qrtr_tempemp!MR39</f>
        <v>-6.3999999999999986</v>
      </c>
      <c r="MR39" s="286">
        <f>'Data-temp_employment'!MR39-last_qrtr_tempemp!MS39</f>
        <v>-5</v>
      </c>
      <c r="MS39" s="286">
        <f>'Data-temp_employment'!MS39-last_qrtr_tempemp!MT39</f>
        <v>-3.5</v>
      </c>
      <c r="MT39" s="286">
        <f>'Data-temp_employment'!MT39-last_qrtr_tempemp!MU39</f>
        <v>4.2999999999999972</v>
      </c>
      <c r="MU39" s="286">
        <f>'Data-temp_employment'!MU39-last_qrtr_tempemp!MV39</f>
        <v>-11.200000000000003</v>
      </c>
      <c r="MV39" s="286">
        <f>'Data-temp_employment'!MV39-last_qrtr_tempemp!MW39</f>
        <v>-2.5</v>
      </c>
      <c r="MW39" s="286">
        <f>'Data-temp_employment'!MW39-last_qrtr_tempemp!MX39</f>
        <v>7.5</v>
      </c>
      <c r="MX39" s="286">
        <f>'Data-temp_employment'!MX39-last_qrtr_tempemp!MY39</f>
        <v>1.5</v>
      </c>
      <c r="MY39" s="286">
        <f>'Data-temp_employment'!MY39-last_qrtr_tempemp!MZ39</f>
        <v>-8.8999999999999986</v>
      </c>
      <c r="MZ39" s="286">
        <f>'Data-temp_employment'!MZ39</f>
        <v>55.8</v>
      </c>
      <c r="NA39" s="279" t="s">
        <v>42</v>
      </c>
      <c r="NB39" s="286">
        <f>'Data-temp_employment'!NB39-last_qrtr_tempemp!NC39</f>
        <v>9.9999999999997868E-2</v>
      </c>
      <c r="NC39" s="286">
        <f>'Data-temp_employment'!NC39-last_qrtr_tempemp!ND39</f>
        <v>-3.8999999999999986</v>
      </c>
      <c r="ND39" s="286">
        <f>'Data-temp_employment'!ND39-last_qrtr_tempemp!NE39</f>
        <v>5.2000000000000028</v>
      </c>
      <c r="NE39" s="286">
        <f>'Data-temp_employment'!NE39-last_qrtr_tempemp!NF39</f>
        <v>1.3999999999999986</v>
      </c>
      <c r="NF39" s="286">
        <f>'Data-temp_employment'!NF39-last_qrtr_tempemp!NG39</f>
        <v>-3.6000000000000014</v>
      </c>
      <c r="NG39" s="286">
        <f>'Data-temp_employment'!NG39-last_qrtr_tempemp!NH39</f>
        <v>-2.8999999999999986</v>
      </c>
      <c r="NH39" s="286">
        <f>'Data-temp_employment'!NH39-last_qrtr_tempemp!NI39</f>
        <v>3.9000000000000057</v>
      </c>
      <c r="NI39" s="286">
        <f>'Data-temp_employment'!NI39-last_qrtr_tempemp!NJ39</f>
        <v>6.1000000000000014</v>
      </c>
      <c r="NJ39" s="286">
        <f>'Data-temp_employment'!NJ39-last_qrtr_tempemp!NK39</f>
        <v>-3.4000000000000021</v>
      </c>
      <c r="NK39" s="286">
        <f>'Data-temp_employment'!NK39</f>
        <v>36.1</v>
      </c>
      <c r="NL39" s="279" t="s">
        <v>42</v>
      </c>
      <c r="NM39" s="286">
        <f>'Data-temp_employment'!NM39-last_qrtr_tempemp!NN39</f>
        <v>-2.4000000000000057</v>
      </c>
      <c r="NN39" s="286">
        <f>'Data-temp_employment'!NN39-last_qrtr_tempemp!NO39</f>
        <v>11.100000000000009</v>
      </c>
      <c r="NO39" s="286">
        <f>'Data-temp_employment'!NO39-last_qrtr_tempemp!NP39</f>
        <v>-21.299999999999997</v>
      </c>
      <c r="NP39" s="286">
        <f>'Data-temp_employment'!NP39-last_qrtr_tempemp!NQ39</f>
        <v>11.299999999999997</v>
      </c>
      <c r="NQ39" s="286">
        <f>'Data-temp_employment'!NQ39-last_qrtr_tempemp!NR39</f>
        <v>14.799999999999997</v>
      </c>
      <c r="NR39" s="286">
        <f>'Data-temp_employment'!NR39-last_qrtr_tempemp!NS39</f>
        <v>30.799999999999997</v>
      </c>
      <c r="NS39" s="286">
        <f>'Data-temp_employment'!NS39-last_qrtr_tempemp!NT39</f>
        <v>-19.599999999999994</v>
      </c>
      <c r="NT39" s="286">
        <f>'Data-temp_employment'!NT39-last_qrtr_tempemp!NU39</f>
        <v>-3.5</v>
      </c>
      <c r="NU39" s="286">
        <f>'Data-temp_employment'!NU39-last_qrtr_tempemp!NV39</f>
        <v>-4.5</v>
      </c>
      <c r="NV39" s="286">
        <f>'Data-temp_employment'!NV39</f>
        <v>107.6</v>
      </c>
      <c r="NW39" s="279" t="s">
        <v>42</v>
      </c>
      <c r="NX39" s="286">
        <f>'Data-temp_employment'!NX39-last_qrtr_tempemp!NY39</f>
        <v>-10.800000000000011</v>
      </c>
      <c r="NY39" s="286">
        <f>'Data-temp_employment'!NY39-last_qrtr_tempemp!NZ39</f>
        <v>-16.199999999999989</v>
      </c>
      <c r="NZ39" s="286">
        <f>'Data-temp_employment'!NZ39-last_qrtr_tempemp!OA39</f>
        <v>22.800000000000011</v>
      </c>
      <c r="OA39" s="286">
        <f>'Data-temp_employment'!OA39-last_qrtr_tempemp!OB39</f>
        <v>5.7000000000000171</v>
      </c>
      <c r="OB39" s="286">
        <f>'Data-temp_employment'!OB39-last_qrtr_tempemp!OC39</f>
        <v>-12.300000000000011</v>
      </c>
      <c r="OC39" s="286">
        <f>'Data-temp_employment'!OC39-last_qrtr_tempemp!OD39</f>
        <v>-19</v>
      </c>
      <c r="OD39" s="286">
        <f>'Data-temp_employment'!OD39-last_qrtr_tempemp!OE39</f>
        <v>18.399999999999977</v>
      </c>
      <c r="OE39" s="286">
        <f>'Data-temp_employment'!OE39-last_qrtr_tempemp!OF39</f>
        <v>-9.5999999999999943</v>
      </c>
      <c r="OF39" s="286">
        <f>'Data-temp_employment'!OF39-last_qrtr_tempemp!OG39</f>
        <v>-19.700000000000017</v>
      </c>
      <c r="OG39" s="286">
        <f>'Data-temp_employment'!OG39</f>
        <v>132.30000000000001</v>
      </c>
      <c r="OH39" s="287" t="s">
        <v>42</v>
      </c>
      <c r="OI39" s="286"/>
      <c r="OJ39" s="286"/>
      <c r="OK39" s="286"/>
      <c r="OL39" s="286"/>
      <c r="OM39" s="286"/>
      <c r="ON39" s="286"/>
      <c r="OO39" s="286"/>
      <c r="OP39" s="286"/>
      <c r="OQ39" s="286"/>
      <c r="OR39" s="286"/>
      <c r="OS39" s="279" t="s">
        <v>42</v>
      </c>
      <c r="OT39" s="286" t="e">
        <f>'Data-temp_employment'!#REF!-last_qrtr_tempemp!OU39</f>
        <v>#REF!</v>
      </c>
      <c r="OU39" s="286">
        <f>'Data-temp_employment'!OT38-last_qrtr_tempemp!OV39</f>
        <v>0.7</v>
      </c>
      <c r="OV39" s="286">
        <f>'Data-temp_employment'!OU38-last_qrtr_tempemp!OW39</f>
        <v>0.7</v>
      </c>
      <c r="OW39" s="286">
        <f>'Data-temp_employment'!OV38-last_qrtr_tempemp!OX39</f>
        <v>0.8</v>
      </c>
      <c r="OX39" s="286">
        <f>'Data-temp_employment'!OW38-last_qrtr_tempemp!OY39</f>
        <v>0.6</v>
      </c>
      <c r="OY39" s="286">
        <f>'Data-temp_employment'!OX38-last_qrtr_tempemp!OZ39</f>
        <v>0.8</v>
      </c>
      <c r="OZ39" s="286">
        <f>'Data-temp_employment'!OY38-last_qrtr_tempemp!PA39</f>
        <v>0.9</v>
      </c>
      <c r="PA39" s="286">
        <f>'Data-temp_employment'!OZ38-last_qrtr_tempemp!PB39</f>
        <v>0.6</v>
      </c>
      <c r="PB39" s="286">
        <f>'Data-temp_employment'!PA38-last_qrtr_tempemp!PC39</f>
        <v>0.7</v>
      </c>
      <c r="PC39" s="286">
        <f>'Data-temp_employment'!PB38</f>
        <v>0.6</v>
      </c>
      <c r="PE39" s="319"/>
      <c r="PF39" s="319"/>
      <c r="PG39" s="319"/>
      <c r="PH39" s="319"/>
      <c r="PI39" s="319"/>
      <c r="PJ39" s="319"/>
      <c r="PK39" s="319"/>
      <c r="PL39" s="319"/>
      <c r="PM39" s="319"/>
      <c r="PN39" s="319"/>
      <c r="PO39" s="319"/>
      <c r="PP39" s="319"/>
      <c r="PQ39" s="319"/>
      <c r="PR39" s="319"/>
      <c r="PS39" s="319"/>
      <c r="PT39" s="319"/>
      <c r="PU39" s="319"/>
      <c r="PV39" s="319"/>
      <c r="PW39" s="319"/>
      <c r="PX39" s="319"/>
      <c r="PY39" s="319"/>
      <c r="PZ39" s="319"/>
      <c r="QA39" s="319"/>
      <c r="QB39" s="319"/>
      <c r="QC39" s="319"/>
      <c r="QD39" s="319"/>
      <c r="QE39" s="319"/>
      <c r="QF39" s="319"/>
      <c r="QG39" s="319"/>
      <c r="QH39" s="319"/>
      <c r="QI39" s="319"/>
      <c r="QJ39" s="319"/>
      <c r="QK39" s="319"/>
      <c r="QL39" s="319"/>
      <c r="QM39" s="319"/>
      <c r="QN39" s="319"/>
      <c r="QO39" s="319"/>
      <c r="QP39" s="319"/>
      <c r="QQ39" s="319"/>
      <c r="QR39" s="319"/>
      <c r="QS39" s="319"/>
      <c r="QT39" s="319"/>
      <c r="QU39" s="319"/>
      <c r="QV39" s="319"/>
      <c r="QW39" s="319"/>
      <c r="QX39" s="319"/>
      <c r="QY39" s="319"/>
      <c r="QZ39" s="319"/>
      <c r="RA39" s="319"/>
      <c r="RB39" s="319"/>
      <c r="RC39" s="319"/>
      <c r="RD39" s="319"/>
      <c r="RE39" s="319"/>
      <c r="RF39" s="319"/>
      <c r="RG39" s="319"/>
      <c r="RH39" s="319"/>
      <c r="RI39" s="319"/>
      <c r="RJ39" s="319"/>
      <c r="RK39" s="319"/>
      <c r="RL39" s="319"/>
      <c r="RM39" s="319"/>
      <c r="RN39" s="319"/>
      <c r="RO39" s="319"/>
      <c r="RP39" s="319"/>
    </row>
    <row r="40" spans="1:485">
      <c r="A40" s="269">
        <v>37</v>
      </c>
      <c r="B40" s="285" t="s">
        <v>46</v>
      </c>
      <c r="C40" s="286">
        <f>'Data-temp_employment'!C40-last_qrtr_tempemp!D40</f>
        <v>-0.19999999999999929</v>
      </c>
      <c r="D40" s="286">
        <f>'Data-temp_employment'!D40-last_qrtr_tempemp!E40</f>
        <v>-0.29999999999999893</v>
      </c>
      <c r="E40" s="286">
        <f>'Data-temp_employment'!E40-last_qrtr_tempemp!F40</f>
        <v>-0.90000000000000036</v>
      </c>
      <c r="F40" s="286">
        <f>'Data-temp_employment'!F40-last_qrtr_tempemp!G40</f>
        <v>0</v>
      </c>
      <c r="G40" s="286">
        <f>'Data-temp_employment'!G40-last_qrtr_tempemp!H40</f>
        <v>-0.30000000000000071</v>
      </c>
      <c r="H40" s="286">
        <f>'Data-temp_employment'!H40-last_qrtr_tempemp!I40</f>
        <v>0.40000000000000036</v>
      </c>
      <c r="I40" s="286">
        <f>'Data-temp_employment'!I40-last_qrtr_tempemp!J40</f>
        <v>9.9999999999999645E-2</v>
      </c>
      <c r="J40" s="286">
        <f>'Data-temp_employment'!J40-last_qrtr_tempemp!K40</f>
        <v>0.30000000000000071</v>
      </c>
      <c r="K40" s="286">
        <f>'Data-temp_employment'!K40-last_qrtr_tempemp!L40</f>
        <v>-0.20000000000000107</v>
      </c>
      <c r="L40" s="286">
        <f>'Data-temp_employment'!L40</f>
        <v>13.3</v>
      </c>
      <c r="M40" s="285" t="s">
        <v>46</v>
      </c>
      <c r="N40" s="286">
        <f>'Data-temp_employment'!N40-last_qrtr_tempemp!O40</f>
        <v>-5.2000000000000455</v>
      </c>
      <c r="O40" s="286">
        <f>'Data-temp_employment'!O40-last_qrtr_tempemp!P40</f>
        <v>-5.0999999999999659</v>
      </c>
      <c r="P40" s="286">
        <f>'Data-temp_employment'!P40-last_qrtr_tempemp!Q40</f>
        <v>-36.299999999999955</v>
      </c>
      <c r="Q40" s="286">
        <f>'Data-temp_employment'!Q40-last_qrtr_tempemp!R40</f>
        <v>12.299999999999955</v>
      </c>
      <c r="R40" s="286">
        <f>'Data-temp_employment'!R40-last_qrtr_tempemp!S40</f>
        <v>-7.1999999999999886</v>
      </c>
      <c r="S40" s="286">
        <f>'Data-temp_employment'!S40-last_qrtr_tempemp!T40</f>
        <v>22.300000000000011</v>
      </c>
      <c r="T40" s="286">
        <f>'Data-temp_employment'!T40-last_qrtr_tempemp!U40</f>
        <v>-1.5999999999999091</v>
      </c>
      <c r="U40" s="286">
        <f>'Data-temp_employment'!U40-last_qrtr_tempemp!V40</f>
        <v>18</v>
      </c>
      <c r="V40" s="286">
        <f>'Data-temp_employment'!V40-last_qrtr_tempemp!W40</f>
        <v>-9.1000000000000227</v>
      </c>
      <c r="W40" s="286">
        <f>'Data-temp_employment'!W40</f>
        <v>513.6</v>
      </c>
      <c r="X40" s="285" t="s">
        <v>46</v>
      </c>
      <c r="Y40" s="286">
        <f>'Data-temp_employment'!Y40-last_qrtr_tempemp!Z40</f>
        <v>-0.59999999999999964</v>
      </c>
      <c r="Z40" s="286">
        <f>'Data-temp_employment'!Z40-last_qrtr_tempemp!AA40</f>
        <v>-9</v>
      </c>
      <c r="AA40" s="286">
        <f>'Data-temp_employment'!AA40-last_qrtr_tempemp!AB40</f>
        <v>6.3000000000000007</v>
      </c>
      <c r="AB40" s="286">
        <f>'Data-temp_employment'!AB40-last_qrtr_tempemp!AC40</f>
        <v>-4.0999999999999996</v>
      </c>
      <c r="AC40" s="286">
        <f>'Data-temp_employment'!AC40-last_qrtr_tempemp!AD40</f>
        <v>-0.5</v>
      </c>
      <c r="AD40" s="286">
        <f>'Data-temp_employment'!AD40-last_qrtr_tempemp!AE40</f>
        <v>-8.0000000000000018</v>
      </c>
      <c r="AE40" s="286">
        <f>'Data-temp_employment'!AE40-last_qrtr_tempemp!AF40</f>
        <v>14.5</v>
      </c>
      <c r="AF40" s="286">
        <f>'Data-temp_employment'!AF40-last_qrtr_tempemp!AG40</f>
        <v>-0.19999999999999929</v>
      </c>
      <c r="AG40" s="286">
        <f>'Data-temp_employment'!AG40-last_qrtr_tempemp!AH40</f>
        <v>-1.5999999999999996</v>
      </c>
      <c r="AH40" s="286">
        <f>'Data-temp_employment'!AH40</f>
        <v>8.6</v>
      </c>
      <c r="AI40" s="279" t="s">
        <v>46</v>
      </c>
      <c r="AJ40" s="286">
        <f>'Data-temp_employment'!AJ40-last_qrtr_tempemp!AK40</f>
        <v>-14.5</v>
      </c>
      <c r="AK40" s="286">
        <f>'Data-temp_employment'!AK40-last_qrtr_tempemp!AL40</f>
        <v>-6.5</v>
      </c>
      <c r="AL40" s="286">
        <f>'Data-temp_employment'!AL40-last_qrtr_tempemp!AM40</f>
        <v>-3.2999999999999972</v>
      </c>
      <c r="AM40" s="286">
        <f>'Data-temp_employment'!AM40-last_qrtr_tempemp!AN40</f>
        <v>6.6000000000000014</v>
      </c>
      <c r="AN40" s="286">
        <f>'Data-temp_employment'!AN40-last_qrtr_tempemp!AO40</f>
        <v>-4.7000000000000028</v>
      </c>
      <c r="AO40" s="286">
        <f>'Data-temp_employment'!AO40-last_qrtr_tempemp!AP40</f>
        <v>-7.7000000000000028</v>
      </c>
      <c r="AP40" s="286">
        <f>'Data-temp_employment'!AP40-last_qrtr_tempemp!AQ40</f>
        <v>11.699999999999996</v>
      </c>
      <c r="AQ40" s="286">
        <f>'Data-temp_employment'!AQ40-last_qrtr_tempemp!AR40</f>
        <v>13</v>
      </c>
      <c r="AR40" s="286">
        <f>'Data-temp_employment'!AR40-last_qrtr_tempemp!AS40</f>
        <v>-1.2999999999999972</v>
      </c>
      <c r="AS40" s="286">
        <f>'Data-temp_employment'!AS40</f>
        <v>43.9</v>
      </c>
      <c r="AT40" s="279" t="s">
        <v>46</v>
      </c>
      <c r="AU40" s="286">
        <f>'Data-temp_employment'!AU40-last_qrtr_tempemp!AV40</f>
        <v>9.7000000000000028</v>
      </c>
      <c r="AV40" s="286">
        <f>'Data-temp_employment'!AV40-last_qrtr_tempemp!AW40</f>
        <v>7</v>
      </c>
      <c r="AW40" s="286">
        <f>'Data-temp_employment'!AW40-last_qrtr_tempemp!AX40</f>
        <v>-11.300000000000004</v>
      </c>
      <c r="AX40" s="286">
        <f>'Data-temp_employment'!AX40-last_qrtr_tempemp!AY40</f>
        <v>-3.7999999999999972</v>
      </c>
      <c r="AY40" s="286">
        <f>'Data-temp_employment'!AY40-last_qrtr_tempemp!AZ40</f>
        <v>10.399999999999999</v>
      </c>
      <c r="AZ40" s="286">
        <f>'Data-temp_employment'!AZ40-last_qrtr_tempemp!BA40</f>
        <v>16.700000000000003</v>
      </c>
      <c r="BA40" s="286">
        <f>'Data-temp_employment'!BA40-last_qrtr_tempemp!BB40</f>
        <v>-8.4000000000000057</v>
      </c>
      <c r="BB40" s="286">
        <f>'Data-temp_employment'!BB40-last_qrtr_tempemp!BC40</f>
        <v>-7.7000000000000028</v>
      </c>
      <c r="BC40" s="286">
        <f>'Data-temp_employment'!BC40-last_qrtr_tempemp!BD40</f>
        <v>1.2999999999999972</v>
      </c>
      <c r="BD40" s="286">
        <f>'Data-temp_employment'!BD40</f>
        <v>54.8</v>
      </c>
      <c r="BE40" s="279" t="s">
        <v>46</v>
      </c>
      <c r="BF40" s="286">
        <f>'Data-temp_employment'!BF40-last_qrtr_tempemp!BG40</f>
        <v>-9.7999999999999972</v>
      </c>
      <c r="BG40" s="286">
        <f>'Data-temp_employment'!BG40-last_qrtr_tempemp!BH40</f>
        <v>-1.9000000000000057</v>
      </c>
      <c r="BH40" s="286">
        <f>'Data-temp_employment'!BH40-last_qrtr_tempemp!BI40</f>
        <v>-13.200000000000003</v>
      </c>
      <c r="BI40" s="286">
        <f>'Data-temp_employment'!BI40-last_qrtr_tempemp!BJ40</f>
        <v>18.200000000000003</v>
      </c>
      <c r="BJ40" s="286">
        <f>'Data-temp_employment'!BJ40-last_qrtr_tempemp!BK40</f>
        <v>-4.2999999999999972</v>
      </c>
      <c r="BK40" s="286">
        <f>'Data-temp_employment'!BK40-last_qrtr_tempemp!BL40</f>
        <v>11.200000000000003</v>
      </c>
      <c r="BL40" s="286">
        <f>'Data-temp_employment'!BL40-last_qrtr_tempemp!BM40</f>
        <v>-3.4000000000000057</v>
      </c>
      <c r="BM40" s="286">
        <f>'Data-temp_employment'!BM40-last_qrtr_tempemp!BN40</f>
        <v>10</v>
      </c>
      <c r="BN40" s="286">
        <f>'Data-temp_employment'!BN40-last_qrtr_tempemp!BO40</f>
        <v>-4.7999999999999972</v>
      </c>
      <c r="BO40" s="286">
        <f>'Data-temp_employment'!BO40</f>
        <v>119.7</v>
      </c>
      <c r="BP40" s="282" t="s">
        <v>46</v>
      </c>
      <c r="BQ40" s="286">
        <f>'Data-temp_employment'!BQ40-last_qrtr_tempemp!BR40</f>
        <v>-1.1000000000000014</v>
      </c>
      <c r="BR40" s="286">
        <f>'Data-temp_employment'!BR40-last_qrtr_tempemp!BS40</f>
        <v>-3.6000000000000014</v>
      </c>
      <c r="BS40" s="286">
        <f>'Data-temp_employment'!BS40-last_qrtr_tempemp!BT40</f>
        <v>7.0999999999999943</v>
      </c>
      <c r="BT40" s="286">
        <f>'Data-temp_employment'!BT40-last_qrtr_tempemp!BU40</f>
        <v>7.6000000000000085</v>
      </c>
      <c r="BU40" s="286">
        <f>'Data-temp_employment'!BU40-last_qrtr_tempemp!BV40</f>
        <v>8.2999999999999972</v>
      </c>
      <c r="BV40" s="286">
        <f>'Data-temp_employment'!BV40-last_qrtr_tempemp!BW40</f>
        <v>5.1000000000000014</v>
      </c>
      <c r="BW40" s="286">
        <f>'Data-temp_employment'!BW40-last_qrtr_tempemp!BX40</f>
        <v>0.59999999999999432</v>
      </c>
      <c r="BX40" s="286">
        <f>'Data-temp_employment'!BX40-last_qrtr_tempemp!BY40</f>
        <v>-7.4999999999999929</v>
      </c>
      <c r="BY40" s="286">
        <f>'Data-temp_employment'!BY40-last_qrtr_tempemp!BZ40</f>
        <v>-14.100000000000001</v>
      </c>
      <c r="BZ40" s="286">
        <f>'Data-temp_employment'!BZ40</f>
        <v>52.9</v>
      </c>
      <c r="CA40" s="282" t="s">
        <v>46</v>
      </c>
      <c r="CB40" s="286">
        <f>'Data-temp_employment'!CB40-last_qrtr_tempemp!CC40</f>
        <v>11.099999999999994</v>
      </c>
      <c r="CC40" s="286">
        <f>'Data-temp_employment'!CC40-last_qrtr_tempemp!CD40</f>
        <v>8.7999999999999545</v>
      </c>
      <c r="CD40" s="286">
        <f>'Data-temp_employment'!CD40-last_qrtr_tempemp!CE40</f>
        <v>-21.899999999999977</v>
      </c>
      <c r="CE40" s="286">
        <f>'Data-temp_employment'!CE40-last_qrtr_tempemp!CF40</f>
        <v>-12.299999999999983</v>
      </c>
      <c r="CF40" s="286">
        <f>'Data-temp_employment'!CF40-last_qrtr_tempemp!CG40</f>
        <v>-16.099999999999966</v>
      </c>
      <c r="CG40" s="286">
        <f>'Data-temp_employment'!CG40-last_qrtr_tempemp!CH40</f>
        <v>4.8999999999999773</v>
      </c>
      <c r="CH40" s="286">
        <f>'Data-temp_employment'!CH40-last_qrtr_tempemp!CI40</f>
        <v>-16.600000000000023</v>
      </c>
      <c r="CI40" s="286">
        <f>'Data-temp_employment'!CI40-last_qrtr_tempemp!CJ40</f>
        <v>10.299999999999983</v>
      </c>
      <c r="CJ40" s="286">
        <f>'Data-temp_employment'!CJ40-last_qrtr_tempemp!CK40</f>
        <v>11.5</v>
      </c>
      <c r="CK40" s="286">
        <f>'Data-temp_employment'!CK40</f>
        <v>233.7</v>
      </c>
      <c r="CL40" s="285" t="s">
        <v>46</v>
      </c>
      <c r="CM40" s="286">
        <f>'Data-temp_employment'!CM40-last_qrtr_tempemp!CN40</f>
        <v>-0.79999999999998295</v>
      </c>
      <c r="CN40" s="286">
        <f>'Data-temp_employment'!CN40-last_qrtr_tempemp!CO40</f>
        <v>2.5999999999999943</v>
      </c>
      <c r="CO40" s="286">
        <f>'Data-temp_employment'!CO40-last_qrtr_tempemp!CP40</f>
        <v>-37.299999999999983</v>
      </c>
      <c r="CP40" s="286">
        <f>'Data-temp_employment'!CP40-last_qrtr_tempemp!CQ40</f>
        <v>2.3999999999999773</v>
      </c>
      <c r="CQ40" s="286">
        <f>'Data-temp_employment'!CQ40-last_qrtr_tempemp!CR40</f>
        <v>1.1000000000000227</v>
      </c>
      <c r="CR40" s="286">
        <f>'Data-temp_employment'!CR40-last_qrtr_tempemp!CS40</f>
        <v>26.099999999999994</v>
      </c>
      <c r="CS40" s="286">
        <f>'Data-temp_employment'!CS40-last_qrtr_tempemp!CT40</f>
        <v>-18.299999999999983</v>
      </c>
      <c r="CT40" s="286">
        <f>'Data-temp_employment'!CT40-last_qrtr_tempemp!CU40</f>
        <v>17.299999999999983</v>
      </c>
      <c r="CU40" s="286">
        <f>'Data-temp_employment'!CU40-last_qrtr_tempemp!CV40</f>
        <v>-0.19999999999998863</v>
      </c>
      <c r="CV40" s="286">
        <f>'Data-temp_employment'!CV40</f>
        <v>213</v>
      </c>
      <c r="CW40" s="285" t="s">
        <v>46</v>
      </c>
      <c r="CX40" s="286">
        <f>'Data-temp_employment'!CX40-last_qrtr_tempemp!CY40</f>
        <v>-18.200000000000017</v>
      </c>
      <c r="CY40" s="286">
        <f>'Data-temp_employment'!CY40-last_qrtr_tempemp!CZ40</f>
        <v>-14.400000000000006</v>
      </c>
      <c r="CZ40" s="286">
        <f>'Data-temp_employment'!CZ40-last_qrtr_tempemp!DA40</f>
        <v>11.200000000000017</v>
      </c>
      <c r="DA40" s="286">
        <f>'Data-temp_employment'!DA40-last_qrtr_tempemp!DB40</f>
        <v>3.5</v>
      </c>
      <c r="DB40" s="286">
        <f>'Data-temp_employment'!DB40-last_qrtr_tempemp!DC40</f>
        <v>-18.699999999999989</v>
      </c>
      <c r="DC40" s="286">
        <f>'Data-temp_employment'!DC40-last_qrtr_tempemp!DD40</f>
        <v>-9.2000000000000171</v>
      </c>
      <c r="DD40" s="286">
        <f>'Data-temp_employment'!DD40-last_qrtr_tempemp!DE40</f>
        <v>22.800000000000011</v>
      </c>
      <c r="DE40" s="286">
        <f>'Data-temp_employment'!DE40-last_qrtr_tempemp!DF40</f>
        <v>17.699999999999989</v>
      </c>
      <c r="DF40" s="286">
        <f>'Data-temp_employment'!DF40-last_qrtr_tempemp!DG40</f>
        <v>-9.1999999999999886</v>
      </c>
      <c r="DG40" s="286">
        <f>'Data-temp_employment'!DG40</f>
        <v>139</v>
      </c>
      <c r="DH40" s="285" t="s">
        <v>46</v>
      </c>
      <c r="DI40" s="286">
        <f>'Data-temp_employment'!DI40-last_qrtr_tempemp!DJ40</f>
        <v>11</v>
      </c>
      <c r="DJ40" s="286">
        <f>'Data-temp_employment'!DJ40-last_qrtr_tempemp!DK40</f>
        <v>6</v>
      </c>
      <c r="DK40" s="286">
        <f>'Data-temp_employment'!DK40-last_qrtr_tempemp!DL40</f>
        <v>-8.8000000000000114</v>
      </c>
      <c r="DL40" s="286">
        <f>'Data-temp_employment'!DL40-last_qrtr_tempemp!DM40</f>
        <v>9.4000000000000057</v>
      </c>
      <c r="DM40" s="286">
        <f>'Data-temp_employment'!DM40-last_qrtr_tempemp!DN40</f>
        <v>10.699999999999989</v>
      </c>
      <c r="DN40" s="286">
        <f>'Data-temp_employment'!DN40-last_qrtr_tempemp!DO40</f>
        <v>4.5</v>
      </c>
      <c r="DO40" s="286">
        <f>'Data-temp_employment'!DO40-last_qrtr_tempemp!DP40</f>
        <v>-5.7000000000000171</v>
      </c>
      <c r="DP40" s="286">
        <f>'Data-temp_employment'!DP40-last_qrtr_tempemp!DQ40</f>
        <v>-16.300000000000011</v>
      </c>
      <c r="DQ40" s="286">
        <f>'Data-temp_employment'!DQ40-last_qrtr_tempemp!DR40</f>
        <v>9.9999999999994316E-2</v>
      </c>
      <c r="DR40" s="286">
        <f>'Data-temp_employment'!DR40</f>
        <v>160.19999999999999</v>
      </c>
      <c r="DS40" s="285" t="s">
        <v>46</v>
      </c>
      <c r="DT40" s="286">
        <f>'Data-temp_employment'!DT40-last_qrtr_tempemp!DU40</f>
        <v>0</v>
      </c>
      <c r="DU40" s="286">
        <f>'Data-temp_employment'!DU40-last_qrtr_tempemp!DV40</f>
        <v>0</v>
      </c>
      <c r="DV40" s="286">
        <f>'Data-temp_employment'!DV40-last_qrtr_tempemp!DW40</f>
        <v>-1.6</v>
      </c>
      <c r="DW40" s="286">
        <f>'Data-temp_employment'!DW40-last_qrtr_tempemp!DX40</f>
        <v>-3.6</v>
      </c>
      <c r="DX40" s="286">
        <f>'Data-temp_employment'!DX40-last_qrtr_tempemp!DY40</f>
        <v>0</v>
      </c>
      <c r="DY40" s="286">
        <f>'Data-temp_employment'!DY40-last_qrtr_tempemp!DZ40</f>
        <v>0</v>
      </c>
      <c r="DZ40" s="286">
        <f>'Data-temp_employment'!DZ40-last_qrtr_tempemp!EA40</f>
        <v>0</v>
      </c>
      <c r="EA40" s="286">
        <f>'Data-temp_employment'!EA40-last_qrtr_tempemp!EB40</f>
        <v>0</v>
      </c>
      <c r="EB40" s="286">
        <f>'Data-temp_employment'!EB40-last_qrtr_tempemp!EC40</f>
        <v>0</v>
      </c>
      <c r="EC40" s="286">
        <f>'Data-temp_employment'!EC40</f>
        <v>0</v>
      </c>
      <c r="ED40" s="279" t="s">
        <v>46</v>
      </c>
      <c r="EE40" s="286">
        <f>'Data-temp_employment'!EE40-last_qrtr_tempemp!EF40</f>
        <v>0.19999999999999929</v>
      </c>
      <c r="EF40" s="286">
        <f>'Data-temp_employment'!EF40-last_qrtr_tempemp!EG40</f>
        <v>-3.5999999999999996</v>
      </c>
      <c r="EG40" s="286">
        <f>'Data-temp_employment'!EG40-last_qrtr_tempemp!EH40</f>
        <v>-3.8000000000000007</v>
      </c>
      <c r="EH40" s="286">
        <f>'Data-temp_employment'!EH40-last_qrtr_tempemp!EI40</f>
        <v>-1.6999999999999993</v>
      </c>
      <c r="EI40" s="286">
        <f>'Data-temp_employment'!EI40-last_qrtr_tempemp!EJ40</f>
        <v>4</v>
      </c>
      <c r="EJ40" s="286">
        <f>'Data-temp_employment'!EJ40-last_qrtr_tempemp!EK40</f>
        <v>1.9000000000000004</v>
      </c>
      <c r="EK40" s="286">
        <f>'Data-temp_employment'!EK40-last_qrtr_tempemp!EL40</f>
        <v>3.7999999999999989</v>
      </c>
      <c r="EL40" s="286">
        <f>'Data-temp_employment'!EL40-last_qrtr_tempemp!EM40</f>
        <v>-9.9999999999999645E-2</v>
      </c>
      <c r="EM40" s="286">
        <f>'Data-temp_employment'!EM40-last_qrtr_tempemp!EN40</f>
        <v>2.1999999999999993</v>
      </c>
      <c r="EN40" s="286">
        <f>'Data-temp_employment'!EN40</f>
        <v>15.5</v>
      </c>
      <c r="EO40" s="279" t="s">
        <v>46</v>
      </c>
      <c r="EP40" s="286">
        <f>'Data-temp_employment'!EP40-last_qrtr_tempemp!EQ40</f>
        <v>-7.8000000000000114</v>
      </c>
      <c r="EQ40" s="286">
        <f>'Data-temp_employment'!EQ40-last_qrtr_tempemp!ER40</f>
        <v>17.299999999999983</v>
      </c>
      <c r="ER40" s="286">
        <f>'Data-temp_employment'!ER40-last_qrtr_tempemp!ES40</f>
        <v>-12.599999999999994</v>
      </c>
      <c r="ES40" s="286">
        <f>'Data-temp_employment'!ES40-last_qrtr_tempemp!ET40</f>
        <v>8.7000000000000171</v>
      </c>
      <c r="ET40" s="286">
        <f>'Data-temp_employment'!ET40-last_qrtr_tempemp!EU40</f>
        <v>-11</v>
      </c>
      <c r="EU40" s="286">
        <f>'Data-temp_employment'!EU40-last_qrtr_tempemp!EV40</f>
        <v>0.19999999999998863</v>
      </c>
      <c r="EV40" s="286">
        <f>'Data-temp_employment'!EV40-last_qrtr_tempemp!EW40</f>
        <v>-25.200000000000017</v>
      </c>
      <c r="EW40" s="286">
        <f>'Data-temp_employment'!EW40-last_qrtr_tempemp!EX40</f>
        <v>-3.5999999999999943</v>
      </c>
      <c r="EX40" s="286">
        <f>'Data-temp_employment'!EX40-last_qrtr_tempemp!EY40</f>
        <v>-3.1999999999999886</v>
      </c>
      <c r="EY40" s="286">
        <f>'Data-temp_employment'!EY40</f>
        <v>153.9</v>
      </c>
      <c r="EZ40" s="279" t="s">
        <v>46</v>
      </c>
      <c r="FA40" s="286">
        <f>'Data-temp_employment'!FA40-last_qrtr_tempemp!FB40</f>
        <v>25.099999999999994</v>
      </c>
      <c r="FB40" s="286">
        <f>'Data-temp_employment'!FB40-last_qrtr_tempemp!FC40</f>
        <v>8.2000000000000028</v>
      </c>
      <c r="FC40" s="286">
        <f>'Data-temp_employment'!FC40-last_qrtr_tempemp!FD40</f>
        <v>-12.800000000000011</v>
      </c>
      <c r="FD40" s="286">
        <f>'Data-temp_employment'!FD40-last_qrtr_tempemp!FE40</f>
        <v>-14</v>
      </c>
      <c r="FE40" s="286">
        <f>'Data-temp_employment'!FE40-last_qrtr_tempemp!FF40</f>
        <v>9.9000000000000057</v>
      </c>
      <c r="FF40" s="286">
        <f>'Data-temp_employment'!FF40-last_qrtr_tempemp!FG40</f>
        <v>15.600000000000009</v>
      </c>
      <c r="FG40" s="286">
        <f>'Data-temp_employment'!FG40-last_qrtr_tempemp!FH40</f>
        <v>6.0999999999999943</v>
      </c>
      <c r="FH40" s="286">
        <f>'Data-temp_employment'!FH40-last_qrtr_tempemp!FI40</f>
        <v>1.0999999999999943</v>
      </c>
      <c r="FI40" s="286">
        <f>'Data-temp_employment'!FI40-last_qrtr_tempemp!FJ40</f>
        <v>-2.5</v>
      </c>
      <c r="FJ40" s="286">
        <f>'Data-temp_employment'!FJ40</f>
        <v>77.8</v>
      </c>
      <c r="FK40" s="279" t="s">
        <v>46</v>
      </c>
      <c r="FL40" s="286">
        <f>'Data-temp_employment'!FL40-last_qrtr_tempemp!FM40</f>
        <v>-13.399999999999999</v>
      </c>
      <c r="FM40" s="286">
        <f>'Data-temp_employment'!FM40-last_qrtr_tempemp!FN40</f>
        <v>-7.1000000000000014</v>
      </c>
      <c r="FN40" s="286">
        <f>'Data-temp_employment'!FN40-last_qrtr_tempemp!FO40</f>
        <v>-4</v>
      </c>
      <c r="FO40" s="286">
        <f>'Data-temp_employment'!FO40-last_qrtr_tempemp!FP40</f>
        <v>6</v>
      </c>
      <c r="FP40" s="286">
        <f>'Data-temp_employment'!FP40-last_qrtr_tempemp!FQ40</f>
        <v>3.8999999999999986</v>
      </c>
      <c r="FQ40" s="286">
        <f>'Data-temp_employment'!FQ40-last_qrtr_tempemp!FR40</f>
        <v>6.5</v>
      </c>
      <c r="FR40" s="286">
        <f>'Data-temp_employment'!FR40-last_qrtr_tempemp!FS40</f>
        <v>7.1000000000000014</v>
      </c>
      <c r="FS40" s="286">
        <f>'Data-temp_employment'!FS40-last_qrtr_tempemp!FT40</f>
        <v>0.29999999999999716</v>
      </c>
      <c r="FT40" s="286">
        <f>'Data-temp_employment'!FT40-last_qrtr_tempemp!FU40</f>
        <v>-5.0999999999999943</v>
      </c>
      <c r="FU40" s="286">
        <f>'Data-temp_employment'!FU40</f>
        <v>47.5</v>
      </c>
      <c r="FV40" s="279" t="s">
        <v>46</v>
      </c>
      <c r="FW40" s="286">
        <f>'Data-temp_employment'!FW40-last_qrtr_tempemp!FX40</f>
        <v>14.799999999999997</v>
      </c>
      <c r="FX40" s="286">
        <f>'Data-temp_employment'!FX40-last_qrtr_tempemp!FY40</f>
        <v>-5.2999999999999972</v>
      </c>
      <c r="FY40" s="286">
        <f>'Data-temp_employment'!FY40-last_qrtr_tempemp!FZ40</f>
        <v>6.2999999999999972</v>
      </c>
      <c r="FZ40" s="286">
        <f>'Data-temp_employment'!FZ40-last_qrtr_tempemp!GA40</f>
        <v>-8.7999999999999972</v>
      </c>
      <c r="GA40" s="286">
        <f>'Data-temp_employment'!GA40-last_qrtr_tempemp!GB40</f>
        <v>-17.600000000000009</v>
      </c>
      <c r="GB40" s="286">
        <f>'Data-temp_employment'!GB40-last_qrtr_tempemp!GC40</f>
        <v>-2</v>
      </c>
      <c r="GC40" s="286">
        <f>'Data-temp_employment'!GC40-last_qrtr_tempemp!GD40</f>
        <v>13.400000000000006</v>
      </c>
      <c r="GD40" s="286">
        <f>'Data-temp_employment'!GD40-last_qrtr_tempemp!GE40</f>
        <v>19.400000000000006</v>
      </c>
      <c r="GE40" s="286">
        <f>'Data-temp_employment'!GE40-last_qrtr_tempemp!GF40</f>
        <v>1.2999999999999972</v>
      </c>
      <c r="GF40" s="286">
        <f>'Data-temp_employment'!GF40</f>
        <v>89.5</v>
      </c>
      <c r="GG40" s="279" t="s">
        <v>46</v>
      </c>
      <c r="GH40" s="286">
        <f>'Data-temp_employment'!GH40-last_qrtr_tempemp!GI40</f>
        <v>1</v>
      </c>
      <c r="GI40" s="286">
        <f>'Data-temp_employment'!GI40-last_qrtr_tempemp!GJ40</f>
        <v>2.4000000000000004</v>
      </c>
      <c r="GJ40" s="286">
        <f>'Data-temp_employment'!GJ40-last_qrtr_tempemp!GK40</f>
        <v>-9.9999999999999645E-2</v>
      </c>
      <c r="GK40" s="286">
        <f>'Data-temp_employment'!GK40-last_qrtr_tempemp!GL40</f>
        <v>-2.2000000000000011</v>
      </c>
      <c r="GL40" s="286">
        <f>'Data-temp_employment'!GL40-last_qrtr_tempemp!GM40</f>
        <v>-3.5999999999999996</v>
      </c>
      <c r="GM40" s="286">
        <f>'Data-temp_employment'!GM40-last_qrtr_tempemp!GN40</f>
        <v>-9.9999999999999645E-2</v>
      </c>
      <c r="GN40" s="286">
        <f>'Data-temp_employment'!GN40-last_qrtr_tempemp!GO40</f>
        <v>0.59999999999999964</v>
      </c>
      <c r="GO40" s="286">
        <f>'Data-temp_employment'!GO40-last_qrtr_tempemp!GP40</f>
        <v>-0.30000000000000071</v>
      </c>
      <c r="GP40" s="286">
        <f>'Data-temp_employment'!GP40-last_qrtr_tempemp!GQ40</f>
        <v>-4.2</v>
      </c>
      <c r="GQ40" s="286">
        <f>'Data-temp_employment'!GQ40</f>
        <v>9.9</v>
      </c>
      <c r="GR40" s="279" t="s">
        <v>46</v>
      </c>
      <c r="GS40" s="286">
        <f>'Data-temp_employment'!GS40-last_qrtr_tempemp!GT40</f>
        <v>-22.899999999999991</v>
      </c>
      <c r="GT40" s="286">
        <f>'Data-temp_employment'!GT40-last_qrtr_tempemp!GU40</f>
        <v>-8.5</v>
      </c>
      <c r="GU40" s="286">
        <f>'Data-temp_employment'!GU40-last_qrtr_tempemp!GV40</f>
        <v>-1.5</v>
      </c>
      <c r="GV40" s="286">
        <f>'Data-temp_employment'!GV40-last_qrtr_tempemp!GW40</f>
        <v>24.699999999999989</v>
      </c>
      <c r="GW40" s="286">
        <f>'Data-temp_employment'!GW40-last_qrtr_tempemp!GX40</f>
        <v>0.79999999999999716</v>
      </c>
      <c r="GX40" s="286">
        <f>'Data-temp_employment'!GX40-last_qrtr_tempemp!GY40</f>
        <v>-4.6000000000000085</v>
      </c>
      <c r="GY40" s="286">
        <f>'Data-temp_employment'!GY40-last_qrtr_tempemp!GZ40</f>
        <v>-16.5</v>
      </c>
      <c r="GZ40" s="286">
        <f>'Data-temp_employment'!GZ40-last_qrtr_tempemp!HA40</f>
        <v>2.9000000000000057</v>
      </c>
      <c r="HA40" s="286">
        <f>'Data-temp_employment'!HA40-last_qrtr_tempemp!HB40</f>
        <v>1.5</v>
      </c>
      <c r="HB40" s="286">
        <f>'Data-temp_employment'!HB40</f>
        <v>87.9</v>
      </c>
      <c r="HC40" s="279" t="s">
        <v>46</v>
      </c>
      <c r="HD40" s="286">
        <f>'Data-temp_employment'!HD40-last_qrtr_tempemp!HE40</f>
        <v>1.0999999999999996</v>
      </c>
      <c r="HE40" s="286">
        <f>'Data-temp_employment'!HE40-last_qrtr_tempemp!HF40</f>
        <v>-3.0000000000000009</v>
      </c>
      <c r="HF40" s="286">
        <f>'Data-temp_employment'!HF40-last_qrtr_tempemp!HG40</f>
        <v>-2.3999999999999995</v>
      </c>
      <c r="HG40" s="286">
        <f>'Data-temp_employment'!HG40-last_qrtr_tempemp!HH40</f>
        <v>2.2000000000000011</v>
      </c>
      <c r="HH40" s="286">
        <f>'Data-temp_employment'!HH40-last_qrtr_tempemp!HI40</f>
        <v>5.3999999999999995</v>
      </c>
      <c r="HI40" s="286">
        <f>'Data-temp_employment'!HI40-last_qrtr_tempemp!HJ40</f>
        <v>8.3000000000000007</v>
      </c>
      <c r="HJ40" s="286">
        <f>'Data-temp_employment'!HJ40-last_qrtr_tempemp!HK40</f>
        <v>5.1999999999999993</v>
      </c>
      <c r="HK40" s="286">
        <f>'Data-temp_employment'!HK40-last_qrtr_tempemp!HL40</f>
        <v>-0.5</v>
      </c>
      <c r="HL40" s="286">
        <f>'Data-temp_employment'!HL40-last_qrtr_tempemp!HM40</f>
        <v>-0.90000000000000036</v>
      </c>
      <c r="HM40" s="286">
        <f>'Data-temp_employment'!HM40</f>
        <v>10.4</v>
      </c>
      <c r="HN40" s="279" t="s">
        <v>46</v>
      </c>
      <c r="HO40" s="286">
        <f>'Data-temp_employment'!HO40-last_qrtr_tempemp!HP40</f>
        <v>-2</v>
      </c>
      <c r="HP40" s="286">
        <f>'Data-temp_employment'!HP40-last_qrtr_tempemp!HQ40</f>
        <v>-3.8999999999999986</v>
      </c>
      <c r="HQ40" s="286">
        <f>'Data-temp_employment'!HQ40-last_qrtr_tempemp!HR40</f>
        <v>-2.4000000000000021</v>
      </c>
      <c r="HR40" s="286">
        <f>'Data-temp_employment'!HR40-last_qrtr_tempemp!HS40</f>
        <v>-1.2999999999999989</v>
      </c>
      <c r="HS40" s="286">
        <f>'Data-temp_employment'!HS40-last_qrtr_tempemp!HT40</f>
        <v>0</v>
      </c>
      <c r="HT40" s="286">
        <f>'Data-temp_employment'!HT40-last_qrtr_tempemp!HU40</f>
        <v>-4</v>
      </c>
      <c r="HU40" s="286">
        <f>'Data-temp_employment'!HU40-last_qrtr_tempemp!HV40</f>
        <v>1.6999999999999993</v>
      </c>
      <c r="HV40" s="286">
        <f>'Data-temp_employment'!HV40-last_qrtr_tempemp!HW40</f>
        <v>-1.7000000000000011</v>
      </c>
      <c r="HW40" s="286">
        <f>'Data-temp_employment'!HW40-last_qrtr_tempemp!HX40</f>
        <v>0</v>
      </c>
      <c r="HX40" s="286">
        <f>'Data-temp_employment'!HX40</f>
        <v>14</v>
      </c>
      <c r="HY40" s="279" t="s">
        <v>46</v>
      </c>
      <c r="HZ40" s="286">
        <f>'Data-temp_employment'!HZ40-last_qrtr_tempemp!IA40</f>
        <v>0</v>
      </c>
      <c r="IA40" s="286">
        <f>'Data-temp_employment'!IA40-last_qrtr_tempemp!IB40</f>
        <v>0</v>
      </c>
      <c r="IB40" s="286">
        <f>'Data-temp_employment'!IB40-last_qrtr_tempemp!IC40</f>
        <v>0</v>
      </c>
      <c r="IC40" s="286">
        <f>'Data-temp_employment'!IC40-last_qrtr_tempemp!ID40</f>
        <v>0</v>
      </c>
      <c r="ID40" s="286">
        <f>'Data-temp_employment'!ID40-last_qrtr_tempemp!IE40</f>
        <v>0</v>
      </c>
      <c r="IE40" s="286">
        <f>'Data-temp_employment'!IE40-last_qrtr_tempemp!IF40</f>
        <v>0</v>
      </c>
      <c r="IF40" s="286">
        <f>'Data-temp_employment'!IF40-last_qrtr_tempemp!IG40</f>
        <v>0</v>
      </c>
      <c r="IG40" s="286">
        <f>'Data-temp_employment'!IG40-last_qrtr_tempemp!IH40</f>
        <v>0</v>
      </c>
      <c r="IH40" s="286">
        <f>'Data-temp_employment'!IH40-last_qrtr_tempemp!II40</f>
        <v>0</v>
      </c>
      <c r="II40" s="286">
        <f>'Data-temp_employment'!II40</f>
        <v>0</v>
      </c>
      <c r="IJ40" s="279" t="s">
        <v>46</v>
      </c>
      <c r="IK40" s="286">
        <f>'Data-temp_employment'!IK40-last_qrtr_tempemp!IL40</f>
        <v>-1.1999999999999993</v>
      </c>
      <c r="IL40" s="286">
        <f>'Data-temp_employment'!IL40-last_qrtr_tempemp!IM40</f>
        <v>-1.5</v>
      </c>
      <c r="IM40" s="286">
        <f>'Data-temp_employment'!IM40-last_qrtr_tempemp!IN40</f>
        <v>-3.1000000000000005</v>
      </c>
      <c r="IN40" s="286">
        <f>'Data-temp_employment'!IN40-last_qrtr_tempemp!IO40</f>
        <v>-1.2000000000000002</v>
      </c>
      <c r="IO40" s="286">
        <f>'Data-temp_employment'!IO40-last_qrtr_tempemp!IP40</f>
        <v>1.0999999999999996</v>
      </c>
      <c r="IP40" s="286">
        <f>'Data-temp_employment'!IP40-last_qrtr_tempemp!IQ40</f>
        <v>0.60000000000000009</v>
      </c>
      <c r="IQ40" s="286">
        <f>'Data-temp_employment'!IQ40-last_qrtr_tempemp!IR40</f>
        <v>2.2000000000000002</v>
      </c>
      <c r="IR40" s="286">
        <f>'Data-temp_employment'!IR40-last_qrtr_tempemp!IS40</f>
        <v>0.5</v>
      </c>
      <c r="IS40" s="286">
        <f>'Data-temp_employment'!IS40-last_qrtr_tempemp!IT40</f>
        <v>1.9</v>
      </c>
      <c r="IT40" s="286">
        <f>'Data-temp_employment'!IT40</f>
        <v>7.2</v>
      </c>
      <c r="IU40" s="279" t="s">
        <v>46</v>
      </c>
      <c r="IV40" s="286">
        <f>'Data-temp_employment'!IV40-last_qrtr_tempemp!IW40</f>
        <v>2.5999999999999996</v>
      </c>
      <c r="IW40" s="286">
        <f>'Data-temp_employment'!IW40-last_qrtr_tempemp!IX40</f>
        <v>3.1999999999999993</v>
      </c>
      <c r="IX40" s="286">
        <f>'Data-temp_employment'!IX40-last_qrtr_tempemp!IY40</f>
        <v>-3.5999999999999996</v>
      </c>
      <c r="IY40" s="286">
        <f>'Data-temp_employment'!IY40-last_qrtr_tempemp!IZ40</f>
        <v>-3.7999999999999989</v>
      </c>
      <c r="IZ40" s="286">
        <f>'Data-temp_employment'!IZ40-last_qrtr_tempemp!JA40</f>
        <v>-4.2999999999999989</v>
      </c>
      <c r="JA40" s="286">
        <f>'Data-temp_employment'!JA40-last_qrtr_tempemp!JB40</f>
        <v>0.79999999999999893</v>
      </c>
      <c r="JB40" s="286">
        <f>'Data-temp_employment'!JB40-last_qrtr_tempemp!JC40</f>
        <v>1.2999999999999989</v>
      </c>
      <c r="JC40" s="286">
        <f>'Data-temp_employment'!JC40-last_qrtr_tempemp!JD40</f>
        <v>-1.9000000000000004</v>
      </c>
      <c r="JD40" s="286">
        <f>'Data-temp_employment'!JD40-last_qrtr_tempemp!JE40</f>
        <v>-1.6999999999999993</v>
      </c>
      <c r="JE40" s="286">
        <f>'Data-temp_employment'!JE40</f>
        <v>11.1</v>
      </c>
      <c r="JF40" s="279" t="s">
        <v>46</v>
      </c>
      <c r="JG40" s="286">
        <f>'Data-temp_employment'!JG40-last_qrtr_tempemp!JH40</f>
        <v>7.8000000000000043</v>
      </c>
      <c r="JH40" s="286">
        <f>'Data-temp_employment'!JH40-last_qrtr_tempemp!JI40</f>
        <v>3.7999999999999972</v>
      </c>
      <c r="JI40" s="286">
        <f>'Data-temp_employment'!JI40-last_qrtr_tempemp!JJ40</f>
        <v>0.10000000000000142</v>
      </c>
      <c r="JJ40" s="286">
        <f>'Data-temp_employment'!JJ40-last_qrtr_tempemp!JK40</f>
        <v>-2.1000000000000014</v>
      </c>
      <c r="JK40" s="286">
        <f>'Data-temp_employment'!JK40-last_qrtr_tempemp!JL40</f>
        <v>4.1000000000000014</v>
      </c>
      <c r="JL40" s="286">
        <f>'Data-temp_employment'!JL40-last_qrtr_tempemp!JM40</f>
        <v>9.6999999999999957</v>
      </c>
      <c r="JM40" s="286">
        <f>'Data-temp_employment'!JM40-last_qrtr_tempemp!JN40</f>
        <v>7</v>
      </c>
      <c r="JN40" s="286">
        <f>'Data-temp_employment'!JN40-last_qrtr_tempemp!JO40</f>
        <v>4.2999999999999972</v>
      </c>
      <c r="JO40" s="286">
        <f>'Data-temp_employment'!JO40-last_qrtr_tempemp!JP40</f>
        <v>1</v>
      </c>
      <c r="JP40" s="286">
        <f>'Data-temp_employment'!JP40</f>
        <v>56</v>
      </c>
      <c r="JQ40" s="279" t="s">
        <v>46</v>
      </c>
      <c r="JR40" s="286">
        <f>'Data-temp_employment'!JR40-last_qrtr_tempemp!JS40</f>
        <v>-2.7999999999999972</v>
      </c>
      <c r="JS40" s="286">
        <f>'Data-temp_employment'!JS40-last_qrtr_tempemp!JT40</f>
        <v>-1.8000000000000043</v>
      </c>
      <c r="JT40" s="286">
        <f>'Data-temp_employment'!JT40-last_qrtr_tempemp!JU40</f>
        <v>2.8999999999999986</v>
      </c>
      <c r="JU40" s="286">
        <f>'Data-temp_employment'!JU40-last_qrtr_tempemp!JV40</f>
        <v>16.899999999999999</v>
      </c>
      <c r="JV40" s="286">
        <f>'Data-temp_employment'!JV40-last_qrtr_tempemp!JW40</f>
        <v>-5.1999999999999957</v>
      </c>
      <c r="JW40" s="286">
        <f>'Data-temp_employment'!JW40-last_qrtr_tempemp!JX40</f>
        <v>-2.7999999999999972</v>
      </c>
      <c r="JX40" s="286">
        <f>'Data-temp_employment'!JX40-last_qrtr_tempemp!JY40</f>
        <v>-12.299999999999997</v>
      </c>
      <c r="JY40" s="286">
        <f>'Data-temp_employment'!JY40-last_qrtr_tempemp!JZ40</f>
        <v>3.7999999999999972</v>
      </c>
      <c r="JZ40" s="286">
        <f>'Data-temp_employment'!JZ40-last_qrtr_tempemp!KA40</f>
        <v>-6.3999999999999986</v>
      </c>
      <c r="KA40" s="286">
        <f>'Data-temp_employment'!KA40</f>
        <v>36.1</v>
      </c>
      <c r="KB40" s="279" t="s">
        <v>46</v>
      </c>
      <c r="KC40" s="286">
        <f>'Data-temp_employment'!KC40-last_qrtr_tempemp!KD40</f>
        <v>-6.3000000000000043</v>
      </c>
      <c r="KD40" s="286">
        <f>'Data-temp_employment'!KD40-last_qrtr_tempemp!KE40</f>
        <v>0.79999999999999716</v>
      </c>
      <c r="KE40" s="286">
        <f>'Data-temp_employment'!KE40-last_qrtr_tempemp!KF40</f>
        <v>1.6999999999999957</v>
      </c>
      <c r="KF40" s="286">
        <f>'Data-temp_employment'!KF40-last_qrtr_tempemp!KG40</f>
        <v>1.6000000000000014</v>
      </c>
      <c r="KG40" s="286">
        <f>'Data-temp_employment'!KG40-last_qrtr_tempemp!KH40</f>
        <v>-5.7999999999999972</v>
      </c>
      <c r="KH40" s="286">
        <f>'Data-temp_employment'!KH40-last_qrtr_tempemp!KI40</f>
        <v>-3.2999999999999972</v>
      </c>
      <c r="KI40" s="286">
        <f>'Data-temp_employment'!KI40-last_qrtr_tempemp!KJ40</f>
        <v>1.3999999999999986</v>
      </c>
      <c r="KJ40" s="286">
        <f>'Data-temp_employment'!KJ40-last_qrtr_tempemp!KK40</f>
        <v>5.2999999999999972</v>
      </c>
      <c r="KK40" s="286">
        <f>'Data-temp_employment'!KK40-last_qrtr_tempemp!KL40</f>
        <v>-1.7000000000000028</v>
      </c>
      <c r="KL40" s="286">
        <f>'Data-temp_employment'!KL40</f>
        <v>46.7</v>
      </c>
      <c r="KM40" s="279" t="s">
        <v>46</v>
      </c>
      <c r="KN40" s="286">
        <f>'Data-temp_employment'!KN40-last_qrtr_tempemp!KO40</f>
        <v>-4.8999999999999986</v>
      </c>
      <c r="KO40" s="286">
        <f>'Data-temp_employment'!KO40-last_qrtr_tempemp!KP40</f>
        <v>-2.5999999999999996</v>
      </c>
      <c r="KP40" s="286">
        <f>'Data-temp_employment'!KP40-last_qrtr_tempemp!KQ40</f>
        <v>2.8000000000000007</v>
      </c>
      <c r="KQ40" s="286">
        <f>'Data-temp_employment'!KQ40-last_qrtr_tempemp!KR40</f>
        <v>0.5</v>
      </c>
      <c r="KR40" s="286">
        <f>'Data-temp_employment'!KR40-last_qrtr_tempemp!KS40</f>
        <v>4.7000000000000011</v>
      </c>
      <c r="KS40" s="286">
        <f>'Data-temp_employment'!KS40-last_qrtr_tempemp!KT40</f>
        <v>0</v>
      </c>
      <c r="KT40" s="286">
        <f>'Data-temp_employment'!KT40-last_qrtr_tempemp!KU40</f>
        <v>4.5999999999999979</v>
      </c>
      <c r="KU40" s="286">
        <f>'Data-temp_employment'!KU40-last_qrtr_tempemp!KV40</f>
        <v>-4.6000000000000014</v>
      </c>
      <c r="KV40" s="286">
        <f>'Data-temp_employment'!KV40-last_qrtr_tempemp!KW40</f>
        <v>9.3999999999999986</v>
      </c>
      <c r="KW40" s="286">
        <f>'Data-temp_employment'!KW40</f>
        <v>16.8</v>
      </c>
      <c r="KX40" s="279" t="s">
        <v>46</v>
      </c>
      <c r="KY40" s="286">
        <f>'Data-temp_employment'!KY40-last_qrtr_tempemp!KZ40</f>
        <v>2.3999999999999986</v>
      </c>
      <c r="KZ40" s="286">
        <f>'Data-temp_employment'!KZ40-last_qrtr_tempemp!LA40</f>
        <v>-10.7</v>
      </c>
      <c r="LA40" s="286">
        <f>'Data-temp_employment'!LA40-last_qrtr_tempemp!LB40</f>
        <v>1.1000000000000014</v>
      </c>
      <c r="LB40" s="286">
        <f>'Data-temp_employment'!LB40-last_qrtr_tempemp!LC40</f>
        <v>-4.8000000000000007</v>
      </c>
      <c r="LC40" s="286">
        <f>'Data-temp_employment'!LC40-last_qrtr_tempemp!LD40</f>
        <v>-2</v>
      </c>
      <c r="LD40" s="286">
        <f>'Data-temp_employment'!LD40-last_qrtr_tempemp!LE40</f>
        <v>-3.3000000000000007</v>
      </c>
      <c r="LE40" s="286">
        <f>'Data-temp_employment'!LE40-last_qrtr_tempemp!LF40</f>
        <v>8.5</v>
      </c>
      <c r="LF40" s="286">
        <f>'Data-temp_employment'!LF40-last_qrtr_tempemp!LG40</f>
        <v>4.1999999999999993</v>
      </c>
      <c r="LG40" s="286">
        <f>'Data-temp_employment'!LG40-last_qrtr_tempemp!LH40</f>
        <v>2.5</v>
      </c>
      <c r="LH40" s="286">
        <f>'Data-temp_employment'!LH40</f>
        <v>18.600000000000001</v>
      </c>
      <c r="LI40" s="279" t="s">
        <v>46</v>
      </c>
      <c r="LJ40" s="286">
        <f>'Data-temp_employment'!LJ40-last_qrtr_tempemp!LK40</f>
        <v>-2.5999999999999996</v>
      </c>
      <c r="LK40" s="286">
        <f>'Data-temp_employment'!LK40-last_qrtr_tempemp!LL40</f>
        <v>-0.59999999999999964</v>
      </c>
      <c r="LL40" s="286">
        <f>'Data-temp_employment'!LL40-last_qrtr_tempemp!LM40</f>
        <v>8.1000000000000014</v>
      </c>
      <c r="LM40" s="286">
        <f>'Data-temp_employment'!LM40-last_qrtr_tempemp!LN40</f>
        <v>2.7999999999999989</v>
      </c>
      <c r="LN40" s="286">
        <f>'Data-temp_employment'!LN40-last_qrtr_tempemp!LO40</f>
        <v>-1.0999999999999996</v>
      </c>
      <c r="LO40" s="286">
        <f>'Data-temp_employment'!LO40-last_qrtr_tempemp!LP40</f>
        <v>-6.1000000000000014</v>
      </c>
      <c r="LP40" s="286">
        <f>'Data-temp_employment'!LP40-last_qrtr_tempemp!LQ40</f>
        <v>-0.59999999999999964</v>
      </c>
      <c r="LQ40" s="286">
        <f>'Data-temp_employment'!LQ40-last_qrtr_tempemp!LR40</f>
        <v>3.4000000000000004</v>
      </c>
      <c r="LR40" s="286">
        <f>'Data-temp_employment'!LR40-last_qrtr_tempemp!LS40</f>
        <v>0.5</v>
      </c>
      <c r="LS40" s="286">
        <f>'Data-temp_employment'!LS40</f>
        <v>12.7</v>
      </c>
      <c r="LT40" s="279" t="s">
        <v>46</v>
      </c>
      <c r="LU40" s="286">
        <f>'Data-temp_employment'!LU40-last_qrtr_tempemp!LV40</f>
        <v>-1</v>
      </c>
      <c r="LV40" s="286">
        <f>'Data-temp_employment'!LV40-last_qrtr_tempemp!LW40</f>
        <v>5.1999999999999993</v>
      </c>
      <c r="LW40" s="286">
        <f>'Data-temp_employment'!LW40-last_qrtr_tempemp!LX40</f>
        <v>5.7999999999999972</v>
      </c>
      <c r="LX40" s="286">
        <f>'Data-temp_employment'!LX40-last_qrtr_tempemp!LY40</f>
        <v>1.8999999999999986</v>
      </c>
      <c r="LY40" s="286">
        <f>'Data-temp_employment'!LY40-last_qrtr_tempemp!LZ40</f>
        <v>0.19999999999999929</v>
      </c>
      <c r="LZ40" s="286">
        <f>'Data-temp_employment'!LZ40-last_qrtr_tempemp!MA40</f>
        <v>1.7000000000000028</v>
      </c>
      <c r="MA40" s="286">
        <f>'Data-temp_employment'!MA40-last_qrtr_tempemp!MB40</f>
        <v>2.1999999999999993</v>
      </c>
      <c r="MB40" s="286">
        <f>'Data-temp_employment'!MB40-last_qrtr_tempemp!MC40</f>
        <v>5</v>
      </c>
      <c r="MC40" s="286">
        <f>'Data-temp_employment'!MC40-last_qrtr_tempemp!MD40</f>
        <v>-4.5</v>
      </c>
      <c r="MD40" s="286">
        <f>'Data-temp_employment'!MD40</f>
        <v>17.5</v>
      </c>
      <c r="ME40" s="279" t="s">
        <v>46</v>
      </c>
      <c r="MF40" s="286">
        <f>'Data-temp_employment'!MF40-last_qrtr_tempemp!MG40</f>
        <v>1.7999999999999972</v>
      </c>
      <c r="MG40" s="286">
        <f>'Data-temp_employment'!MG40-last_qrtr_tempemp!MH40</f>
        <v>5.5000000000000036</v>
      </c>
      <c r="MH40" s="286">
        <f>'Data-temp_employment'!MH40-last_qrtr_tempemp!MI40</f>
        <v>-0.80000000000000071</v>
      </c>
      <c r="MI40" s="286">
        <f>'Data-temp_employment'!MI40-last_qrtr_tempemp!MJ40</f>
        <v>-0.79999999999999716</v>
      </c>
      <c r="MJ40" s="286">
        <f>'Data-temp_employment'!MJ40-last_qrtr_tempemp!MK40</f>
        <v>-3.1000000000000014</v>
      </c>
      <c r="MK40" s="286">
        <f>'Data-temp_employment'!MK40-last_qrtr_tempemp!ML40</f>
        <v>-3.0999999999999979</v>
      </c>
      <c r="ML40" s="286">
        <f>'Data-temp_employment'!ML40-last_qrtr_tempemp!MM40</f>
        <v>-1.7000000000000028</v>
      </c>
      <c r="MM40" s="286">
        <f>'Data-temp_employment'!MM40-last_qrtr_tempemp!MN40</f>
        <v>9.3999999999999986</v>
      </c>
      <c r="MN40" s="286">
        <f>'Data-temp_employment'!MN40-last_qrtr_tempemp!MO40</f>
        <v>11.400000000000002</v>
      </c>
      <c r="MO40" s="286">
        <f>'Data-temp_employment'!MO40</f>
        <v>40.4</v>
      </c>
      <c r="MP40" s="279" t="s">
        <v>46</v>
      </c>
      <c r="MQ40" s="286">
        <f>'Data-temp_employment'!MQ40-last_qrtr_tempemp!MR40</f>
        <v>-2.8999999999999986</v>
      </c>
      <c r="MR40" s="286">
        <f>'Data-temp_employment'!MR40-last_qrtr_tempemp!MS40</f>
        <v>-7.5</v>
      </c>
      <c r="MS40" s="286">
        <f>'Data-temp_employment'!MS40-last_qrtr_tempemp!MT40</f>
        <v>-2</v>
      </c>
      <c r="MT40" s="286">
        <f>'Data-temp_employment'!MT40-last_qrtr_tempemp!MU40</f>
        <v>-1.6999999999999993</v>
      </c>
      <c r="MU40" s="286">
        <f>'Data-temp_employment'!MU40-last_qrtr_tempemp!MV40</f>
        <v>-0.80000000000000071</v>
      </c>
      <c r="MV40" s="286">
        <f>'Data-temp_employment'!MV40-last_qrtr_tempemp!MW40</f>
        <v>4.1999999999999993</v>
      </c>
      <c r="MW40" s="286">
        <f>'Data-temp_employment'!MW40-last_qrtr_tempemp!MX40</f>
        <v>6</v>
      </c>
      <c r="MX40" s="286">
        <f>'Data-temp_employment'!MX40-last_qrtr_tempemp!MY40</f>
        <v>1.6999999999999993</v>
      </c>
      <c r="MY40" s="286">
        <f>'Data-temp_employment'!MY40-last_qrtr_tempemp!MZ40</f>
        <v>-10</v>
      </c>
      <c r="MZ40" s="286">
        <f>'Data-temp_employment'!MZ40</f>
        <v>14.8</v>
      </c>
      <c r="NA40" s="279" t="s">
        <v>46</v>
      </c>
      <c r="NB40" s="286">
        <f>'Data-temp_employment'!NB40-last_qrtr_tempemp!NC40</f>
        <v>-8.8000000000000007</v>
      </c>
      <c r="NC40" s="286">
        <f>'Data-temp_employment'!NC40-last_qrtr_tempemp!ND40</f>
        <v>2.2000000000000028</v>
      </c>
      <c r="ND40" s="286">
        <f>'Data-temp_employment'!ND40-last_qrtr_tempemp!NE40</f>
        <v>0.19999999999999929</v>
      </c>
      <c r="NE40" s="286">
        <f>'Data-temp_employment'!NE40-last_qrtr_tempemp!NF40</f>
        <v>7.2000000000000028</v>
      </c>
      <c r="NF40" s="286">
        <f>'Data-temp_employment'!NF40-last_qrtr_tempemp!NG40</f>
        <v>-7</v>
      </c>
      <c r="NG40" s="286">
        <f>'Data-temp_employment'!NG40-last_qrtr_tempemp!NH40</f>
        <v>-4.5999999999999979</v>
      </c>
      <c r="NH40" s="286">
        <f>'Data-temp_employment'!NH40-last_qrtr_tempemp!NI40</f>
        <v>-6.6000000000000014</v>
      </c>
      <c r="NI40" s="286">
        <f>'Data-temp_employment'!NI40-last_qrtr_tempemp!NJ40</f>
        <v>2.1999999999999993</v>
      </c>
      <c r="NJ40" s="286">
        <f>'Data-temp_employment'!NJ40-last_qrtr_tempemp!NK40</f>
        <v>2.3000000000000007</v>
      </c>
      <c r="NK40" s="286">
        <f>'Data-temp_employment'!NK40</f>
        <v>23.7</v>
      </c>
      <c r="NL40" s="279" t="s">
        <v>46</v>
      </c>
      <c r="NM40" s="286">
        <f>'Data-temp_employment'!NM40-last_qrtr_tempemp!NN40</f>
        <v>11</v>
      </c>
      <c r="NN40" s="286">
        <f>'Data-temp_employment'!NN40-last_qrtr_tempemp!NO40</f>
        <v>9.5</v>
      </c>
      <c r="NO40" s="286">
        <f>'Data-temp_employment'!NO40-last_qrtr_tempemp!NP40</f>
        <v>-16.5</v>
      </c>
      <c r="NP40" s="286">
        <f>'Data-temp_employment'!NP40-last_qrtr_tempemp!NQ40</f>
        <v>-1.6000000000000085</v>
      </c>
      <c r="NQ40" s="286">
        <f>'Data-temp_employment'!NQ40-last_qrtr_tempemp!NR40</f>
        <v>0.90000000000000568</v>
      </c>
      <c r="NR40" s="286">
        <f>'Data-temp_employment'!NR40-last_qrtr_tempemp!NS40</f>
        <v>14.200000000000003</v>
      </c>
      <c r="NS40" s="286">
        <f>'Data-temp_employment'!NS40-last_qrtr_tempemp!NT40</f>
        <v>-15.399999999999991</v>
      </c>
      <c r="NT40" s="286">
        <f>'Data-temp_employment'!NT40-last_qrtr_tempemp!NU40</f>
        <v>-12.400000000000006</v>
      </c>
      <c r="NU40" s="286">
        <f>'Data-temp_employment'!NU40-last_qrtr_tempemp!NV40</f>
        <v>-10.700000000000003</v>
      </c>
      <c r="NV40" s="286">
        <f>'Data-temp_employment'!NV40</f>
        <v>89.8</v>
      </c>
      <c r="NW40" s="279" t="s">
        <v>46</v>
      </c>
      <c r="NX40" s="286">
        <f>'Data-temp_employment'!NX40-last_qrtr_tempemp!NY40</f>
        <v>-2.5999999999999943</v>
      </c>
      <c r="NY40" s="286">
        <f>'Data-temp_employment'!NY40-last_qrtr_tempemp!NZ40</f>
        <v>-16.399999999999991</v>
      </c>
      <c r="NZ40" s="286">
        <f>'Data-temp_employment'!NZ40-last_qrtr_tempemp!OA40</f>
        <v>-27.800000000000011</v>
      </c>
      <c r="OA40" s="286">
        <f>'Data-temp_employment'!OA40-last_qrtr_tempemp!OB40</f>
        <v>1.3999999999999915</v>
      </c>
      <c r="OB40" s="286">
        <f>'Data-temp_employment'!OB40-last_qrtr_tempemp!OC40</f>
        <v>24.299999999999997</v>
      </c>
      <c r="OC40" s="286">
        <f>'Data-temp_employment'!OC40-last_qrtr_tempemp!OD40</f>
        <v>16.800000000000011</v>
      </c>
      <c r="OD40" s="286">
        <f>'Data-temp_employment'!OD40-last_qrtr_tempemp!OE40</f>
        <v>2.4000000000000057</v>
      </c>
      <c r="OE40" s="286">
        <f>'Data-temp_employment'!OE40-last_qrtr_tempemp!OF40</f>
        <v>-9</v>
      </c>
      <c r="OF40" s="286">
        <f>'Data-temp_employment'!OF40-last_qrtr_tempemp!OG40</f>
        <v>-4.9000000000000057</v>
      </c>
      <c r="OG40" s="286">
        <f>'Data-temp_employment'!OG40</f>
        <v>85.1</v>
      </c>
      <c r="OH40" s="287" t="s">
        <v>46</v>
      </c>
      <c r="OI40" s="286"/>
      <c r="OJ40" s="286"/>
      <c r="OK40" s="286"/>
      <c r="OL40" s="286"/>
      <c r="OM40" s="286"/>
      <c r="ON40" s="286"/>
      <c r="OO40" s="286"/>
      <c r="OP40" s="286"/>
      <c r="OQ40" s="286"/>
      <c r="OR40" s="286"/>
      <c r="OS40" s="279" t="s">
        <v>46</v>
      </c>
      <c r="OT40" s="286" t="e">
        <f>'Data-temp_employment'!#REF!-last_qrtr_tempemp!OU40</f>
        <v>#REF!</v>
      </c>
      <c r="OU40" s="286">
        <f>'Data-temp_employment'!OT39-last_qrtr_tempemp!OV40</f>
        <v>-0.4</v>
      </c>
      <c r="OV40" s="286">
        <f>'Data-temp_employment'!OU39-last_qrtr_tempemp!OW40</f>
        <v>-0.39999999999999997</v>
      </c>
      <c r="OW40" s="286">
        <f>'Data-temp_employment'!OV39-last_qrtr_tempemp!OX40</f>
        <v>0.39999999999999997</v>
      </c>
      <c r="OX40" s="286">
        <f>'Data-temp_employment'!OW39-last_qrtr_tempemp!OY40</f>
        <v>0</v>
      </c>
      <c r="OY40" s="286">
        <f>'Data-temp_employment'!OX39-last_qrtr_tempemp!OZ40</f>
        <v>-0.2</v>
      </c>
      <c r="OZ40" s="286">
        <f>'Data-temp_employment'!OY39-last_qrtr_tempemp!PA40</f>
        <v>0.6</v>
      </c>
      <c r="PA40" s="286">
        <f>'Data-temp_employment'!OZ39-last_qrtr_tempemp!PB40</f>
        <v>0.39999999999999997</v>
      </c>
      <c r="PB40" s="286">
        <f>'Data-temp_employment'!PA39-last_qrtr_tempemp!PC40</f>
        <v>0.3</v>
      </c>
      <c r="PC40" s="286">
        <f>'Data-temp_employment'!PB39</f>
        <v>0.8</v>
      </c>
      <c r="PE40" s="319"/>
      <c r="PF40" s="319"/>
      <c r="PG40" s="319"/>
      <c r="PH40" s="319"/>
      <c r="PI40" s="319"/>
      <c r="PJ40" s="319"/>
      <c r="PK40" s="319"/>
      <c r="PL40" s="319"/>
      <c r="PM40" s="319"/>
      <c r="PN40" s="319"/>
      <c r="PO40" s="319"/>
      <c r="PP40" s="319"/>
      <c r="PQ40" s="319"/>
      <c r="PR40" s="319"/>
      <c r="PS40" s="319"/>
      <c r="PT40" s="319"/>
      <c r="PU40" s="319"/>
      <c r="PV40" s="319"/>
      <c r="PW40" s="319"/>
      <c r="PX40" s="319"/>
      <c r="PY40" s="319"/>
      <c r="PZ40" s="319"/>
      <c r="QA40" s="319"/>
      <c r="QB40" s="319"/>
      <c r="QC40" s="319"/>
      <c r="QD40" s="319"/>
      <c r="QE40" s="319"/>
      <c r="QF40" s="319"/>
      <c r="QG40" s="319"/>
      <c r="QH40" s="319"/>
      <c r="QI40" s="319"/>
      <c r="QJ40" s="319"/>
      <c r="QK40" s="319"/>
      <c r="QL40" s="319"/>
      <c r="QM40" s="319"/>
      <c r="QN40" s="319"/>
      <c r="QO40" s="319"/>
      <c r="QP40" s="319"/>
      <c r="QQ40" s="319"/>
      <c r="QR40" s="319"/>
      <c r="QS40" s="319"/>
      <c r="QT40" s="319"/>
      <c r="QU40" s="319"/>
      <c r="QV40" s="319"/>
      <c r="QW40" s="319"/>
      <c r="QX40" s="319"/>
      <c r="QY40" s="319"/>
      <c r="QZ40" s="319"/>
      <c r="RA40" s="319"/>
      <c r="RB40" s="319"/>
      <c r="RC40" s="319"/>
      <c r="RD40" s="319"/>
      <c r="RE40" s="319"/>
      <c r="RF40" s="319"/>
      <c r="RG40" s="319"/>
      <c r="RH40" s="319"/>
      <c r="RI40" s="319"/>
      <c r="RJ40" s="319"/>
      <c r="RK40" s="319"/>
      <c r="RL40" s="319"/>
      <c r="RM40" s="319"/>
      <c r="RN40" s="319"/>
      <c r="RO40" s="319"/>
      <c r="RP40" s="319"/>
    </row>
    <row r="41" spans="1:485">
      <c r="A41" s="269">
        <v>38</v>
      </c>
      <c r="B41" s="285" t="s">
        <v>47</v>
      </c>
      <c r="C41" s="286">
        <f>'Data-temp_employment'!C41-last_qrtr_tempemp!D41</f>
        <v>-2.3000000000000007</v>
      </c>
      <c r="D41" s="286">
        <f>'Data-temp_employment'!D41-last_qrtr_tempemp!E41</f>
        <v>0.5</v>
      </c>
      <c r="E41" s="286">
        <f>'Data-temp_employment'!E41-last_qrtr_tempemp!F41</f>
        <v>0.19999999999999929</v>
      </c>
      <c r="F41" s="286">
        <f>'Data-temp_employment'!F41-last_qrtr_tempemp!G41</f>
        <v>1.2000000000000011</v>
      </c>
      <c r="G41" s="286">
        <f>'Data-temp_employment'!G41-last_qrtr_tempemp!H41</f>
        <v>-4.1000000000000014</v>
      </c>
      <c r="H41" s="286">
        <f>'Data-temp_employment'!H41-last_qrtr_tempemp!I41</f>
        <v>9.9999999999999645E-2</v>
      </c>
      <c r="I41" s="286">
        <f>'Data-temp_employment'!I41-last_qrtr_tempemp!J41</f>
        <v>1.5999999999999996</v>
      </c>
      <c r="J41" s="286">
        <f>'Data-temp_employment'!J41-last_qrtr_tempemp!K41</f>
        <v>3.2000000000000011</v>
      </c>
      <c r="K41" s="286">
        <f>'Data-temp_employment'!K41-last_qrtr_tempemp!L41</f>
        <v>-2.3999999999999986</v>
      </c>
      <c r="L41" s="286">
        <f>'Data-temp_employment'!L41</f>
        <v>12.7</v>
      </c>
      <c r="M41" s="285" t="s">
        <v>47</v>
      </c>
      <c r="N41" s="286">
        <f>'Data-temp_employment'!N41-last_qrtr_tempemp!O41</f>
        <v>-423.90000000000009</v>
      </c>
      <c r="O41" s="286">
        <f>'Data-temp_employment'!O41-last_qrtr_tempemp!P41</f>
        <v>212</v>
      </c>
      <c r="P41" s="286">
        <f>'Data-temp_employment'!P41-last_qrtr_tempemp!Q41</f>
        <v>33.300000000000182</v>
      </c>
      <c r="Q41" s="286">
        <f>'Data-temp_employment'!Q41-last_qrtr_tempemp!R41</f>
        <v>289.09999999999991</v>
      </c>
      <c r="R41" s="286">
        <f>'Data-temp_employment'!R41-last_qrtr_tempemp!S41</f>
        <v>-835.50000000000023</v>
      </c>
      <c r="S41" s="286">
        <f>'Data-temp_employment'!S41-last_qrtr_tempemp!T41</f>
        <v>127.59999999999991</v>
      </c>
      <c r="T41" s="286">
        <f>'Data-temp_employment'!T41-last_qrtr_tempemp!U41</f>
        <v>397.30000000000018</v>
      </c>
      <c r="U41" s="286">
        <f>'Data-temp_employment'!U41-last_qrtr_tempemp!V41</f>
        <v>765.00000000000023</v>
      </c>
      <c r="V41" s="286">
        <f>'Data-temp_employment'!V41-last_qrtr_tempemp!W41</f>
        <v>-453.19999999999982</v>
      </c>
      <c r="W41" s="286">
        <f>'Data-temp_employment'!W41</f>
        <v>2496.1999999999998</v>
      </c>
      <c r="X41" s="285" t="s">
        <v>47</v>
      </c>
      <c r="Y41" s="286">
        <f>'Data-temp_employment'!Y41-last_qrtr_tempemp!Z41</f>
        <v>-78.299999999999955</v>
      </c>
      <c r="Z41" s="286">
        <f>'Data-temp_employment'!Z41-last_qrtr_tempemp!AA41</f>
        <v>24.300000000000068</v>
      </c>
      <c r="AA41" s="286">
        <f>'Data-temp_employment'!AA41-last_qrtr_tempemp!AB41</f>
        <v>65.800000000000068</v>
      </c>
      <c r="AB41" s="286">
        <f>'Data-temp_employment'!AB41-last_qrtr_tempemp!AC41</f>
        <v>175.29999999999995</v>
      </c>
      <c r="AC41" s="286">
        <f>'Data-temp_employment'!AC41-last_qrtr_tempemp!AD41</f>
        <v>-64.899999999999977</v>
      </c>
      <c r="AD41" s="286">
        <f>'Data-temp_employment'!AD41-last_qrtr_tempemp!AE41</f>
        <v>14.799999999999955</v>
      </c>
      <c r="AE41" s="286">
        <f>'Data-temp_employment'!AE41-last_qrtr_tempemp!AF41</f>
        <v>-23.600000000000023</v>
      </c>
      <c r="AF41" s="286">
        <f>'Data-temp_employment'!AF41-last_qrtr_tempemp!AG41</f>
        <v>192</v>
      </c>
      <c r="AG41" s="286">
        <f>'Data-temp_employment'!AG41-last_qrtr_tempemp!AH41</f>
        <v>-20.399999999999977</v>
      </c>
      <c r="AH41" s="286">
        <f>'Data-temp_employment'!AH41</f>
        <v>670.2</v>
      </c>
      <c r="AI41" s="279" t="s">
        <v>47</v>
      </c>
      <c r="AJ41" s="286">
        <f>'Data-temp_employment'!AJ41-last_qrtr_tempemp!AK41</f>
        <v>-231.40000000000003</v>
      </c>
      <c r="AK41" s="286">
        <f>'Data-temp_employment'!AK41-last_qrtr_tempemp!AL41</f>
        <v>-199.20000000000005</v>
      </c>
      <c r="AL41" s="286">
        <f>'Data-temp_employment'!AL41-last_qrtr_tempemp!AM41</f>
        <v>252</v>
      </c>
      <c r="AM41" s="286">
        <f>'Data-temp_employment'!AM41-last_qrtr_tempemp!AN41</f>
        <v>204.3</v>
      </c>
      <c r="AN41" s="286">
        <f>'Data-temp_employment'!AN41-last_qrtr_tempemp!AO41</f>
        <v>-288.09999999999997</v>
      </c>
      <c r="AO41" s="286">
        <f>'Data-temp_employment'!AO41-last_qrtr_tempemp!AP41</f>
        <v>-202.20000000000005</v>
      </c>
      <c r="AP41" s="286">
        <f>'Data-temp_employment'!AP41-last_qrtr_tempemp!AQ41</f>
        <v>290.60000000000002</v>
      </c>
      <c r="AQ41" s="286">
        <f>'Data-temp_employment'!AQ41-last_qrtr_tempemp!AR41</f>
        <v>255.7</v>
      </c>
      <c r="AR41" s="286">
        <f>'Data-temp_employment'!AR41-last_qrtr_tempemp!AS41</f>
        <v>-203.5</v>
      </c>
      <c r="AS41" s="286">
        <f>'Data-temp_employment'!AS41</f>
        <v>508.9</v>
      </c>
      <c r="AT41" s="279" t="s">
        <v>47</v>
      </c>
      <c r="AU41" s="286">
        <f>'Data-temp_employment'!AU41-last_qrtr_tempemp!AV41</f>
        <v>-120.5</v>
      </c>
      <c r="AV41" s="286">
        <f>'Data-temp_employment'!AV41-last_qrtr_tempemp!AW41</f>
        <v>-48.299999999999955</v>
      </c>
      <c r="AW41" s="286">
        <f>'Data-temp_employment'!AW41-last_qrtr_tempemp!AX41</f>
        <v>60.5</v>
      </c>
      <c r="AX41" s="286">
        <f>'Data-temp_employment'!AX41-last_qrtr_tempemp!AY41</f>
        <v>-75.900000000000034</v>
      </c>
      <c r="AY41" s="286">
        <f>'Data-temp_employment'!AY41-last_qrtr_tempemp!AZ41</f>
        <v>-304</v>
      </c>
      <c r="AZ41" s="286">
        <f>'Data-temp_employment'!AZ41-last_qrtr_tempemp!BA41</f>
        <v>85.799999999999955</v>
      </c>
      <c r="BA41" s="286">
        <f>'Data-temp_employment'!BA41-last_qrtr_tempemp!BB41</f>
        <v>404.00000000000006</v>
      </c>
      <c r="BB41" s="286">
        <f>'Data-temp_employment'!BB41-last_qrtr_tempemp!BC41</f>
        <v>150.79999999999995</v>
      </c>
      <c r="BC41" s="286">
        <f>'Data-temp_employment'!BC41-last_qrtr_tempemp!BD41</f>
        <v>-315.89999999999998</v>
      </c>
      <c r="BD41" s="286">
        <f>'Data-temp_employment'!BD41</f>
        <v>607.5</v>
      </c>
      <c r="BE41" s="279" t="s">
        <v>47</v>
      </c>
      <c r="BF41" s="286">
        <f>'Data-temp_employment'!BF41-last_qrtr_tempemp!BG41</f>
        <v>-0.10000000000002274</v>
      </c>
      <c r="BG41" s="286">
        <f>'Data-temp_employment'!BG41-last_qrtr_tempemp!BH41</f>
        <v>404.90000000000003</v>
      </c>
      <c r="BH41" s="286">
        <f>'Data-temp_employment'!BH41-last_qrtr_tempemp!BI41</f>
        <v>-352.29999999999995</v>
      </c>
      <c r="BI41" s="286">
        <f>'Data-temp_employment'!BI41-last_qrtr_tempemp!BJ41</f>
        <v>-9.8999999999999773</v>
      </c>
      <c r="BJ41" s="286">
        <f>'Data-temp_employment'!BJ41-last_qrtr_tempemp!BK41</f>
        <v>-146.5</v>
      </c>
      <c r="BK41" s="286">
        <f>'Data-temp_employment'!BK41-last_qrtr_tempemp!BL41</f>
        <v>247.20000000000005</v>
      </c>
      <c r="BL41" s="286">
        <f>'Data-temp_employment'!BL41-last_qrtr_tempemp!BM41</f>
        <v>-249.8</v>
      </c>
      <c r="BM41" s="286">
        <f>'Data-temp_employment'!BM41-last_qrtr_tempemp!BN41</f>
        <v>178.19999999999993</v>
      </c>
      <c r="BN41" s="286">
        <f>'Data-temp_employment'!BN41-last_qrtr_tempemp!BO41</f>
        <v>88.899999999999977</v>
      </c>
      <c r="BO41" s="286">
        <f>'Data-temp_employment'!BO41</f>
        <v>629.20000000000005</v>
      </c>
      <c r="BP41" s="282" t="s">
        <v>47</v>
      </c>
      <c r="BQ41" s="286">
        <f>'Data-temp_employment'!BQ41-last_qrtr_tempemp!BR41</f>
        <v>7.2000000000000028</v>
      </c>
      <c r="BR41" s="286">
        <f>'Data-temp_employment'!BR41-last_qrtr_tempemp!BS41</f>
        <v>11.599999999999994</v>
      </c>
      <c r="BS41" s="286">
        <f>'Data-temp_employment'!BS41-last_qrtr_tempemp!BT41</f>
        <v>-3.5</v>
      </c>
      <c r="BT41" s="286">
        <f>'Data-temp_employment'!BT41-last_qrtr_tempemp!BU41</f>
        <v>-8.1000000000000014</v>
      </c>
      <c r="BU41" s="286">
        <f>'Data-temp_employment'!BU41-last_qrtr_tempemp!BV41</f>
        <v>-10.599999999999998</v>
      </c>
      <c r="BV41" s="286">
        <f>'Data-temp_employment'!BV41-last_qrtr_tempemp!BW41</f>
        <v>-3</v>
      </c>
      <c r="BW41" s="286">
        <f>'Data-temp_employment'!BW41-last_qrtr_tempemp!BX41</f>
        <v>-7.0999999999999979</v>
      </c>
      <c r="BX41" s="286">
        <f>'Data-temp_employment'!BX41-last_qrtr_tempemp!BY41</f>
        <v>-5.6999999999999993</v>
      </c>
      <c r="BY41" s="286">
        <f>'Data-temp_employment'!BY41-last_qrtr_tempemp!BZ41</f>
        <v>-1.3999999999999986</v>
      </c>
      <c r="BZ41" s="286">
        <f>'Data-temp_employment'!BZ41</f>
        <v>34.9</v>
      </c>
      <c r="CA41" s="282" t="s">
        <v>47</v>
      </c>
      <c r="CB41" s="286">
        <f>'Data-temp_employment'!CB41-last_qrtr_tempemp!CC41</f>
        <v>-0.59999999999999432</v>
      </c>
      <c r="CC41" s="286">
        <f>'Data-temp_employment'!CC41-last_qrtr_tempemp!CD41</f>
        <v>18.799999999999997</v>
      </c>
      <c r="CD41" s="286">
        <f>'Data-temp_employment'!CD41-last_qrtr_tempemp!CE41</f>
        <v>10.700000000000003</v>
      </c>
      <c r="CE41" s="286">
        <f>'Data-temp_employment'!CE41-last_qrtr_tempemp!CF41</f>
        <v>3.5</v>
      </c>
      <c r="CF41" s="286">
        <f>'Data-temp_employment'!CF41-last_qrtr_tempemp!CG41</f>
        <v>-21.399999999999991</v>
      </c>
      <c r="CG41" s="286">
        <f>'Data-temp_employment'!CG41-last_qrtr_tempemp!CH41</f>
        <v>-15</v>
      </c>
      <c r="CH41" s="286">
        <f>'Data-temp_employment'!CH41-last_qrtr_tempemp!CI41</f>
        <v>-16.900000000000006</v>
      </c>
      <c r="CI41" s="286">
        <f>'Data-temp_employment'!CI41-last_qrtr_tempemp!CJ41</f>
        <v>-6.0000000000000071</v>
      </c>
      <c r="CJ41" s="286">
        <f>'Data-temp_employment'!CJ41-last_qrtr_tempemp!CK41</f>
        <v>-0.90000000000000568</v>
      </c>
      <c r="CK41" s="286">
        <f>'Data-temp_employment'!CK41</f>
        <v>45.400000000000006</v>
      </c>
      <c r="CL41" s="285" t="s">
        <v>47</v>
      </c>
      <c r="CM41" s="286">
        <f>'Data-temp_employment'!CM41-last_qrtr_tempemp!CN41</f>
        <v>-404.89999999999986</v>
      </c>
      <c r="CN41" s="286">
        <f>'Data-temp_employment'!CN41-last_qrtr_tempemp!CO41</f>
        <v>137.69999999999982</v>
      </c>
      <c r="CO41" s="286">
        <f>'Data-temp_employment'!CO41-last_qrtr_tempemp!CP41</f>
        <v>-16.299999999999955</v>
      </c>
      <c r="CP41" s="286">
        <f>'Data-temp_employment'!CP41-last_qrtr_tempemp!CQ41</f>
        <v>215.20000000000005</v>
      </c>
      <c r="CQ41" s="286">
        <f>'Data-temp_employment'!CQ41-last_qrtr_tempemp!CR41</f>
        <v>-739.5</v>
      </c>
      <c r="CR41" s="286">
        <f>'Data-temp_employment'!CR41-last_qrtr_tempemp!CS41</f>
        <v>110.20000000000005</v>
      </c>
      <c r="CS41" s="286">
        <f>'Data-temp_employment'!CS41-last_qrtr_tempemp!CT41</f>
        <v>284.19999999999982</v>
      </c>
      <c r="CT41" s="286">
        <f>'Data-temp_employment'!CT41-last_qrtr_tempemp!CU41</f>
        <v>616.10000000000014</v>
      </c>
      <c r="CU41" s="286">
        <f>'Data-temp_employment'!CU41-last_qrtr_tempemp!CV41</f>
        <v>-394.70000000000005</v>
      </c>
      <c r="CV41" s="286">
        <f>'Data-temp_employment'!CV41</f>
        <v>1900.1</v>
      </c>
      <c r="CW41" s="285" t="s">
        <v>47</v>
      </c>
      <c r="CX41" s="286">
        <f>'Data-temp_employment'!CX41-last_qrtr_tempemp!CY41</f>
        <v>-25.100000000000023</v>
      </c>
      <c r="CY41" s="286">
        <f>'Data-temp_employment'!CY41-last_qrtr_tempemp!CZ41</f>
        <v>10.699999999999989</v>
      </c>
      <c r="CZ41" s="286">
        <f>'Data-temp_employment'!CZ41-last_qrtr_tempemp!DA41</f>
        <v>99.699999999999989</v>
      </c>
      <c r="DA41" s="286">
        <f>'Data-temp_employment'!DA41-last_qrtr_tempemp!DB41</f>
        <v>56.399999999999977</v>
      </c>
      <c r="DB41" s="286">
        <f>'Data-temp_employment'!DB41-last_qrtr_tempemp!DC41</f>
        <v>-107.39999999999998</v>
      </c>
      <c r="DC41" s="286">
        <f>'Data-temp_employment'!DC41-last_qrtr_tempemp!DD41</f>
        <v>-29.199999999999989</v>
      </c>
      <c r="DD41" s="286">
        <f>'Data-temp_employment'!DD41-last_qrtr_tempemp!DE41</f>
        <v>117.10000000000002</v>
      </c>
      <c r="DE41" s="286">
        <f>'Data-temp_employment'!DE41-last_qrtr_tempemp!DF41</f>
        <v>90.800000000000011</v>
      </c>
      <c r="DF41" s="286">
        <f>'Data-temp_employment'!DF41-last_qrtr_tempemp!DG41</f>
        <v>-75.399999999999977</v>
      </c>
      <c r="DG41" s="286">
        <f>'Data-temp_employment'!DG41</f>
        <v>372.8</v>
      </c>
      <c r="DH41" s="285" t="s">
        <v>47</v>
      </c>
      <c r="DI41" s="286">
        <f>'Data-temp_employment'!DI41-last_qrtr_tempemp!DJ41</f>
        <v>6.0999999999999943</v>
      </c>
      <c r="DJ41" s="286">
        <f>'Data-temp_employment'!DJ41-last_qrtr_tempemp!DK41</f>
        <v>63.699999999999989</v>
      </c>
      <c r="DK41" s="286">
        <f>'Data-temp_employment'!DK41-last_qrtr_tempemp!DL41</f>
        <v>-50</v>
      </c>
      <c r="DL41" s="286">
        <f>'Data-temp_employment'!DL41-last_qrtr_tempemp!DM41</f>
        <v>17.5</v>
      </c>
      <c r="DM41" s="286">
        <f>'Data-temp_employment'!DM41-last_qrtr_tempemp!DN41</f>
        <v>11.400000000000006</v>
      </c>
      <c r="DN41" s="286">
        <f>'Data-temp_employment'!DN41-last_qrtr_tempemp!DO41</f>
        <v>46.599999999999994</v>
      </c>
      <c r="DO41" s="286">
        <f>'Data-temp_employment'!DO41-last_qrtr_tempemp!DP41</f>
        <v>-3.8999999999999773</v>
      </c>
      <c r="DP41" s="286">
        <f>'Data-temp_employment'!DP41-last_qrtr_tempemp!DQ41</f>
        <v>58.100000000000023</v>
      </c>
      <c r="DQ41" s="286">
        <f>'Data-temp_employment'!DQ41-last_qrtr_tempemp!DR41</f>
        <v>16.900000000000006</v>
      </c>
      <c r="DR41" s="286">
        <f>'Data-temp_employment'!DR41</f>
        <v>223.3</v>
      </c>
      <c r="DS41" s="285" t="s">
        <v>47</v>
      </c>
      <c r="DT41" s="286">
        <f>'Data-temp_employment'!DT41-last_qrtr_tempemp!DU41</f>
        <v>0</v>
      </c>
      <c r="DU41" s="286">
        <f>'Data-temp_employment'!DU41-last_qrtr_tempemp!DV41</f>
        <v>0</v>
      </c>
      <c r="DV41" s="286">
        <f>'Data-temp_employment'!DV41-last_qrtr_tempemp!DW41</f>
        <v>0</v>
      </c>
      <c r="DW41" s="286">
        <f>'Data-temp_employment'!DW41-last_qrtr_tempemp!DX41</f>
        <v>0</v>
      </c>
      <c r="DX41" s="286">
        <f>'Data-temp_employment'!DX41-last_qrtr_tempemp!DY41</f>
        <v>0</v>
      </c>
      <c r="DY41" s="286">
        <f>'Data-temp_employment'!DY41-last_qrtr_tempemp!DZ41</f>
        <v>0</v>
      </c>
      <c r="DZ41" s="286">
        <f>'Data-temp_employment'!DZ41-last_qrtr_tempemp!EA41</f>
        <v>0</v>
      </c>
      <c r="EA41" s="286">
        <f>'Data-temp_employment'!EA41-last_qrtr_tempemp!EB41</f>
        <v>0</v>
      </c>
      <c r="EB41" s="286">
        <f>'Data-temp_employment'!EB41-last_qrtr_tempemp!EC41</f>
        <v>0</v>
      </c>
      <c r="EC41" s="286">
        <f>'Data-temp_employment'!EC41</f>
        <v>0</v>
      </c>
      <c r="ED41" s="279" t="s">
        <v>47</v>
      </c>
      <c r="EE41" s="286">
        <f>'Data-temp_employment'!EE41-last_qrtr_tempemp!EF41</f>
        <v>-9.2000000000000028</v>
      </c>
      <c r="EF41" s="286">
        <f>'Data-temp_employment'!EF41-last_qrtr_tempemp!EG41</f>
        <v>-2.3999999999999986</v>
      </c>
      <c r="EG41" s="286">
        <f>'Data-temp_employment'!EG41-last_qrtr_tempemp!EH41</f>
        <v>10.299999999999997</v>
      </c>
      <c r="EH41" s="286">
        <f>'Data-temp_employment'!EH41-last_qrtr_tempemp!EI41</f>
        <v>9.7999999999999972</v>
      </c>
      <c r="EI41" s="286">
        <f>'Data-temp_employment'!EI41-last_qrtr_tempemp!EJ41</f>
        <v>-12.700000000000003</v>
      </c>
      <c r="EJ41" s="286">
        <f>'Data-temp_employment'!EJ41-last_qrtr_tempemp!EK41</f>
        <v>-15.899999999999999</v>
      </c>
      <c r="EK41" s="286">
        <f>'Data-temp_employment'!EK41-last_qrtr_tempemp!EL41</f>
        <v>-11.699999999999996</v>
      </c>
      <c r="EL41" s="286">
        <f>'Data-temp_employment'!EL41-last_qrtr_tempemp!EM41</f>
        <v>1.3999999999999986</v>
      </c>
      <c r="EM41" s="286">
        <f>'Data-temp_employment'!EM41-last_qrtr_tempemp!EN41</f>
        <v>0.89999999999999858</v>
      </c>
      <c r="EN41" s="286">
        <f>'Data-temp_employment'!EN41</f>
        <v>26.6</v>
      </c>
      <c r="EO41" s="279" t="s">
        <v>47</v>
      </c>
      <c r="EP41" s="286">
        <f>'Data-temp_employment'!EP41-last_qrtr_tempemp!EQ41</f>
        <v>22.799999999999997</v>
      </c>
      <c r="EQ41" s="286">
        <f>'Data-temp_employment'!EQ41-last_qrtr_tempemp!ER41</f>
        <v>74.5</v>
      </c>
      <c r="ER41" s="286">
        <f>'Data-temp_employment'!ER41-last_qrtr_tempemp!ES41</f>
        <v>-67.099999999999994</v>
      </c>
      <c r="ES41" s="286">
        <f>'Data-temp_employment'!ES41-last_qrtr_tempemp!ET41</f>
        <v>23</v>
      </c>
      <c r="ET41" s="286">
        <f>'Data-temp_employment'!ET41-last_qrtr_tempemp!EU41</f>
        <v>43.999999999999986</v>
      </c>
      <c r="EU41" s="286">
        <f>'Data-temp_employment'!EU41-last_qrtr_tempemp!EV41</f>
        <v>67.599999999999994</v>
      </c>
      <c r="EV41" s="286">
        <f>'Data-temp_employment'!EV41-last_qrtr_tempemp!EW41</f>
        <v>-80.599999999999994</v>
      </c>
      <c r="EW41" s="286">
        <f>'Data-temp_employment'!EW41-last_qrtr_tempemp!EX41</f>
        <v>-4.6999999999999886</v>
      </c>
      <c r="EX41" s="286">
        <f>'Data-temp_employment'!EX41-last_qrtr_tempemp!EY41</f>
        <v>45.599999999999994</v>
      </c>
      <c r="EY41" s="286">
        <f>'Data-temp_employment'!EY41</f>
        <v>148.30000000000001</v>
      </c>
      <c r="EZ41" s="279" t="s">
        <v>47</v>
      </c>
      <c r="FA41" s="286">
        <f>'Data-temp_employment'!FA41-last_qrtr_tempemp!FB41</f>
        <v>-11</v>
      </c>
      <c r="FB41" s="286">
        <f>'Data-temp_employment'!FB41-last_qrtr_tempemp!FC41</f>
        <v>13.799999999999997</v>
      </c>
      <c r="FC41" s="286">
        <f>'Data-temp_employment'!FC41-last_qrtr_tempemp!FD41</f>
        <v>-15.199999999999996</v>
      </c>
      <c r="FD41" s="286">
        <f>'Data-temp_employment'!FD41-last_qrtr_tempemp!FE41</f>
        <v>8.5</v>
      </c>
      <c r="FE41" s="286">
        <f>'Data-temp_employment'!FE41-last_qrtr_tempemp!FF41</f>
        <v>6.1999999999999957</v>
      </c>
      <c r="FF41" s="286">
        <f>'Data-temp_employment'!FF41-last_qrtr_tempemp!FG41</f>
        <v>14.100000000000001</v>
      </c>
      <c r="FG41" s="286">
        <f>'Data-temp_employment'!FG41-last_qrtr_tempemp!FH41</f>
        <v>1.3999999999999986</v>
      </c>
      <c r="FH41" s="286">
        <f>'Data-temp_employment'!FH41-last_qrtr_tempemp!FI41</f>
        <v>-5.7999999999999972</v>
      </c>
      <c r="FI41" s="286">
        <f>'Data-temp_employment'!FI41-last_qrtr_tempemp!FJ41</f>
        <v>-15.5</v>
      </c>
      <c r="FJ41" s="286">
        <f>'Data-temp_employment'!FJ41</f>
        <v>63.1</v>
      </c>
      <c r="FK41" s="279" t="s">
        <v>47</v>
      </c>
      <c r="FL41" s="286">
        <f>'Data-temp_employment'!FL41-last_qrtr_tempemp!FM41</f>
        <v>40.5</v>
      </c>
      <c r="FM41" s="286">
        <f>'Data-temp_employment'!FM41-last_qrtr_tempemp!FN41</f>
        <v>75.800000000000011</v>
      </c>
      <c r="FN41" s="286">
        <f>'Data-temp_employment'!FN41-last_qrtr_tempemp!FO41</f>
        <v>-8.3000000000000114</v>
      </c>
      <c r="FO41" s="286">
        <f>'Data-temp_employment'!FO41-last_qrtr_tempemp!FP41</f>
        <v>-33.899999999999991</v>
      </c>
      <c r="FP41" s="286">
        <f>'Data-temp_employment'!FP41-last_qrtr_tempemp!FQ41</f>
        <v>-39</v>
      </c>
      <c r="FQ41" s="286">
        <f>'Data-temp_employment'!FQ41-last_qrtr_tempemp!FR41</f>
        <v>27.800000000000011</v>
      </c>
      <c r="FR41" s="286">
        <f>'Data-temp_employment'!FR41-last_qrtr_tempemp!FS41</f>
        <v>-6</v>
      </c>
      <c r="FS41" s="286">
        <f>'Data-temp_employment'!FS41-last_qrtr_tempemp!FT41</f>
        <v>11.699999999999989</v>
      </c>
      <c r="FT41" s="286">
        <f>'Data-temp_employment'!FT41-last_qrtr_tempemp!FU41</f>
        <v>5.6999999999999886</v>
      </c>
      <c r="FU41" s="286">
        <f>'Data-temp_employment'!FU41</f>
        <v>113.4</v>
      </c>
      <c r="FV41" s="279" t="s">
        <v>47</v>
      </c>
      <c r="FW41" s="286">
        <f>'Data-temp_employment'!FW41-last_qrtr_tempemp!FX41</f>
        <v>-21.699999999999989</v>
      </c>
      <c r="FX41" s="286">
        <f>'Data-temp_employment'!FX41-last_qrtr_tempemp!FY41</f>
        <v>20.299999999999955</v>
      </c>
      <c r="FY41" s="286">
        <f>'Data-temp_employment'!FY41-last_qrtr_tempemp!FZ41</f>
        <v>77.900000000000034</v>
      </c>
      <c r="FZ41" s="286">
        <f>'Data-temp_employment'!FZ41-last_qrtr_tempemp!GA41</f>
        <v>-23</v>
      </c>
      <c r="GA41" s="286">
        <f>'Data-temp_employment'!GA41-last_qrtr_tempemp!GB41</f>
        <v>-81.299999999999955</v>
      </c>
      <c r="GB41" s="286">
        <f>'Data-temp_employment'!GB41-last_qrtr_tempemp!GC41</f>
        <v>-16.900000000000034</v>
      </c>
      <c r="GC41" s="286">
        <f>'Data-temp_employment'!GC41-last_qrtr_tempemp!GD41</f>
        <v>102.80000000000001</v>
      </c>
      <c r="GD41" s="286">
        <f>'Data-temp_employment'!GD41-last_qrtr_tempemp!GE41</f>
        <v>66.199999999999989</v>
      </c>
      <c r="GE41" s="286">
        <f>'Data-temp_employment'!GE41-last_qrtr_tempemp!GF41</f>
        <v>-52.699999999999989</v>
      </c>
      <c r="GF41" s="286">
        <f>'Data-temp_employment'!GF41</f>
        <v>360</v>
      </c>
      <c r="GG41" s="279" t="s">
        <v>47</v>
      </c>
      <c r="GH41" s="286">
        <f>'Data-temp_employment'!GH41-last_qrtr_tempemp!GI41</f>
        <v>-55.999999999999993</v>
      </c>
      <c r="GI41" s="286">
        <f>'Data-temp_employment'!GI41-last_qrtr_tempemp!GJ41</f>
        <v>-31.100000000000009</v>
      </c>
      <c r="GJ41" s="286">
        <f>'Data-temp_employment'!GJ41-last_qrtr_tempemp!GK41</f>
        <v>21.5</v>
      </c>
      <c r="GK41" s="286">
        <f>'Data-temp_employment'!GK41-last_qrtr_tempemp!GL41</f>
        <v>2.7999999999999972</v>
      </c>
      <c r="GL41" s="286">
        <f>'Data-temp_employment'!GL41-last_qrtr_tempemp!GM41</f>
        <v>-37.5</v>
      </c>
      <c r="GM41" s="286">
        <f>'Data-temp_employment'!GM41-last_qrtr_tempemp!GN41</f>
        <v>-6.2000000000000028</v>
      </c>
      <c r="GN41" s="286">
        <f>'Data-temp_employment'!GN41-last_qrtr_tempemp!GO41</f>
        <v>40.699999999999996</v>
      </c>
      <c r="GO41" s="286">
        <f>'Data-temp_employment'!GO41-last_qrtr_tempemp!GP41</f>
        <v>-1.7999999999999972</v>
      </c>
      <c r="GP41" s="286">
        <f>'Data-temp_employment'!GP41-last_qrtr_tempemp!GQ41</f>
        <v>-11.399999999999991</v>
      </c>
      <c r="GQ41" s="286">
        <f>'Data-temp_employment'!GQ41</f>
        <v>80.599999999999994</v>
      </c>
      <c r="GR41" s="279" t="s">
        <v>47</v>
      </c>
      <c r="GS41" s="286">
        <f>'Data-temp_employment'!GS41-last_qrtr_tempemp!GT41</f>
        <v>-133.60000000000002</v>
      </c>
      <c r="GT41" s="286">
        <f>'Data-temp_employment'!GT41-last_qrtr_tempemp!GU41</f>
        <v>62.200000000000045</v>
      </c>
      <c r="GU41" s="286">
        <f>'Data-temp_employment'!GU41-last_qrtr_tempemp!GV41</f>
        <v>1.5</v>
      </c>
      <c r="GV41" s="286">
        <f>'Data-temp_employment'!GV41-last_qrtr_tempemp!GW41</f>
        <v>120.40000000000009</v>
      </c>
      <c r="GW41" s="286">
        <f>'Data-temp_employment'!GW41-last_qrtr_tempemp!GX41</f>
        <v>-211.10000000000002</v>
      </c>
      <c r="GX41" s="286">
        <f>'Data-temp_employment'!GX41-last_qrtr_tempemp!GY41</f>
        <v>58</v>
      </c>
      <c r="GY41" s="286">
        <f>'Data-temp_employment'!GY41-last_qrtr_tempemp!GZ41</f>
        <v>93.399999999999977</v>
      </c>
      <c r="GZ41" s="286">
        <f>'Data-temp_employment'!GZ41-last_qrtr_tempemp!HA41</f>
        <v>210.20000000000005</v>
      </c>
      <c r="HA41" s="286">
        <f>'Data-temp_employment'!HA41-last_qrtr_tempemp!HB41</f>
        <v>-93.899999999999977</v>
      </c>
      <c r="HB41" s="286">
        <f>'Data-temp_employment'!HB41</f>
        <v>650.9</v>
      </c>
      <c r="HC41" s="279" t="s">
        <v>47</v>
      </c>
      <c r="HD41" s="286">
        <f>'Data-temp_employment'!HD41-last_qrtr_tempemp!HE41</f>
        <v>-24.299999999999983</v>
      </c>
      <c r="HE41" s="286">
        <f>'Data-temp_employment'!HE41-last_qrtr_tempemp!HF41</f>
        <v>16.099999999999994</v>
      </c>
      <c r="HF41" s="286">
        <f>'Data-temp_employment'!HF41-last_qrtr_tempemp!HG41</f>
        <v>-13.100000000000023</v>
      </c>
      <c r="HG41" s="286">
        <f>'Data-temp_employment'!HG41-last_qrtr_tempemp!HH41</f>
        <v>42.099999999999994</v>
      </c>
      <c r="HH41" s="286">
        <f>'Data-temp_employment'!HH41-last_qrtr_tempemp!HI41</f>
        <v>-23.399999999999977</v>
      </c>
      <c r="HI41" s="286">
        <f>'Data-temp_employment'!HI41-last_qrtr_tempemp!HJ41</f>
        <v>18.600000000000023</v>
      </c>
      <c r="HJ41" s="286">
        <f>'Data-temp_employment'!HJ41-last_qrtr_tempemp!HK41</f>
        <v>0.5</v>
      </c>
      <c r="HK41" s="286">
        <f>'Data-temp_employment'!HK41-last_qrtr_tempemp!HL41</f>
        <v>46.699999999999989</v>
      </c>
      <c r="HL41" s="286">
        <f>'Data-temp_employment'!HL41-last_qrtr_tempemp!HM41</f>
        <v>-28.800000000000011</v>
      </c>
      <c r="HM41" s="286">
        <f>'Data-temp_employment'!HM41</f>
        <v>173.8</v>
      </c>
      <c r="HN41" s="279" t="s">
        <v>47</v>
      </c>
      <c r="HO41" s="286">
        <f>'Data-temp_employment'!HO41-last_qrtr_tempemp!HP41</f>
        <v>-231.09999999999991</v>
      </c>
      <c r="HP41" s="286">
        <f>'Data-temp_employment'!HP41-last_qrtr_tempemp!HQ41</f>
        <v>-17.300000000000182</v>
      </c>
      <c r="HQ41" s="286">
        <f>'Data-temp_employment'!HQ41-last_qrtr_tempemp!HR41</f>
        <v>25.799999999999955</v>
      </c>
      <c r="HR41" s="286">
        <f>'Data-temp_employment'!HR41-last_qrtr_tempemp!HS41</f>
        <v>139.29999999999995</v>
      </c>
      <c r="HS41" s="286">
        <f>'Data-temp_employment'!HS41-last_qrtr_tempemp!HT41</f>
        <v>-480.59999999999991</v>
      </c>
      <c r="HT41" s="286">
        <f>'Data-temp_employment'!HT41-last_qrtr_tempemp!HU41</f>
        <v>-19.5</v>
      </c>
      <c r="HU41" s="286">
        <f>'Data-temp_employment'!HU41-last_qrtr_tempemp!HV41</f>
        <v>256.90000000000009</v>
      </c>
      <c r="HV41" s="286">
        <f>'Data-temp_employment'!HV41-last_qrtr_tempemp!HW41</f>
        <v>441</v>
      </c>
      <c r="HW41" s="286">
        <f>'Data-temp_employment'!HW41-last_qrtr_tempemp!HX41</f>
        <v>-303.10000000000002</v>
      </c>
      <c r="HX41" s="286">
        <f>'Data-temp_employment'!HX41</f>
        <v>879.5</v>
      </c>
      <c r="HY41" s="279" t="s">
        <v>47</v>
      </c>
      <c r="HZ41" s="286">
        <f>'Data-temp_employment'!HZ41-last_qrtr_tempemp!IA41</f>
        <v>0</v>
      </c>
      <c r="IA41" s="286">
        <f>'Data-temp_employment'!IA41-last_qrtr_tempemp!IB41</f>
        <v>0</v>
      </c>
      <c r="IB41" s="286">
        <f>'Data-temp_employment'!IB41-last_qrtr_tempemp!IC41</f>
        <v>0</v>
      </c>
      <c r="IC41" s="286">
        <f>'Data-temp_employment'!IC41-last_qrtr_tempemp!ID41</f>
        <v>0</v>
      </c>
      <c r="ID41" s="286">
        <f>'Data-temp_employment'!ID41-last_qrtr_tempemp!IE41</f>
        <v>0</v>
      </c>
      <c r="IE41" s="286">
        <f>'Data-temp_employment'!IE41-last_qrtr_tempemp!IF41</f>
        <v>0</v>
      </c>
      <c r="IF41" s="286">
        <f>'Data-temp_employment'!IF41-last_qrtr_tempemp!IG41</f>
        <v>0</v>
      </c>
      <c r="IG41" s="286">
        <f>'Data-temp_employment'!IG41-last_qrtr_tempemp!IH41</f>
        <v>0</v>
      </c>
      <c r="IH41" s="286">
        <f>'Data-temp_employment'!IH41-last_qrtr_tempemp!II41</f>
        <v>0</v>
      </c>
      <c r="II41" s="286">
        <f>'Data-temp_employment'!II41</f>
        <v>0</v>
      </c>
      <c r="IJ41" s="279" t="s">
        <v>47</v>
      </c>
      <c r="IK41" s="286">
        <f>'Data-temp_employment'!IK41-last_qrtr_tempemp!IL41</f>
        <v>0</v>
      </c>
      <c r="IL41" s="286">
        <f>'Data-temp_employment'!IL41-last_qrtr_tempemp!IM41</f>
        <v>0</v>
      </c>
      <c r="IM41" s="286">
        <f>'Data-temp_employment'!IM41-last_qrtr_tempemp!IN41</f>
        <v>0</v>
      </c>
      <c r="IN41" s="286">
        <f>'Data-temp_employment'!IN41-last_qrtr_tempemp!IO41</f>
        <v>0</v>
      </c>
      <c r="IO41" s="286">
        <f>'Data-temp_employment'!IO41-last_qrtr_tempemp!IP41</f>
        <v>0</v>
      </c>
      <c r="IP41" s="286">
        <f>'Data-temp_employment'!IP41-last_qrtr_tempemp!IQ41</f>
        <v>0</v>
      </c>
      <c r="IQ41" s="286">
        <f>'Data-temp_employment'!IQ41-last_qrtr_tempemp!IR41</f>
        <v>0</v>
      </c>
      <c r="IR41" s="286">
        <f>'Data-temp_employment'!IR41-last_qrtr_tempemp!IS41</f>
        <v>0</v>
      </c>
      <c r="IS41" s="286">
        <f>'Data-temp_employment'!IS41-last_qrtr_tempemp!IT41</f>
        <v>0</v>
      </c>
      <c r="IT41" s="286">
        <f>'Data-temp_employment'!IT41</f>
        <v>0</v>
      </c>
      <c r="IU41" s="279" t="s">
        <v>47</v>
      </c>
      <c r="IV41" s="286">
        <f>'Data-temp_employment'!IV41-last_qrtr_tempemp!IW41</f>
        <v>-227.20000000000002</v>
      </c>
      <c r="IW41" s="286">
        <f>'Data-temp_employment'!IW41-last_qrtr_tempemp!IX41</f>
        <v>-170.2</v>
      </c>
      <c r="IX41" s="286">
        <f>'Data-temp_employment'!IX41-last_qrtr_tempemp!IY41</f>
        <v>74.000000000000057</v>
      </c>
      <c r="IY41" s="286">
        <f>'Data-temp_employment'!IY41-last_qrtr_tempemp!IZ41</f>
        <v>106.00000000000003</v>
      </c>
      <c r="IZ41" s="286">
        <f>'Data-temp_employment'!IZ41-last_qrtr_tempemp!JA41</f>
        <v>-260.29999999999995</v>
      </c>
      <c r="JA41" s="286">
        <f>'Data-temp_employment'!JA41-last_qrtr_tempemp!JB41</f>
        <v>-109.50000000000006</v>
      </c>
      <c r="JB41" s="286">
        <f>'Data-temp_employment'!JB41-last_qrtr_tempemp!JC41</f>
        <v>202.39999999999998</v>
      </c>
      <c r="JC41" s="286">
        <f>'Data-temp_employment'!JC41-last_qrtr_tempemp!JD41</f>
        <v>249.70000000000002</v>
      </c>
      <c r="JD41" s="286">
        <f>'Data-temp_employment'!JD41-last_qrtr_tempemp!JE41</f>
        <v>-160.5</v>
      </c>
      <c r="JE41" s="286">
        <f>'Data-temp_employment'!JE41</f>
        <v>417</v>
      </c>
      <c r="JF41" s="279" t="s">
        <v>47</v>
      </c>
      <c r="JG41" s="286">
        <f>'Data-temp_employment'!JG41-last_qrtr_tempemp!JH41</f>
        <v>-39.900000000000006</v>
      </c>
      <c r="JH41" s="286">
        <f>'Data-temp_employment'!JH41-last_qrtr_tempemp!JI41</f>
        <v>53.599999999999994</v>
      </c>
      <c r="JI41" s="286">
        <f>'Data-temp_employment'!JI41-last_qrtr_tempemp!JJ41</f>
        <v>35.100000000000023</v>
      </c>
      <c r="JJ41" s="286">
        <f>'Data-temp_employment'!JJ41-last_qrtr_tempemp!JK41</f>
        <v>64.800000000000011</v>
      </c>
      <c r="JK41" s="286">
        <f>'Data-temp_employment'!JK41-last_qrtr_tempemp!JL41</f>
        <v>-20.099999999999994</v>
      </c>
      <c r="JL41" s="286">
        <f>'Data-temp_employment'!JL41-last_qrtr_tempemp!JM41</f>
        <v>15.899999999999977</v>
      </c>
      <c r="JM41" s="286">
        <f>'Data-temp_employment'!JM41-last_qrtr_tempemp!JN41</f>
        <v>-18.700000000000017</v>
      </c>
      <c r="JN41" s="286">
        <f>'Data-temp_employment'!JN41-last_qrtr_tempemp!JO41</f>
        <v>29.999999999999972</v>
      </c>
      <c r="JO41" s="286">
        <f>'Data-temp_employment'!JO41-last_qrtr_tempemp!JP41</f>
        <v>2.5</v>
      </c>
      <c r="JP41" s="286">
        <f>'Data-temp_employment'!JP41</f>
        <v>255.9</v>
      </c>
      <c r="JQ41" s="279" t="s">
        <v>47</v>
      </c>
      <c r="JR41" s="286">
        <f>'Data-temp_employment'!JR41-last_qrtr_tempemp!JS41</f>
        <v>-183.10000000000002</v>
      </c>
      <c r="JS41" s="286">
        <f>'Data-temp_employment'!JS41-last_qrtr_tempemp!JT41</f>
        <v>51</v>
      </c>
      <c r="JT41" s="286">
        <f>'Data-temp_employment'!JT41-last_qrtr_tempemp!JU41</f>
        <v>12.600000000000023</v>
      </c>
      <c r="JU41" s="286">
        <f>'Data-temp_employment'!JU41-last_qrtr_tempemp!JV41</f>
        <v>175.39999999999998</v>
      </c>
      <c r="JV41" s="286">
        <f>'Data-temp_employment'!JV41-last_qrtr_tempemp!JW41</f>
        <v>-314.39999999999998</v>
      </c>
      <c r="JW41" s="286">
        <f>'Data-temp_employment'!JW41-last_qrtr_tempemp!JX41</f>
        <v>29.399999999999977</v>
      </c>
      <c r="JX41" s="286">
        <f>'Data-temp_employment'!JX41-last_qrtr_tempemp!JY41</f>
        <v>136.29999999999995</v>
      </c>
      <c r="JY41" s="286">
        <f>'Data-temp_employment'!JY41-last_qrtr_tempemp!JZ41</f>
        <v>266.69999999999993</v>
      </c>
      <c r="JZ41" s="286">
        <f>'Data-temp_employment'!JZ41-last_qrtr_tempemp!KA41</f>
        <v>-176.89999999999998</v>
      </c>
      <c r="KA41" s="286">
        <f>'Data-temp_employment'!KA41</f>
        <v>773.3</v>
      </c>
      <c r="KB41" s="279" t="s">
        <v>47</v>
      </c>
      <c r="KC41" s="286">
        <f>'Data-temp_employment'!KC41-last_qrtr_tempemp!KD41</f>
        <v>-37.299999999999997</v>
      </c>
      <c r="KD41" s="286">
        <f>'Data-temp_employment'!KD41-last_qrtr_tempemp!KE41</f>
        <v>-22.5</v>
      </c>
      <c r="KE41" s="286">
        <f>'Data-temp_employment'!KE41-last_qrtr_tempemp!KF41</f>
        <v>25.200000000000003</v>
      </c>
      <c r="KF41" s="286">
        <f>'Data-temp_employment'!KF41-last_qrtr_tempemp!KG41</f>
        <v>23.700000000000003</v>
      </c>
      <c r="KG41" s="286">
        <f>'Data-temp_employment'!KG41-last_qrtr_tempemp!KH41</f>
        <v>-2.1999999999999886</v>
      </c>
      <c r="KH41" s="286">
        <f>'Data-temp_employment'!KH41-last_qrtr_tempemp!KI41</f>
        <v>-20.600000000000009</v>
      </c>
      <c r="KI41" s="286">
        <f>'Data-temp_employment'!KI41-last_qrtr_tempemp!KJ41</f>
        <v>40.899999999999991</v>
      </c>
      <c r="KJ41" s="286">
        <f>'Data-temp_employment'!KJ41-last_qrtr_tempemp!KK41</f>
        <v>17.800000000000011</v>
      </c>
      <c r="KK41" s="286">
        <f>'Data-temp_employment'!KK41-last_qrtr_tempemp!KL41</f>
        <v>-23.200000000000003</v>
      </c>
      <c r="KL41" s="286">
        <f>'Data-temp_employment'!KL41</f>
        <v>121.9</v>
      </c>
      <c r="KM41" s="279" t="s">
        <v>47</v>
      </c>
      <c r="KN41" s="286">
        <f>'Data-temp_employment'!KN41-last_qrtr_tempemp!KO41</f>
        <v>13.899999999999991</v>
      </c>
      <c r="KO41" s="286">
        <f>'Data-temp_employment'!KO41-last_qrtr_tempemp!KP41</f>
        <v>2.7999999999999972</v>
      </c>
      <c r="KP41" s="286">
        <f>'Data-temp_employment'!KP41-last_qrtr_tempemp!KQ41</f>
        <v>-13.5</v>
      </c>
      <c r="KQ41" s="286">
        <f>'Data-temp_employment'!KQ41-last_qrtr_tempemp!KR41</f>
        <v>5</v>
      </c>
      <c r="KR41" s="286">
        <f>'Data-temp_employment'!KR41-last_qrtr_tempemp!KS41</f>
        <v>-5.2000000000000028</v>
      </c>
      <c r="KS41" s="286">
        <f>'Data-temp_employment'!KS41-last_qrtr_tempemp!KT41</f>
        <v>7.5</v>
      </c>
      <c r="KT41" s="286">
        <f>'Data-temp_employment'!KT41-last_qrtr_tempemp!KU41</f>
        <v>-8.6999999999999886</v>
      </c>
      <c r="KU41" s="286">
        <f>'Data-temp_employment'!KU41-last_qrtr_tempemp!KV41</f>
        <v>21.099999999999994</v>
      </c>
      <c r="KV41" s="286">
        <f>'Data-temp_employment'!KV41-last_qrtr_tempemp!KW41</f>
        <v>-1.8999999999999915</v>
      </c>
      <c r="KW41" s="286">
        <f>'Data-temp_employment'!KW41</f>
        <v>100.4</v>
      </c>
      <c r="KX41" s="279" t="s">
        <v>47</v>
      </c>
      <c r="KY41" s="286">
        <f>'Data-temp_employment'!KY41-last_qrtr_tempemp!KZ41</f>
        <v>-67.2</v>
      </c>
      <c r="KZ41" s="286">
        <f>'Data-temp_employment'!KZ41-last_qrtr_tempemp!LA41</f>
        <v>-52.699999999999989</v>
      </c>
      <c r="LA41" s="286">
        <f>'Data-temp_employment'!LA41-last_qrtr_tempemp!LB41</f>
        <v>80.800000000000011</v>
      </c>
      <c r="LB41" s="286">
        <f>'Data-temp_employment'!LB41-last_qrtr_tempemp!LC41</f>
        <v>15.700000000000003</v>
      </c>
      <c r="LC41" s="286">
        <f>'Data-temp_employment'!LC41-last_qrtr_tempemp!LD41</f>
        <v>-65.2</v>
      </c>
      <c r="LD41" s="286">
        <f>'Data-temp_employment'!LD41-last_qrtr_tempemp!LE41</f>
        <v>5.2999999999999829</v>
      </c>
      <c r="LE41" s="286">
        <f>'Data-temp_employment'!LE41-last_qrtr_tempemp!LF41</f>
        <v>134.4</v>
      </c>
      <c r="LF41" s="286">
        <f>'Data-temp_employment'!LF41-last_qrtr_tempemp!LG41</f>
        <v>36.100000000000009</v>
      </c>
      <c r="LG41" s="286">
        <f>'Data-temp_employment'!LG41-last_qrtr_tempemp!LH41</f>
        <v>-82.4</v>
      </c>
      <c r="LH41" s="286">
        <f>'Data-temp_employment'!LH41</f>
        <v>230.9</v>
      </c>
      <c r="LI41" s="279" t="s">
        <v>47</v>
      </c>
      <c r="LJ41" s="286">
        <f>'Data-temp_employment'!LJ41-last_qrtr_tempemp!LK41</f>
        <v>2.5</v>
      </c>
      <c r="LK41" s="286">
        <f>'Data-temp_employment'!LK41-last_qrtr_tempemp!LL41</f>
        <v>-5.7000000000000011</v>
      </c>
      <c r="LL41" s="286">
        <f>'Data-temp_employment'!LL41-last_qrtr_tempemp!LM41</f>
        <v>10.7</v>
      </c>
      <c r="LM41" s="286">
        <f>'Data-temp_employment'!LM41-last_qrtr_tempemp!LN41</f>
        <v>1.0999999999999996</v>
      </c>
      <c r="LN41" s="286">
        <f>'Data-temp_employment'!LN41-last_qrtr_tempemp!LO41</f>
        <v>8.8000000000000007</v>
      </c>
      <c r="LO41" s="286">
        <f>'Data-temp_employment'!LO41-last_qrtr_tempemp!LP41</f>
        <v>-7.6000000000000005</v>
      </c>
      <c r="LP41" s="286">
        <f>'Data-temp_employment'!LP41-last_qrtr_tempemp!LQ41</f>
        <v>5.1999999999999993</v>
      </c>
      <c r="LQ41" s="286">
        <f>'Data-temp_employment'!LQ41-last_qrtr_tempemp!LR41</f>
        <v>-4.5</v>
      </c>
      <c r="LR41" s="286">
        <f>'Data-temp_employment'!LR41-last_qrtr_tempemp!LS41</f>
        <v>-9.9999999999999645E-2</v>
      </c>
      <c r="LS41" s="286">
        <f>'Data-temp_employment'!LS41</f>
        <v>9.1999999999999993</v>
      </c>
      <c r="LT41" s="279" t="s">
        <v>47</v>
      </c>
      <c r="LU41" s="286">
        <f>'Data-temp_employment'!LU41-last_qrtr_tempemp!LV41</f>
        <v>0.70000000000000018</v>
      </c>
      <c r="LV41" s="286">
        <f>'Data-temp_employment'!LV41-last_qrtr_tempemp!LW41</f>
        <v>2.8</v>
      </c>
      <c r="LW41" s="286">
        <f>'Data-temp_employment'!LW41-last_qrtr_tempemp!LX41</f>
        <v>-2.4</v>
      </c>
      <c r="LX41" s="286">
        <f>'Data-temp_employment'!LX41-last_qrtr_tempemp!LY41</f>
        <v>2.1000000000000005</v>
      </c>
      <c r="LY41" s="286">
        <f>'Data-temp_employment'!LY41-last_qrtr_tempemp!LZ41</f>
        <v>0.29999999999999982</v>
      </c>
      <c r="LZ41" s="286">
        <f>'Data-temp_employment'!LZ41-last_qrtr_tempemp!MA41</f>
        <v>5.0999999999999996</v>
      </c>
      <c r="MA41" s="286">
        <f>'Data-temp_employment'!MA41-last_qrtr_tempemp!MB41</f>
        <v>-3.1000000000000005</v>
      </c>
      <c r="MB41" s="286">
        <f>'Data-temp_employment'!MB41-last_qrtr_tempemp!MC41</f>
        <v>-1.5</v>
      </c>
      <c r="MC41" s="286">
        <f>'Data-temp_employment'!MC41-last_qrtr_tempemp!MD41</f>
        <v>1.5</v>
      </c>
      <c r="MD41" s="286">
        <f>'Data-temp_employment'!MD41</f>
        <v>9.6</v>
      </c>
      <c r="ME41" s="279" t="s">
        <v>47</v>
      </c>
      <c r="MF41" s="286">
        <f>'Data-temp_employment'!MF41-last_qrtr_tempemp!MG41</f>
        <v>8.7999999999999972</v>
      </c>
      <c r="MG41" s="286">
        <f>'Data-temp_employment'!MG41-last_qrtr_tempemp!MH41</f>
        <v>26.1</v>
      </c>
      <c r="MH41" s="286">
        <f>'Data-temp_employment'!MH41-last_qrtr_tempemp!MI41</f>
        <v>-5.5</v>
      </c>
      <c r="MI41" s="286">
        <f>'Data-temp_employment'!MI41-last_qrtr_tempemp!MJ41</f>
        <v>-6.7999999999999972</v>
      </c>
      <c r="MJ41" s="286">
        <f>'Data-temp_employment'!MJ41-last_qrtr_tempemp!MK41</f>
        <v>-15.899999999999999</v>
      </c>
      <c r="MK41" s="286">
        <f>'Data-temp_employment'!MK41-last_qrtr_tempemp!ML41</f>
        <v>4.0999999999999979</v>
      </c>
      <c r="ML41" s="286">
        <f>'Data-temp_employment'!ML41-last_qrtr_tempemp!MM41</f>
        <v>0.60000000000000142</v>
      </c>
      <c r="MM41" s="286">
        <f>'Data-temp_employment'!MM41-last_qrtr_tempemp!MN41</f>
        <v>8.8999999999999986</v>
      </c>
      <c r="MN41" s="286">
        <f>'Data-temp_employment'!MN41-last_qrtr_tempemp!MO41</f>
        <v>9.0999999999999979</v>
      </c>
      <c r="MO41" s="286">
        <f>'Data-temp_employment'!MO41</f>
        <v>47.6</v>
      </c>
      <c r="MP41" s="279" t="s">
        <v>47</v>
      </c>
      <c r="MQ41" s="286">
        <f>'Data-temp_employment'!MQ41-last_qrtr_tempemp!MR41</f>
        <v>-18.200000000000003</v>
      </c>
      <c r="MR41" s="286">
        <f>'Data-temp_employment'!MR41-last_qrtr_tempemp!MS41</f>
        <v>5</v>
      </c>
      <c r="MS41" s="286">
        <f>'Data-temp_employment'!MS41-last_qrtr_tempemp!MT41</f>
        <v>-0.89999999999999147</v>
      </c>
      <c r="MT41" s="286">
        <f>'Data-temp_employment'!MT41-last_qrtr_tempemp!MU41</f>
        <v>3.5999999999999943</v>
      </c>
      <c r="MU41" s="286">
        <f>'Data-temp_employment'!MU41-last_qrtr_tempemp!MV41</f>
        <v>-26.099999999999994</v>
      </c>
      <c r="MV41" s="286">
        <f>'Data-temp_employment'!MV41-last_qrtr_tempemp!MW41</f>
        <v>21.599999999999994</v>
      </c>
      <c r="MW41" s="286">
        <f>'Data-temp_employment'!MW41-last_qrtr_tempemp!MX41</f>
        <v>6.8000000000000114</v>
      </c>
      <c r="MX41" s="286">
        <f>'Data-temp_employment'!MX41-last_qrtr_tempemp!MY41</f>
        <v>18.899999999999991</v>
      </c>
      <c r="MY41" s="286">
        <f>'Data-temp_employment'!MY41-last_qrtr_tempemp!MZ41</f>
        <v>-41.199999999999996</v>
      </c>
      <c r="MZ41" s="286">
        <f>'Data-temp_employment'!MZ41</f>
        <v>59.2</v>
      </c>
      <c r="NA41" s="279" t="s">
        <v>47</v>
      </c>
      <c r="NB41" s="286">
        <f>'Data-temp_employment'!NB41-last_qrtr_tempemp!NC41</f>
        <v>35.800000000000011</v>
      </c>
      <c r="NC41" s="286">
        <f>'Data-temp_employment'!NC41-last_qrtr_tempemp!ND41</f>
        <v>40.899999999999991</v>
      </c>
      <c r="ND41" s="286">
        <f>'Data-temp_employment'!ND41-last_qrtr_tempemp!NE41</f>
        <v>-16.900000000000006</v>
      </c>
      <c r="NE41" s="286">
        <f>'Data-temp_employment'!NE41-last_qrtr_tempemp!NF41</f>
        <v>-50.300000000000011</v>
      </c>
      <c r="NF41" s="286">
        <f>'Data-temp_employment'!NF41-last_qrtr_tempemp!NG41</f>
        <v>-52.5</v>
      </c>
      <c r="NG41" s="286">
        <f>'Data-temp_employment'!NG41-last_qrtr_tempemp!NH41</f>
        <v>31</v>
      </c>
      <c r="NH41" s="286">
        <f>'Data-temp_employment'!NH41-last_qrtr_tempemp!NI41</f>
        <v>31</v>
      </c>
      <c r="NI41" s="286">
        <f>'Data-temp_employment'!NI41-last_qrtr_tempemp!NJ41</f>
        <v>41.800000000000011</v>
      </c>
      <c r="NJ41" s="286">
        <f>'Data-temp_employment'!NJ41-last_qrtr_tempemp!NK41</f>
        <v>-55.199999999999989</v>
      </c>
      <c r="NK41" s="286">
        <f>'Data-temp_employment'!NK41</f>
        <v>81.400000000000006</v>
      </c>
      <c r="NL41" s="279" t="s">
        <v>47</v>
      </c>
      <c r="NM41" s="286">
        <f>'Data-temp_employment'!NM41-last_qrtr_tempemp!NN41</f>
        <v>82.799999999999983</v>
      </c>
      <c r="NN41" s="286">
        <f>'Data-temp_employment'!NN41-last_qrtr_tempemp!NO41</f>
        <v>197.10000000000002</v>
      </c>
      <c r="NO41" s="286">
        <f>'Data-temp_employment'!NO41-last_qrtr_tempemp!NP41</f>
        <v>-134.6</v>
      </c>
      <c r="NP41" s="286">
        <f>'Data-temp_employment'!NP41-last_qrtr_tempemp!NQ41</f>
        <v>-42.199999999999989</v>
      </c>
      <c r="NQ41" s="286">
        <f>'Data-temp_employment'!NQ41-last_qrtr_tempemp!NR41</f>
        <v>-21.800000000000011</v>
      </c>
      <c r="NR41" s="286">
        <f>'Data-temp_employment'!NR41-last_qrtr_tempemp!NS41</f>
        <v>108.5</v>
      </c>
      <c r="NS41" s="286">
        <f>'Data-temp_employment'!NS41-last_qrtr_tempemp!NT41</f>
        <v>-129.80000000000001</v>
      </c>
      <c r="NT41" s="286">
        <f>'Data-temp_employment'!NT41-last_qrtr_tempemp!NU41</f>
        <v>39.700000000000017</v>
      </c>
      <c r="NU41" s="286">
        <f>'Data-temp_employment'!NU41-last_qrtr_tempemp!NV41</f>
        <v>81</v>
      </c>
      <c r="NV41" s="286">
        <f>'Data-temp_employment'!NV41</f>
        <v>197.5</v>
      </c>
      <c r="NW41" s="279" t="s">
        <v>47</v>
      </c>
      <c r="NX41" s="286">
        <f>'Data-temp_employment'!NX41-last_qrtr_tempemp!NY41</f>
        <v>31.599999999999994</v>
      </c>
      <c r="NY41" s="286">
        <f>'Data-temp_employment'!NY41-last_qrtr_tempemp!NZ41</f>
        <v>58.800000000000004</v>
      </c>
      <c r="NZ41" s="286">
        <f>'Data-temp_employment'!NZ41-last_qrtr_tempemp!OA41</f>
        <v>-19.899999999999999</v>
      </c>
      <c r="OA41" s="286">
        <f>'Data-temp_employment'!OA41-last_qrtr_tempemp!OB41</f>
        <v>-24.5</v>
      </c>
      <c r="OB41" s="286">
        <f>'Data-temp_employment'!OB41-last_qrtr_tempemp!OC41</f>
        <v>-16.300000000000004</v>
      </c>
      <c r="OC41" s="286">
        <f>'Data-temp_employment'!OC41-last_qrtr_tempemp!OD41</f>
        <v>14.600000000000001</v>
      </c>
      <c r="OD41" s="286">
        <f>'Data-temp_employment'!OD41-last_qrtr_tempemp!OE41</f>
        <v>-22.699999999999996</v>
      </c>
      <c r="OE41" s="286">
        <f>'Data-temp_employment'!OE41-last_qrtr_tempemp!OF41</f>
        <v>6.1000000000000014</v>
      </c>
      <c r="OF41" s="286">
        <f>'Data-temp_employment'!OF41-last_qrtr_tempemp!OG41</f>
        <v>13.399999999999999</v>
      </c>
      <c r="OG41" s="286">
        <f>'Data-temp_employment'!OG41</f>
        <v>61.9</v>
      </c>
      <c r="OH41" s="287" t="s">
        <v>47</v>
      </c>
      <c r="OI41" s="286"/>
      <c r="OJ41" s="286"/>
      <c r="OK41" s="286"/>
      <c r="OL41" s="286"/>
      <c r="OM41" s="286"/>
      <c r="ON41" s="286"/>
      <c r="OO41" s="286"/>
      <c r="OP41" s="286"/>
      <c r="OQ41" s="286"/>
      <c r="OR41" s="286"/>
      <c r="OS41" s="270" t="s">
        <v>47</v>
      </c>
      <c r="OT41" s="286" t="e">
        <f>'Data-temp_employment'!#REF!-last_qrtr_tempemp!OU41</f>
        <v>#REF!</v>
      </c>
      <c r="OU41" s="286">
        <f>'Data-temp_employment'!OT40-last_qrtr_tempemp!OV41</f>
        <v>0.6</v>
      </c>
      <c r="OV41" s="286">
        <f>'Data-temp_employment'!OU40-last_qrtr_tempemp!OW41</f>
        <v>0.3</v>
      </c>
      <c r="OW41" s="286">
        <f>'Data-temp_employment'!OV40-last_qrtr_tempemp!OX41</f>
        <v>0.4</v>
      </c>
      <c r="OX41" s="286">
        <f>'Data-temp_employment'!OW40-last_qrtr_tempemp!OY41</f>
        <v>-0.1</v>
      </c>
      <c r="OY41" s="286">
        <f>'Data-temp_employment'!OX40-last_qrtr_tempemp!OZ41</f>
        <v>0.4</v>
      </c>
      <c r="OZ41" s="286">
        <f>'Data-temp_employment'!OY40-last_qrtr_tempemp!PA41</f>
        <v>0.7</v>
      </c>
      <c r="PA41" s="286">
        <f>'Data-temp_employment'!OZ40-last_qrtr_tempemp!PB41</f>
        <v>0.7</v>
      </c>
      <c r="PB41" s="286">
        <f>'Data-temp_employment'!PA40-last_qrtr_tempemp!PC41</f>
        <v>0.8</v>
      </c>
      <c r="PC41" s="286">
        <f>'Data-temp_employment'!PB40</f>
        <v>1</v>
      </c>
      <c r="PE41" s="319"/>
      <c r="PF41" s="319"/>
      <c r="PG41" s="319"/>
      <c r="PH41" s="319"/>
      <c r="PI41" s="319"/>
      <c r="PJ41" s="319"/>
      <c r="PK41" s="319"/>
      <c r="PL41" s="319"/>
      <c r="PM41" s="319"/>
      <c r="PN41" s="319"/>
      <c r="PO41" s="319"/>
      <c r="PP41" s="319"/>
      <c r="PQ41" s="319"/>
      <c r="PR41" s="319"/>
      <c r="PS41" s="319"/>
      <c r="PT41" s="319"/>
      <c r="PU41" s="319"/>
      <c r="PV41" s="319"/>
      <c r="PW41" s="319"/>
      <c r="PX41" s="319"/>
      <c r="PY41" s="319"/>
      <c r="PZ41" s="319"/>
      <c r="QA41" s="319"/>
      <c r="QB41" s="319"/>
      <c r="QC41" s="319"/>
      <c r="QD41" s="319"/>
      <c r="QE41" s="319"/>
      <c r="QF41" s="319"/>
      <c r="QG41" s="319"/>
      <c r="QH41" s="319"/>
      <c r="QI41" s="319"/>
      <c r="QJ41" s="319"/>
      <c r="QK41" s="319"/>
      <c r="QL41" s="319"/>
      <c r="QM41" s="319"/>
      <c r="QN41" s="319"/>
      <c r="QO41" s="319"/>
      <c r="QP41" s="319"/>
      <c r="QQ41" s="319"/>
      <c r="QR41" s="319"/>
      <c r="QS41" s="319"/>
      <c r="QT41" s="319"/>
      <c r="QU41" s="319"/>
      <c r="QV41" s="319"/>
      <c r="QW41" s="319"/>
      <c r="QX41" s="319"/>
      <c r="QY41" s="319"/>
      <c r="QZ41" s="319"/>
      <c r="RA41" s="319"/>
      <c r="RB41" s="319"/>
      <c r="RC41" s="319"/>
      <c r="RD41" s="319"/>
      <c r="RE41" s="319"/>
      <c r="RF41" s="319"/>
      <c r="RG41" s="319"/>
      <c r="RH41" s="319"/>
      <c r="RI41" s="319"/>
      <c r="RJ41" s="319"/>
      <c r="RK41" s="319"/>
      <c r="RL41" s="319"/>
      <c r="RM41" s="319"/>
      <c r="RN41" s="319"/>
      <c r="RO41" s="319"/>
      <c r="RP41" s="319"/>
    </row>
    <row r="42" spans="1:485">
      <c r="A42" s="269">
        <v>39</v>
      </c>
      <c r="B42" s="285" t="s">
        <v>43</v>
      </c>
      <c r="C42" s="286">
        <f>'Data-temp_employment'!C42-last_qrtr_tempemp!D42</f>
        <v>-9.9999999999999645E-2</v>
      </c>
      <c r="D42" s="286">
        <f>'Data-temp_employment'!D42-last_qrtr_tempemp!E42</f>
        <v>-0.20000000000000018</v>
      </c>
      <c r="E42" s="286">
        <f>'Data-temp_employment'!E42-last_qrtr_tempemp!F42</f>
        <v>0</v>
      </c>
      <c r="F42" s="286">
        <f>'Data-temp_employment'!F42-last_qrtr_tempemp!G42</f>
        <v>9.9999999999999645E-2</v>
      </c>
      <c r="G42" s="286">
        <f>'Data-temp_employment'!G42-last_qrtr_tempemp!H42</f>
        <v>-0.40000000000000036</v>
      </c>
      <c r="H42" s="286">
        <f>'Data-temp_employment'!H42-last_qrtr_tempemp!I42</f>
        <v>-0.40000000000000036</v>
      </c>
      <c r="I42" s="286">
        <f>'Data-temp_employment'!I42-last_qrtr_tempemp!J42</f>
        <v>-0.20000000000000018</v>
      </c>
      <c r="J42" s="286">
        <f>'Data-temp_employment'!J42-last_qrtr_tempemp!K42</f>
        <v>0</v>
      </c>
      <c r="K42" s="286">
        <f>'Data-temp_employment'!K42-last_qrtr_tempemp!L42</f>
        <v>-9.9999999999999645E-2</v>
      </c>
      <c r="L42" s="286">
        <f>'Data-temp_employment'!L42</f>
        <v>5.4</v>
      </c>
      <c r="M42" s="285" t="s">
        <v>43</v>
      </c>
      <c r="N42" s="286">
        <f>'Data-temp_employment'!N42-last_qrtr_tempemp!O42</f>
        <v>-17.5</v>
      </c>
      <c r="O42" s="286">
        <f>'Data-temp_employment'!O42-last_qrtr_tempemp!P42</f>
        <v>-46.799999999999955</v>
      </c>
      <c r="P42" s="286">
        <f>'Data-temp_employment'!P42-last_qrtr_tempemp!Q42</f>
        <v>-10.600000000000136</v>
      </c>
      <c r="Q42" s="286">
        <f>'Data-temp_employment'!Q42-last_qrtr_tempemp!R42</f>
        <v>36.5</v>
      </c>
      <c r="R42" s="286">
        <f>'Data-temp_employment'!R42-last_qrtr_tempemp!S42</f>
        <v>-98.400000000000091</v>
      </c>
      <c r="S42" s="286">
        <f>'Data-temp_employment'!S42-last_qrtr_tempemp!T42</f>
        <v>-82.5</v>
      </c>
      <c r="T42" s="286">
        <f>'Data-temp_employment'!T42-last_qrtr_tempemp!U42</f>
        <v>-25.400000000000091</v>
      </c>
      <c r="U42" s="286">
        <f>'Data-temp_employment'!U42-last_qrtr_tempemp!V42</f>
        <v>16.599999999999909</v>
      </c>
      <c r="V42" s="286">
        <f>'Data-temp_employment'!V42-last_qrtr_tempemp!W42</f>
        <v>-8.2000000000000455</v>
      </c>
      <c r="W42" s="286">
        <f>'Data-temp_employment'!W42</f>
        <v>1443.9</v>
      </c>
      <c r="X42" s="285" t="s">
        <v>43</v>
      </c>
      <c r="Y42" s="286">
        <f>'Data-temp_employment'!Y42-last_qrtr_tempemp!Z42</f>
        <v>-3.3000000000000007</v>
      </c>
      <c r="Z42" s="286">
        <f>'Data-temp_employment'!Z42-last_qrtr_tempemp!AA42</f>
        <v>-13.399999999999999</v>
      </c>
      <c r="AA42" s="286">
        <f>'Data-temp_employment'!AA42-last_qrtr_tempemp!AB42</f>
        <v>9.1999999999999993</v>
      </c>
      <c r="AB42" s="286">
        <f>'Data-temp_employment'!AB42-last_qrtr_tempemp!AC42</f>
        <v>6.1000000000000014</v>
      </c>
      <c r="AC42" s="286">
        <f>'Data-temp_employment'!AC42-last_qrtr_tempemp!AD42</f>
        <v>-8.6999999999999993</v>
      </c>
      <c r="AD42" s="286">
        <f>'Data-temp_employment'!AD42-last_qrtr_tempemp!AE42</f>
        <v>-2.1999999999999993</v>
      </c>
      <c r="AE42" s="286">
        <f>'Data-temp_employment'!AE42-last_qrtr_tempemp!AF42</f>
        <v>12.600000000000001</v>
      </c>
      <c r="AF42" s="286">
        <f>'Data-temp_employment'!AF42-last_qrtr_tempemp!AG42</f>
        <v>6</v>
      </c>
      <c r="AG42" s="286">
        <f>'Data-temp_employment'!AG42-last_qrtr_tempemp!AH42</f>
        <v>0.69999999999999929</v>
      </c>
      <c r="AH42" s="286">
        <f>'Data-temp_employment'!AH42</f>
        <v>38.799999999999997</v>
      </c>
      <c r="AI42" s="279" t="s">
        <v>43</v>
      </c>
      <c r="AJ42" s="286">
        <f>'Data-temp_employment'!AJ42-last_qrtr_tempemp!AK42</f>
        <v>-4.2999999999999972</v>
      </c>
      <c r="AK42" s="286">
        <f>'Data-temp_employment'!AK42-last_qrtr_tempemp!AL42</f>
        <v>-41.699999999999996</v>
      </c>
      <c r="AL42" s="286">
        <f>'Data-temp_employment'!AL42-last_qrtr_tempemp!AM42</f>
        <v>3.5</v>
      </c>
      <c r="AM42" s="286">
        <f>'Data-temp_employment'!AM42-last_qrtr_tempemp!AN42</f>
        <v>30.6</v>
      </c>
      <c r="AN42" s="286">
        <f>'Data-temp_employment'!AN42-last_qrtr_tempemp!AO42</f>
        <v>-6.6000000000000014</v>
      </c>
      <c r="AO42" s="286">
        <f>'Data-temp_employment'!AO42-last_qrtr_tempemp!AP42</f>
        <v>-37.300000000000004</v>
      </c>
      <c r="AP42" s="286">
        <f>'Data-temp_employment'!AP42-last_qrtr_tempemp!AQ42</f>
        <v>4.0999999999999943</v>
      </c>
      <c r="AQ42" s="286">
        <f>'Data-temp_employment'!AQ42-last_qrtr_tempemp!AR42</f>
        <v>14.299999999999997</v>
      </c>
      <c r="AR42" s="286">
        <f>'Data-temp_employment'!AR42-last_qrtr_tempemp!AS42</f>
        <v>-27.6</v>
      </c>
      <c r="AS42" s="286">
        <f>'Data-temp_employment'!AS42</f>
        <v>50.7</v>
      </c>
      <c r="AT42" s="279" t="s">
        <v>43</v>
      </c>
      <c r="AU42" s="286">
        <f>'Data-temp_employment'!AU42-last_qrtr_tempemp!AV42</f>
        <v>-18.400000000000006</v>
      </c>
      <c r="AV42" s="286">
        <f>'Data-temp_employment'!AV42-last_qrtr_tempemp!AW42</f>
        <v>-16.799999999999997</v>
      </c>
      <c r="AW42" s="286">
        <f>'Data-temp_employment'!AW42-last_qrtr_tempemp!AX42</f>
        <v>-33.299999999999997</v>
      </c>
      <c r="AX42" s="286">
        <f>'Data-temp_employment'!AX42-last_qrtr_tempemp!AY42</f>
        <v>4.2000000000000028</v>
      </c>
      <c r="AY42" s="286">
        <f>'Data-temp_employment'!AY42-last_qrtr_tempemp!AZ42</f>
        <v>-20.400000000000006</v>
      </c>
      <c r="AZ42" s="286">
        <f>'Data-temp_employment'!AZ42-last_qrtr_tempemp!BA42</f>
        <v>-4.4000000000000057</v>
      </c>
      <c r="BA42" s="286">
        <f>'Data-temp_employment'!BA42-last_qrtr_tempemp!BB42</f>
        <v>5.4000000000000057</v>
      </c>
      <c r="BB42" s="286">
        <f>'Data-temp_employment'!BB42-last_qrtr_tempemp!BC42</f>
        <v>26.600000000000009</v>
      </c>
      <c r="BC42" s="286">
        <f>'Data-temp_employment'!BC42-last_qrtr_tempemp!BD42</f>
        <v>12.400000000000006</v>
      </c>
      <c r="BD42" s="286">
        <f>'Data-temp_employment'!BD42</f>
        <v>97.6</v>
      </c>
      <c r="BE42" s="279" t="s">
        <v>43</v>
      </c>
      <c r="BF42" s="286">
        <f>'Data-temp_employment'!BF42-last_qrtr_tempemp!BG42</f>
        <v>-27.5</v>
      </c>
      <c r="BG42" s="286">
        <f>'Data-temp_employment'!BG42-last_qrtr_tempemp!BH42</f>
        <v>1.5999999999999943</v>
      </c>
      <c r="BH42" s="286">
        <f>'Data-temp_employment'!BH42-last_qrtr_tempemp!BI42</f>
        <v>-3.8000000000000114</v>
      </c>
      <c r="BI42" s="286">
        <f>'Data-temp_employment'!BI42-last_qrtr_tempemp!BJ42</f>
        <v>0.79999999999998295</v>
      </c>
      <c r="BJ42" s="286">
        <f>'Data-temp_employment'!BJ42-last_qrtr_tempemp!BK42</f>
        <v>-2.9000000000000057</v>
      </c>
      <c r="BK42" s="286">
        <f>'Data-temp_employment'!BK42-last_qrtr_tempemp!BL42</f>
        <v>14.600000000000023</v>
      </c>
      <c r="BL42" s="286">
        <f>'Data-temp_employment'!BL42-last_qrtr_tempemp!BM42</f>
        <v>-8.7999999999999829</v>
      </c>
      <c r="BM42" s="286">
        <f>'Data-temp_employment'!BM42-last_qrtr_tempemp!BN42</f>
        <v>6.4000000000000057</v>
      </c>
      <c r="BN42" s="286">
        <f>'Data-temp_employment'!BN42-last_qrtr_tempemp!BO42</f>
        <v>16.899999999999977</v>
      </c>
      <c r="BO42" s="286">
        <f>'Data-temp_employment'!BO42</f>
        <v>178.6</v>
      </c>
      <c r="BP42" s="282" t="s">
        <v>43</v>
      </c>
      <c r="BQ42" s="286">
        <f>'Data-temp_employment'!BQ42-last_qrtr_tempemp!BR42</f>
        <v>-9.3000000000000114</v>
      </c>
      <c r="BR42" s="286">
        <f>'Data-temp_employment'!BR42-last_qrtr_tempemp!BS42</f>
        <v>-31.499999999999972</v>
      </c>
      <c r="BS42" s="286">
        <f>'Data-temp_employment'!BS42-last_qrtr_tempemp!BT42</f>
        <v>-4.1999999999999886</v>
      </c>
      <c r="BT42" s="286">
        <f>'Data-temp_employment'!BT42-last_qrtr_tempemp!BU42</f>
        <v>5</v>
      </c>
      <c r="BU42" s="286">
        <f>'Data-temp_employment'!BU42-last_qrtr_tempemp!BV42</f>
        <v>32.800000000000011</v>
      </c>
      <c r="BV42" s="286">
        <f>'Data-temp_employment'!BV42-last_qrtr_tempemp!BW42</f>
        <v>8</v>
      </c>
      <c r="BW42" s="286">
        <f>'Data-temp_employment'!BW42-last_qrtr_tempemp!BX42</f>
        <v>-4.1999999999999886</v>
      </c>
      <c r="BX42" s="286">
        <f>'Data-temp_employment'!BX42-last_qrtr_tempemp!BY42</f>
        <v>-14.500000000000028</v>
      </c>
      <c r="BY42" s="286">
        <f>'Data-temp_employment'!BY42-last_qrtr_tempemp!BZ42</f>
        <v>-18.599999999999994</v>
      </c>
      <c r="BZ42" s="286">
        <f>'Data-temp_employment'!BZ42</f>
        <v>170</v>
      </c>
      <c r="CA42" s="282" t="s">
        <v>43</v>
      </c>
      <c r="CB42" s="286">
        <f>'Data-temp_employment'!CB42-last_qrtr_tempemp!CC42</f>
        <v>21.000000000000028</v>
      </c>
      <c r="CC42" s="286">
        <f>'Data-temp_employment'!CC42-last_qrtr_tempemp!CD42</f>
        <v>10.600000000000023</v>
      </c>
      <c r="CD42" s="286">
        <f>'Data-temp_employment'!CD42-last_qrtr_tempemp!CE42</f>
        <v>14.5</v>
      </c>
      <c r="CE42" s="286">
        <f>'Data-temp_employment'!CE42-last_qrtr_tempemp!CF42</f>
        <v>1.5999999999999943</v>
      </c>
      <c r="CF42" s="286">
        <f>'Data-temp_employment'!CF42-last_qrtr_tempemp!CG42</f>
        <v>11.099999999999994</v>
      </c>
      <c r="CG42" s="286">
        <f>'Data-temp_employment'!CG42-last_qrtr_tempemp!CH42</f>
        <v>-0.5</v>
      </c>
      <c r="CH42" s="286">
        <f>'Data-temp_employment'!CH42-last_qrtr_tempemp!CI42</f>
        <v>6.0999999999999943</v>
      </c>
      <c r="CI42" s="286">
        <f>'Data-temp_employment'!CI42-last_qrtr_tempemp!CJ42</f>
        <v>-15.5</v>
      </c>
      <c r="CJ42" s="286">
        <f>'Data-temp_employment'!CJ42-last_qrtr_tempemp!CK42</f>
        <v>-4.6000000000000227</v>
      </c>
      <c r="CK42" s="286">
        <f>'Data-temp_employment'!CK42</f>
        <v>154.1</v>
      </c>
      <c r="CL42" s="285" t="s">
        <v>43</v>
      </c>
      <c r="CM42" s="286">
        <f>'Data-temp_employment'!CM42-last_qrtr_tempemp!CN42</f>
        <v>-15.799999999999983</v>
      </c>
      <c r="CN42" s="286">
        <f>'Data-temp_employment'!CN42-last_qrtr_tempemp!CO42</f>
        <v>-2.7000000000000171</v>
      </c>
      <c r="CO42" s="286">
        <f>'Data-temp_employment'!CO42-last_qrtr_tempemp!CP42</f>
        <v>2.5999999999999943</v>
      </c>
      <c r="CP42" s="286">
        <f>'Data-temp_employment'!CP42-last_qrtr_tempemp!CQ42</f>
        <v>15.400000000000006</v>
      </c>
      <c r="CQ42" s="286">
        <f>'Data-temp_employment'!CQ42-last_qrtr_tempemp!CR42</f>
        <v>6.5</v>
      </c>
      <c r="CR42" s="286">
        <f>'Data-temp_employment'!CR42-last_qrtr_tempemp!CS42</f>
        <v>39.400000000000006</v>
      </c>
      <c r="CS42" s="286">
        <f>'Data-temp_employment'!CS42-last_qrtr_tempemp!CT42</f>
        <v>3.5999999999999943</v>
      </c>
      <c r="CT42" s="286">
        <f>'Data-temp_employment'!CT42-last_qrtr_tempemp!CU42</f>
        <v>-11.599999999999994</v>
      </c>
      <c r="CU42" s="286">
        <f>'Data-temp_employment'!CU42-last_qrtr_tempemp!CV42</f>
        <v>-20.599999999999994</v>
      </c>
      <c r="CV42" s="286">
        <f>'Data-temp_employment'!CV42</f>
        <v>188.5</v>
      </c>
      <c r="CW42" s="285" t="s">
        <v>43</v>
      </c>
      <c r="CX42" s="286">
        <f>'Data-temp_employment'!CX42-last_qrtr_tempemp!CY42</f>
        <v>-15.400000000000091</v>
      </c>
      <c r="CY42" s="286">
        <f>'Data-temp_employment'!CY42-last_qrtr_tempemp!CZ42</f>
        <v>-18.899999999999977</v>
      </c>
      <c r="CZ42" s="286">
        <f>'Data-temp_employment'!CZ42-last_qrtr_tempemp!DA42</f>
        <v>17</v>
      </c>
      <c r="DA42" s="286">
        <f>'Data-temp_employment'!DA42-last_qrtr_tempemp!DB42</f>
        <v>59.700000000000045</v>
      </c>
      <c r="DB42" s="286">
        <f>'Data-temp_employment'!DB42-last_qrtr_tempemp!DC42</f>
        <v>-61.100000000000023</v>
      </c>
      <c r="DC42" s="286">
        <f>'Data-temp_employment'!DC42-last_qrtr_tempemp!DD42</f>
        <v>-89.799999999999955</v>
      </c>
      <c r="DD42" s="286">
        <f>'Data-temp_employment'!DD42-last_qrtr_tempemp!DE42</f>
        <v>-58.700000000000045</v>
      </c>
      <c r="DE42" s="286">
        <f>'Data-temp_employment'!DE42-last_qrtr_tempemp!DF42</f>
        <v>0.29999999999995453</v>
      </c>
      <c r="DF42" s="286">
        <f>'Data-temp_employment'!DF42-last_qrtr_tempemp!DG42</f>
        <v>-17.100000000000023</v>
      </c>
      <c r="DG42" s="286">
        <f>'Data-temp_employment'!DG42</f>
        <v>556.4</v>
      </c>
      <c r="DH42" s="285" t="s">
        <v>43</v>
      </c>
      <c r="DI42" s="286">
        <f>'Data-temp_employment'!DI42-last_qrtr_tempemp!DJ42</f>
        <v>23.5</v>
      </c>
      <c r="DJ42" s="286">
        <f>'Data-temp_employment'!DJ42-last_qrtr_tempemp!DK42</f>
        <v>-11.5</v>
      </c>
      <c r="DK42" s="286">
        <f>'Data-temp_employment'!DK42-last_qrtr_tempemp!DL42</f>
        <v>-17.5</v>
      </c>
      <c r="DL42" s="286">
        <f>'Data-temp_employment'!DL42-last_qrtr_tempemp!DM42</f>
        <v>-38.599999999999909</v>
      </c>
      <c r="DM42" s="286">
        <f>'Data-temp_employment'!DM42-last_qrtr_tempemp!DN42</f>
        <v>-41.5</v>
      </c>
      <c r="DN42" s="286">
        <f>'Data-temp_employment'!DN42-last_qrtr_tempemp!DO42</f>
        <v>-33</v>
      </c>
      <c r="DO42" s="286">
        <f>'Data-temp_employment'!DO42-last_qrtr_tempemp!DP42</f>
        <v>29.099999999999909</v>
      </c>
      <c r="DP42" s="286">
        <f>'Data-temp_employment'!DP42-last_qrtr_tempemp!DQ42</f>
        <v>28.700000000000045</v>
      </c>
      <c r="DQ42" s="286">
        <f>'Data-temp_employment'!DQ42-last_qrtr_tempemp!DR42</f>
        <v>29.899999999999977</v>
      </c>
      <c r="DR42" s="286">
        <f>'Data-temp_employment'!DR42</f>
        <v>696.7</v>
      </c>
      <c r="DS42" s="285" t="s">
        <v>43</v>
      </c>
      <c r="DT42" s="286">
        <f>'Data-temp_employment'!DT42-last_qrtr_tempemp!DU42</f>
        <v>-11.7</v>
      </c>
      <c r="DU42" s="286">
        <f>'Data-temp_employment'!DU42-last_qrtr_tempemp!DV42</f>
        <v>-16.7</v>
      </c>
      <c r="DV42" s="286">
        <f>'Data-temp_employment'!DV42-last_qrtr_tempemp!DW42</f>
        <v>-13.3</v>
      </c>
      <c r="DW42" s="286">
        <f>'Data-temp_employment'!DW42-last_qrtr_tempemp!DX42</f>
        <v>0</v>
      </c>
      <c r="DX42" s="286">
        <f>'Data-temp_employment'!DX42-last_qrtr_tempemp!DY42</f>
        <v>0</v>
      </c>
      <c r="DY42" s="286">
        <f>'Data-temp_employment'!DY42-last_qrtr_tempemp!DZ42</f>
        <v>0</v>
      </c>
      <c r="DZ42" s="286">
        <f>'Data-temp_employment'!DZ42-last_qrtr_tempemp!EA42</f>
        <v>0</v>
      </c>
      <c r="EA42" s="286">
        <f>'Data-temp_employment'!EA42-last_qrtr_tempemp!EB42</f>
        <v>0</v>
      </c>
      <c r="EB42" s="286">
        <f>'Data-temp_employment'!EB42-last_qrtr_tempemp!EC42</f>
        <v>0</v>
      </c>
      <c r="EC42" s="286">
        <f>'Data-temp_employment'!EC42</f>
        <v>0</v>
      </c>
      <c r="ED42" s="279" t="s">
        <v>43</v>
      </c>
      <c r="EE42" s="286">
        <f>'Data-temp_employment'!EE42-last_qrtr_tempemp!EF42</f>
        <v>-7.2000000000000028</v>
      </c>
      <c r="EF42" s="286">
        <f>'Data-temp_employment'!EF42-last_qrtr_tempemp!EG42</f>
        <v>-3.1000000000000014</v>
      </c>
      <c r="EG42" s="286">
        <f>'Data-temp_employment'!EG42-last_qrtr_tempemp!EH42</f>
        <v>6.2999999999999972</v>
      </c>
      <c r="EH42" s="286">
        <f>'Data-temp_employment'!EH42-last_qrtr_tempemp!EI42</f>
        <v>9.1000000000000014</v>
      </c>
      <c r="EI42" s="286">
        <f>'Data-temp_employment'!EI42-last_qrtr_tempemp!EJ42</f>
        <v>9.6000000000000014</v>
      </c>
      <c r="EJ42" s="286">
        <f>'Data-temp_employment'!EJ42-last_qrtr_tempemp!EK42</f>
        <v>-9.1999999999999957</v>
      </c>
      <c r="EK42" s="286">
        <f>'Data-temp_employment'!EK42-last_qrtr_tempemp!EL42</f>
        <v>-5.2000000000000028</v>
      </c>
      <c r="EL42" s="286">
        <f>'Data-temp_employment'!EL42-last_qrtr_tempemp!EM42</f>
        <v>-4.1000000000000014</v>
      </c>
      <c r="EM42" s="286">
        <f>'Data-temp_employment'!EM42-last_qrtr_tempemp!EN42</f>
        <v>14.599999999999994</v>
      </c>
      <c r="EN42" s="286">
        <f>'Data-temp_employment'!EN42</f>
        <v>38.9</v>
      </c>
      <c r="EO42" s="279" t="s">
        <v>43</v>
      </c>
      <c r="EP42" s="286">
        <f>'Data-temp_employment'!EP42-last_qrtr_tempemp!EQ42</f>
        <v>40.699999999999989</v>
      </c>
      <c r="EQ42" s="286">
        <f>'Data-temp_employment'!EQ42-last_qrtr_tempemp!ER42</f>
        <v>64.599999999999966</v>
      </c>
      <c r="ER42" s="286">
        <f>'Data-temp_employment'!ER42-last_qrtr_tempemp!ES42</f>
        <v>42</v>
      </c>
      <c r="ES42" s="286">
        <f>'Data-temp_employment'!ES42-last_qrtr_tempemp!ET42</f>
        <v>-31.099999999999966</v>
      </c>
      <c r="ET42" s="286">
        <f>'Data-temp_employment'!ET42-last_qrtr_tempemp!EU42</f>
        <v>-48.5</v>
      </c>
      <c r="EU42" s="286">
        <f>'Data-temp_employment'!EU42-last_qrtr_tempemp!EV42</f>
        <v>-43</v>
      </c>
      <c r="EV42" s="286">
        <f>'Data-temp_employment'!EV42-last_qrtr_tempemp!EW42</f>
        <v>12.599999999999966</v>
      </c>
      <c r="EW42" s="286">
        <f>'Data-temp_employment'!EW42-last_qrtr_tempemp!EX42</f>
        <v>-9.3999999999999773</v>
      </c>
      <c r="EX42" s="286">
        <f>'Data-temp_employment'!EX42-last_qrtr_tempemp!EY42</f>
        <v>14.5</v>
      </c>
      <c r="EY42" s="286">
        <f>'Data-temp_employment'!EY42</f>
        <v>406.5</v>
      </c>
      <c r="EZ42" s="279" t="s">
        <v>43</v>
      </c>
      <c r="FA42" s="286">
        <f>'Data-temp_employment'!FA42-last_qrtr_tempemp!FB42</f>
        <v>-12.599999999999994</v>
      </c>
      <c r="FB42" s="286">
        <f>'Data-temp_employment'!FB42-last_qrtr_tempemp!FC42</f>
        <v>3</v>
      </c>
      <c r="FC42" s="286">
        <f>'Data-temp_employment'!FC42-last_qrtr_tempemp!FD42</f>
        <v>-2.6000000000000227</v>
      </c>
      <c r="FD42" s="286">
        <f>'Data-temp_employment'!FD42-last_qrtr_tempemp!FE42</f>
        <v>-10.199999999999989</v>
      </c>
      <c r="FE42" s="286">
        <f>'Data-temp_employment'!FE42-last_qrtr_tempemp!FF42</f>
        <v>-24.199999999999989</v>
      </c>
      <c r="FF42" s="286">
        <f>'Data-temp_employment'!FF42-last_qrtr_tempemp!FG42</f>
        <v>12.5</v>
      </c>
      <c r="FG42" s="286">
        <f>'Data-temp_employment'!FG42-last_qrtr_tempemp!FH42</f>
        <v>10.400000000000006</v>
      </c>
      <c r="FH42" s="286">
        <f>'Data-temp_employment'!FH42-last_qrtr_tempemp!FI42</f>
        <v>8.2999999999999829</v>
      </c>
      <c r="FI42" s="286">
        <f>'Data-temp_employment'!FI42-last_qrtr_tempemp!FJ42</f>
        <v>-0.79999999999998295</v>
      </c>
      <c r="FJ42" s="286">
        <f>'Data-temp_employment'!FJ42</f>
        <v>159.5</v>
      </c>
      <c r="FK42" s="279" t="s">
        <v>43</v>
      </c>
      <c r="FL42" s="286">
        <f>'Data-temp_employment'!FL42-last_qrtr_tempemp!FM42</f>
        <v>-19.700000000000017</v>
      </c>
      <c r="FM42" s="286">
        <f>'Data-temp_employment'!FM42-last_qrtr_tempemp!FN42</f>
        <v>-29.699999999999989</v>
      </c>
      <c r="FN42" s="286">
        <f>'Data-temp_employment'!FN42-last_qrtr_tempemp!FO42</f>
        <v>-25.400000000000006</v>
      </c>
      <c r="FO42" s="286">
        <f>'Data-temp_employment'!FO42-last_qrtr_tempemp!FP42</f>
        <v>-9.1999999999999886</v>
      </c>
      <c r="FP42" s="286">
        <f>'Data-temp_employment'!FP42-last_qrtr_tempemp!FQ42</f>
        <v>-11.600000000000023</v>
      </c>
      <c r="FQ42" s="286">
        <f>'Data-temp_employment'!FQ42-last_qrtr_tempemp!FR42</f>
        <v>-15.300000000000011</v>
      </c>
      <c r="FR42" s="286">
        <f>'Data-temp_employment'!FR42-last_qrtr_tempemp!FS42</f>
        <v>16.599999999999994</v>
      </c>
      <c r="FS42" s="286">
        <f>'Data-temp_employment'!FS42-last_qrtr_tempemp!FT42</f>
        <v>18.100000000000023</v>
      </c>
      <c r="FT42" s="286">
        <f>'Data-temp_employment'!FT42-last_qrtr_tempemp!FU42</f>
        <v>21.5</v>
      </c>
      <c r="FU42" s="286">
        <f>'Data-temp_employment'!FU42</f>
        <v>188.5</v>
      </c>
      <c r="FV42" s="279" t="s">
        <v>43</v>
      </c>
      <c r="FW42" s="286">
        <f>'Data-temp_employment'!FW42-last_qrtr_tempemp!FX42</f>
        <v>-2.4000000000000341</v>
      </c>
      <c r="FX42" s="286">
        <f>'Data-temp_employment'!FX42-last_qrtr_tempemp!FY42</f>
        <v>-7.6999999999999886</v>
      </c>
      <c r="FY42" s="286">
        <f>'Data-temp_employment'!FY42-last_qrtr_tempemp!FZ42</f>
        <v>-5</v>
      </c>
      <c r="FZ42" s="286">
        <f>'Data-temp_employment'!FZ42-last_qrtr_tempemp!GA42</f>
        <v>40.699999999999989</v>
      </c>
      <c r="GA42" s="286">
        <f>'Data-temp_employment'!GA42-last_qrtr_tempemp!GB42</f>
        <v>-15</v>
      </c>
      <c r="GB42" s="286">
        <f>'Data-temp_employment'!GB42-last_qrtr_tempemp!GC42</f>
        <v>-27.300000000000011</v>
      </c>
      <c r="GC42" s="286">
        <f>'Data-temp_employment'!GC42-last_qrtr_tempemp!GD42</f>
        <v>-36.5</v>
      </c>
      <c r="GD42" s="286">
        <f>'Data-temp_employment'!GD42-last_qrtr_tempemp!GE42</f>
        <v>-2.8000000000000114</v>
      </c>
      <c r="GE42" s="286">
        <f>'Data-temp_employment'!GE42-last_qrtr_tempemp!GF42</f>
        <v>-35.399999999999977</v>
      </c>
      <c r="GF42" s="286">
        <f>'Data-temp_employment'!GF42</f>
        <v>332.4</v>
      </c>
      <c r="GG42" s="279" t="s">
        <v>43</v>
      </c>
      <c r="GH42" s="286">
        <f>'Data-temp_employment'!GH42-last_qrtr_tempemp!GI42</f>
        <v>0</v>
      </c>
      <c r="GI42" s="286">
        <f>'Data-temp_employment'!GI42-last_qrtr_tempemp!GJ42</f>
        <v>-12</v>
      </c>
      <c r="GJ42" s="286">
        <f>'Data-temp_employment'!GJ42-last_qrtr_tempemp!GK42</f>
        <v>-10</v>
      </c>
      <c r="GK42" s="286">
        <f>'Data-temp_employment'!GK42-last_qrtr_tempemp!GL42</f>
        <v>0</v>
      </c>
      <c r="GL42" s="286">
        <f>'Data-temp_employment'!GL42-last_qrtr_tempemp!GM42</f>
        <v>0</v>
      </c>
      <c r="GM42" s="286">
        <f>'Data-temp_employment'!GM42-last_qrtr_tempemp!GN42</f>
        <v>0</v>
      </c>
      <c r="GN42" s="286">
        <f>'Data-temp_employment'!GN42-last_qrtr_tempemp!GO42</f>
        <v>0</v>
      </c>
      <c r="GO42" s="286">
        <f>'Data-temp_employment'!GO42-last_qrtr_tempemp!GP42</f>
        <v>0</v>
      </c>
      <c r="GP42" s="286">
        <f>'Data-temp_employment'!GP42-last_qrtr_tempemp!GQ42</f>
        <v>0</v>
      </c>
      <c r="GQ42" s="286">
        <f>'Data-temp_employment'!GQ42</f>
        <v>0</v>
      </c>
      <c r="GR42" s="279" t="s">
        <v>43</v>
      </c>
      <c r="GS42" s="286">
        <f>'Data-temp_employment'!GS42-last_qrtr_tempemp!GT42</f>
        <v>-1.2000000000000028</v>
      </c>
      <c r="GT42" s="286">
        <f>'Data-temp_employment'!GT42-last_qrtr_tempemp!GU42</f>
        <v>3</v>
      </c>
      <c r="GU42" s="286">
        <f>'Data-temp_employment'!GU42-last_qrtr_tempemp!GV42</f>
        <v>4.2999999999999972</v>
      </c>
      <c r="GV42" s="286">
        <f>'Data-temp_employment'!GV42-last_qrtr_tempemp!GW42</f>
        <v>5.8999999999999986</v>
      </c>
      <c r="GW42" s="286">
        <f>'Data-temp_employment'!GW42-last_qrtr_tempemp!GX42</f>
        <v>-13.299999999999997</v>
      </c>
      <c r="GX42" s="286">
        <f>'Data-temp_employment'!GX42-last_qrtr_tempemp!GY42</f>
        <v>-8.1999999999999957</v>
      </c>
      <c r="GY42" s="286">
        <f>'Data-temp_employment'!GY42-last_qrtr_tempemp!GZ42</f>
        <v>-6.3999999999999986</v>
      </c>
      <c r="GZ42" s="286">
        <f>'Data-temp_employment'!GZ42-last_qrtr_tempemp!HA42</f>
        <v>0.70000000000000284</v>
      </c>
      <c r="HA42" s="286">
        <f>'Data-temp_employment'!HA42-last_qrtr_tempemp!HB42</f>
        <v>6.8999999999999986</v>
      </c>
      <c r="HB42" s="286">
        <f>'Data-temp_employment'!HB42</f>
        <v>53.9</v>
      </c>
      <c r="HC42" s="279" t="s">
        <v>43</v>
      </c>
      <c r="HD42" s="286">
        <f>'Data-temp_employment'!HD42-last_qrtr_tempemp!HE42</f>
        <v>-14.099999999999994</v>
      </c>
      <c r="HE42" s="286">
        <f>'Data-temp_employment'!HE42-last_qrtr_tempemp!HF42</f>
        <v>-15.800000000000004</v>
      </c>
      <c r="HF42" s="286">
        <f>'Data-temp_employment'!HF42-last_qrtr_tempemp!HG42</f>
        <v>-8.6000000000000014</v>
      </c>
      <c r="HG42" s="286">
        <f>'Data-temp_employment'!HG42-last_qrtr_tempemp!HH42</f>
        <v>2.8999999999999986</v>
      </c>
      <c r="HH42" s="286">
        <f>'Data-temp_employment'!HH42-last_qrtr_tempemp!HI42</f>
        <v>5.8000000000000043</v>
      </c>
      <c r="HI42" s="286">
        <f>'Data-temp_employment'!HI42-last_qrtr_tempemp!HJ42</f>
        <v>15.600000000000001</v>
      </c>
      <c r="HJ42" s="286">
        <f>'Data-temp_employment'!HJ42-last_qrtr_tempemp!HK42</f>
        <v>11.600000000000001</v>
      </c>
      <c r="HK42" s="286">
        <f>'Data-temp_employment'!HK42-last_qrtr_tempemp!HL42</f>
        <v>17.299999999999997</v>
      </c>
      <c r="HL42" s="286">
        <f>'Data-temp_employment'!HL42-last_qrtr_tempemp!HM42</f>
        <v>0.20000000000000284</v>
      </c>
      <c r="HM42" s="286">
        <f>'Data-temp_employment'!HM42</f>
        <v>60.1</v>
      </c>
      <c r="HN42" s="279" t="s">
        <v>43</v>
      </c>
      <c r="HO42" s="286">
        <f>'Data-temp_employment'!HO42-last_qrtr_tempemp!HP42</f>
        <v>0.5</v>
      </c>
      <c r="HP42" s="286">
        <f>'Data-temp_employment'!HP42-last_qrtr_tempemp!HQ42</f>
        <v>-56.300000000000011</v>
      </c>
      <c r="HQ42" s="286">
        <f>'Data-temp_employment'!HQ42-last_qrtr_tempemp!HR42</f>
        <v>-19.300000000000011</v>
      </c>
      <c r="HR42" s="286">
        <f>'Data-temp_employment'!HR42-last_qrtr_tempemp!HS42</f>
        <v>28.299999999999983</v>
      </c>
      <c r="HS42" s="286">
        <f>'Data-temp_employment'!HS42-last_qrtr_tempemp!HT42</f>
        <v>-1.1999999999999886</v>
      </c>
      <c r="HT42" s="286">
        <f>'Data-temp_employment'!HT42-last_qrtr_tempemp!HU42</f>
        <v>-11.099999999999994</v>
      </c>
      <c r="HU42" s="286">
        <f>'Data-temp_employment'!HU42-last_qrtr_tempemp!HV42</f>
        <v>-38</v>
      </c>
      <c r="HV42" s="286">
        <f>'Data-temp_employment'!HV42-last_qrtr_tempemp!HW42</f>
        <v>-6.1999999999999886</v>
      </c>
      <c r="HW42" s="286">
        <f>'Data-temp_employment'!HW42-last_qrtr_tempemp!HX42</f>
        <v>-18.900000000000006</v>
      </c>
      <c r="HX42" s="286">
        <f>'Data-temp_employment'!HX42</f>
        <v>197.9</v>
      </c>
      <c r="HY42" s="279" t="s">
        <v>43</v>
      </c>
      <c r="HZ42" s="286">
        <f>'Data-temp_employment'!HZ42-last_qrtr_tempemp!IA42</f>
        <v>0</v>
      </c>
      <c r="IA42" s="286">
        <f>'Data-temp_employment'!IA42-last_qrtr_tempemp!IB42</f>
        <v>0</v>
      </c>
      <c r="IB42" s="286">
        <f>'Data-temp_employment'!IB42-last_qrtr_tempemp!IC42</f>
        <v>0</v>
      </c>
      <c r="IC42" s="286">
        <f>'Data-temp_employment'!IC42-last_qrtr_tempemp!ID42</f>
        <v>0</v>
      </c>
      <c r="ID42" s="286">
        <f>'Data-temp_employment'!ID42-last_qrtr_tempemp!IE42</f>
        <v>0</v>
      </c>
      <c r="IE42" s="286">
        <f>'Data-temp_employment'!IE42-last_qrtr_tempemp!IF42</f>
        <v>0</v>
      </c>
      <c r="IF42" s="286">
        <f>'Data-temp_employment'!IF42-last_qrtr_tempemp!IG42</f>
        <v>0</v>
      </c>
      <c r="IG42" s="286">
        <f>'Data-temp_employment'!IG42-last_qrtr_tempemp!IH42</f>
        <v>0</v>
      </c>
      <c r="IH42" s="286">
        <f>'Data-temp_employment'!IH42-last_qrtr_tempemp!II42</f>
        <v>0</v>
      </c>
      <c r="II42" s="286">
        <f>'Data-temp_employment'!II42</f>
        <v>0</v>
      </c>
      <c r="IJ42" s="279" t="s">
        <v>43</v>
      </c>
      <c r="IK42" s="286">
        <f>'Data-temp_employment'!IK42-last_qrtr_tempemp!IL42</f>
        <v>0</v>
      </c>
      <c r="IL42" s="286">
        <f>'Data-temp_employment'!IL42-last_qrtr_tempemp!IM42</f>
        <v>0</v>
      </c>
      <c r="IM42" s="286">
        <f>'Data-temp_employment'!IM42-last_qrtr_tempemp!IN42</f>
        <v>0</v>
      </c>
      <c r="IN42" s="286">
        <f>'Data-temp_employment'!IN42-last_qrtr_tempemp!IO42</f>
        <v>0</v>
      </c>
      <c r="IO42" s="286">
        <f>'Data-temp_employment'!IO42-last_qrtr_tempemp!IP42</f>
        <v>0</v>
      </c>
      <c r="IP42" s="286">
        <f>'Data-temp_employment'!IP42-last_qrtr_tempemp!IQ42</f>
        <v>0</v>
      </c>
      <c r="IQ42" s="286">
        <f>'Data-temp_employment'!IQ42-last_qrtr_tempemp!IR42</f>
        <v>0</v>
      </c>
      <c r="IR42" s="286">
        <f>'Data-temp_employment'!IR42-last_qrtr_tempemp!IS42</f>
        <v>0</v>
      </c>
      <c r="IS42" s="286">
        <f>'Data-temp_employment'!IS42-last_qrtr_tempemp!IT42</f>
        <v>0</v>
      </c>
      <c r="IT42" s="286">
        <f>'Data-temp_employment'!IT42</f>
        <v>0</v>
      </c>
      <c r="IU42" s="279" t="s">
        <v>43</v>
      </c>
      <c r="IV42" s="286">
        <f>'Data-temp_employment'!IV42-last_qrtr_tempemp!IW42</f>
        <v>0</v>
      </c>
      <c r="IW42" s="286">
        <f>'Data-temp_employment'!IW42-last_qrtr_tempemp!IX42</f>
        <v>0</v>
      </c>
      <c r="IX42" s="286">
        <f>'Data-temp_employment'!IX42-last_qrtr_tempemp!IY42</f>
        <v>-10.4</v>
      </c>
      <c r="IY42" s="286">
        <f>'Data-temp_employment'!IY42-last_qrtr_tempemp!IZ42</f>
        <v>0</v>
      </c>
      <c r="IZ42" s="286">
        <f>'Data-temp_employment'!IZ42-last_qrtr_tempemp!JA42</f>
        <v>0</v>
      </c>
      <c r="JA42" s="286">
        <f>'Data-temp_employment'!JA42-last_qrtr_tempemp!JB42</f>
        <v>-13.4</v>
      </c>
      <c r="JB42" s="286">
        <f>'Data-temp_employment'!JB42-last_qrtr_tempemp!JC42</f>
        <v>-12.8</v>
      </c>
      <c r="JC42" s="286">
        <f>'Data-temp_employment'!JC42-last_qrtr_tempemp!JD42</f>
        <v>0</v>
      </c>
      <c r="JD42" s="286">
        <f>'Data-temp_employment'!JD42-last_qrtr_tempemp!JE42</f>
        <v>-13.9</v>
      </c>
      <c r="JE42" s="286">
        <f>'Data-temp_employment'!JE42</f>
        <v>0</v>
      </c>
      <c r="JF42" s="279" t="s">
        <v>43</v>
      </c>
      <c r="JG42" s="286">
        <f>'Data-temp_employment'!JG42-last_qrtr_tempemp!JH42</f>
        <v>0.60000000000000853</v>
      </c>
      <c r="JH42" s="286">
        <f>'Data-temp_employment'!JH42-last_qrtr_tempemp!JI42</f>
        <v>-4.2000000000000028</v>
      </c>
      <c r="JI42" s="286">
        <f>'Data-temp_employment'!JI42-last_qrtr_tempemp!JJ42</f>
        <v>11.400000000000006</v>
      </c>
      <c r="JJ42" s="286">
        <f>'Data-temp_employment'!JJ42-last_qrtr_tempemp!JK42</f>
        <v>-10.600000000000009</v>
      </c>
      <c r="JK42" s="286">
        <f>'Data-temp_employment'!JK42-last_qrtr_tempemp!JL42</f>
        <v>-19.400000000000006</v>
      </c>
      <c r="JL42" s="286">
        <f>'Data-temp_employment'!JL42-last_qrtr_tempemp!JM42</f>
        <v>-25.400000000000006</v>
      </c>
      <c r="JM42" s="286">
        <f>'Data-temp_employment'!JM42-last_qrtr_tempemp!JN42</f>
        <v>-6.5</v>
      </c>
      <c r="JN42" s="286">
        <f>'Data-temp_employment'!JN42-last_qrtr_tempemp!JO42</f>
        <v>5.7000000000000028</v>
      </c>
      <c r="JO42" s="286">
        <f>'Data-temp_employment'!JO42-last_qrtr_tempemp!JP42</f>
        <v>4.2000000000000028</v>
      </c>
      <c r="JP42" s="286">
        <f>'Data-temp_employment'!JP42</f>
        <v>97.2</v>
      </c>
      <c r="JQ42" s="279" t="s">
        <v>43</v>
      </c>
      <c r="JR42" s="286">
        <f>'Data-temp_employment'!JR42-last_qrtr_tempemp!JS42</f>
        <v>1.3000000000000043</v>
      </c>
      <c r="JS42" s="286">
        <f>'Data-temp_employment'!JS42-last_qrtr_tempemp!JT42</f>
        <v>-4.3000000000000043</v>
      </c>
      <c r="JT42" s="286">
        <f>'Data-temp_employment'!JT42-last_qrtr_tempemp!JU42</f>
        <v>-1</v>
      </c>
      <c r="JU42" s="286">
        <f>'Data-temp_employment'!JU42-last_qrtr_tempemp!JV42</f>
        <v>-3.4000000000000057</v>
      </c>
      <c r="JV42" s="286">
        <f>'Data-temp_employment'!JV42-last_qrtr_tempemp!JW42</f>
        <v>-7.1999999999999957</v>
      </c>
      <c r="JW42" s="286">
        <f>'Data-temp_employment'!JW42-last_qrtr_tempemp!JX42</f>
        <v>-4.8999999999999986</v>
      </c>
      <c r="JX42" s="286">
        <f>'Data-temp_employment'!JX42-last_qrtr_tempemp!JY42</f>
        <v>-0.29999999999999716</v>
      </c>
      <c r="JY42" s="286">
        <f>'Data-temp_employment'!JY42-last_qrtr_tempemp!JZ42</f>
        <v>-2.8000000000000043</v>
      </c>
      <c r="JZ42" s="286">
        <f>'Data-temp_employment'!JZ42-last_qrtr_tempemp!KA42</f>
        <v>-1.5</v>
      </c>
      <c r="KA42" s="286">
        <f>'Data-temp_employment'!KA42</f>
        <v>46.4</v>
      </c>
      <c r="KB42" s="279" t="s">
        <v>43</v>
      </c>
      <c r="KC42" s="286">
        <f>'Data-temp_employment'!KC42-last_qrtr_tempemp!KD42</f>
        <v>0.29999999999998295</v>
      </c>
      <c r="KD42" s="286">
        <f>'Data-temp_employment'!KD42-last_qrtr_tempemp!KE42</f>
        <v>-13.300000000000011</v>
      </c>
      <c r="KE42" s="286">
        <f>'Data-temp_employment'!KE42-last_qrtr_tempemp!KF42</f>
        <v>-21.5</v>
      </c>
      <c r="KF42" s="286">
        <f>'Data-temp_employment'!KF42-last_qrtr_tempemp!KG42</f>
        <v>17.200000000000017</v>
      </c>
      <c r="KG42" s="286">
        <f>'Data-temp_employment'!KG42-last_qrtr_tempemp!KH42</f>
        <v>-3.0999999999999943</v>
      </c>
      <c r="KH42" s="286">
        <f>'Data-temp_employment'!KH42-last_qrtr_tempemp!KI42</f>
        <v>-43.400000000000006</v>
      </c>
      <c r="KI42" s="286">
        <f>'Data-temp_employment'!KI42-last_qrtr_tempemp!KJ42</f>
        <v>-43</v>
      </c>
      <c r="KJ42" s="286">
        <f>'Data-temp_employment'!KJ42-last_qrtr_tempemp!KK42</f>
        <v>8.5</v>
      </c>
      <c r="KK42" s="286">
        <f>'Data-temp_employment'!KK42-last_qrtr_tempemp!KL42</f>
        <v>16.5</v>
      </c>
      <c r="KL42" s="286">
        <f>'Data-temp_employment'!KL42</f>
        <v>128.6</v>
      </c>
      <c r="KM42" s="279" t="s">
        <v>43</v>
      </c>
      <c r="KN42" s="286">
        <f>'Data-temp_employment'!KN42-last_qrtr_tempemp!KO42</f>
        <v>13.100000000000001</v>
      </c>
      <c r="KO42" s="286">
        <f>'Data-temp_employment'!KO42-last_qrtr_tempemp!KP42</f>
        <v>-6.7999999999999972</v>
      </c>
      <c r="KP42" s="286">
        <f>'Data-temp_employment'!KP42-last_qrtr_tempemp!KQ42</f>
        <v>-27.200000000000003</v>
      </c>
      <c r="KQ42" s="286">
        <f>'Data-temp_employment'!KQ42-last_qrtr_tempemp!KR42</f>
        <v>4.5999999999999943</v>
      </c>
      <c r="KR42" s="286">
        <f>'Data-temp_employment'!KR42-last_qrtr_tempemp!KS42</f>
        <v>-0.60000000000000142</v>
      </c>
      <c r="KS42" s="286">
        <f>'Data-temp_employment'!KS42-last_qrtr_tempemp!KT42</f>
        <v>-4.2999999999999972</v>
      </c>
      <c r="KT42" s="286">
        <f>'Data-temp_employment'!KT42-last_qrtr_tempemp!KU42</f>
        <v>-3.5999999999999943</v>
      </c>
      <c r="KU42" s="286">
        <f>'Data-temp_employment'!KU42-last_qrtr_tempemp!KV42</f>
        <v>11.100000000000001</v>
      </c>
      <c r="KV42" s="286">
        <f>'Data-temp_employment'!KV42-last_qrtr_tempemp!KW42</f>
        <v>1.1000000000000014</v>
      </c>
      <c r="KW42" s="286">
        <f>'Data-temp_employment'!KW42</f>
        <v>57.8</v>
      </c>
      <c r="KX42" s="279" t="s">
        <v>43</v>
      </c>
      <c r="KY42" s="286">
        <f>'Data-temp_employment'!KY42-last_qrtr_tempemp!KZ42</f>
        <v>-1.1999999999999886</v>
      </c>
      <c r="KZ42" s="286">
        <f>'Data-temp_employment'!KZ42-last_qrtr_tempemp!LA42</f>
        <v>-2.8000000000000114</v>
      </c>
      <c r="LA42" s="286">
        <f>'Data-temp_employment'!LA42-last_qrtr_tempemp!LB42</f>
        <v>35.899999999999977</v>
      </c>
      <c r="LB42" s="286">
        <f>'Data-temp_employment'!LB42-last_qrtr_tempemp!LC42</f>
        <v>16.900000000000006</v>
      </c>
      <c r="LC42" s="286">
        <f>'Data-temp_employment'!LC42-last_qrtr_tempemp!LD42</f>
        <v>-29.900000000000006</v>
      </c>
      <c r="LD42" s="286">
        <f>'Data-temp_employment'!LD42-last_qrtr_tempemp!LE42</f>
        <v>-11.699999999999989</v>
      </c>
      <c r="LE42" s="286">
        <f>'Data-temp_employment'!LE42-last_qrtr_tempemp!LF42</f>
        <v>-2.4000000000000057</v>
      </c>
      <c r="LF42" s="286">
        <f>'Data-temp_employment'!LF42-last_qrtr_tempemp!LG42</f>
        <v>-17.599999999999994</v>
      </c>
      <c r="LG42" s="286">
        <f>'Data-temp_employment'!LG42-last_qrtr_tempemp!LH42</f>
        <v>-39.900000000000006</v>
      </c>
      <c r="LH42" s="286">
        <f>'Data-temp_employment'!LH42</f>
        <v>128.5</v>
      </c>
      <c r="LI42" s="279" t="s">
        <v>43</v>
      </c>
      <c r="LJ42" s="286">
        <f>'Data-temp_employment'!LJ42-last_qrtr_tempemp!LK42</f>
        <v>-0.69999999999999574</v>
      </c>
      <c r="LK42" s="286">
        <f>'Data-temp_employment'!LK42-last_qrtr_tempemp!LL42</f>
        <v>-1.7000000000000028</v>
      </c>
      <c r="LL42" s="286">
        <f>'Data-temp_employment'!LL42-last_qrtr_tempemp!LM42</f>
        <v>2.4000000000000057</v>
      </c>
      <c r="LM42" s="286">
        <f>'Data-temp_employment'!LM42-last_qrtr_tempemp!LN42</f>
        <v>4.6999999999999957</v>
      </c>
      <c r="LN42" s="286">
        <f>'Data-temp_employment'!LN42-last_qrtr_tempemp!LO42</f>
        <v>-5.5</v>
      </c>
      <c r="LO42" s="286">
        <f>'Data-temp_employment'!LO42-last_qrtr_tempemp!LP42</f>
        <v>5.5999999999999943</v>
      </c>
      <c r="LP42" s="286">
        <f>'Data-temp_employment'!LP42-last_qrtr_tempemp!LQ42</f>
        <v>3.3000000000000043</v>
      </c>
      <c r="LQ42" s="286">
        <f>'Data-temp_employment'!LQ42-last_qrtr_tempemp!LR42</f>
        <v>-5.5</v>
      </c>
      <c r="LR42" s="286">
        <f>'Data-temp_employment'!LR42-last_qrtr_tempemp!LS42</f>
        <v>-7.5999999999999943</v>
      </c>
      <c r="LS42" s="286">
        <f>'Data-temp_employment'!LS42</f>
        <v>40.200000000000003</v>
      </c>
      <c r="LT42" s="279" t="s">
        <v>43</v>
      </c>
      <c r="LU42" s="286">
        <f>'Data-temp_employment'!LU42-last_qrtr_tempemp!LV42</f>
        <v>3.8999999999999986</v>
      </c>
      <c r="LV42" s="286">
        <f>'Data-temp_employment'!LV42-last_qrtr_tempemp!LW42</f>
        <v>-8.3999999999999986</v>
      </c>
      <c r="LW42" s="286">
        <f>'Data-temp_employment'!LW42-last_qrtr_tempemp!LX42</f>
        <v>-5.4000000000000021</v>
      </c>
      <c r="LX42" s="286">
        <f>'Data-temp_employment'!LX42-last_qrtr_tempemp!LY42</f>
        <v>-7.0999999999999979</v>
      </c>
      <c r="LY42" s="286">
        <f>'Data-temp_employment'!LY42-last_qrtr_tempemp!LZ42</f>
        <v>1.2000000000000028</v>
      </c>
      <c r="LZ42" s="286">
        <f>'Data-temp_employment'!LZ42-last_qrtr_tempemp!MA42</f>
        <v>-0.30000000000000071</v>
      </c>
      <c r="MA42" s="286">
        <f>'Data-temp_employment'!MA42-last_qrtr_tempemp!MB42</f>
        <v>5.0999999999999979</v>
      </c>
      <c r="MB42" s="286">
        <f>'Data-temp_employment'!MB42-last_qrtr_tempemp!MC42</f>
        <v>0.39999999999999858</v>
      </c>
      <c r="MC42" s="286">
        <f>'Data-temp_employment'!MC42-last_qrtr_tempemp!MD42</f>
        <v>3.2000000000000028</v>
      </c>
      <c r="MD42" s="286">
        <f>'Data-temp_employment'!MD42</f>
        <v>28.8</v>
      </c>
      <c r="ME42" s="279" t="s">
        <v>43</v>
      </c>
      <c r="MF42" s="286">
        <f>'Data-temp_employment'!MF42-last_qrtr_tempemp!MG42</f>
        <v>-2.7000000000000028</v>
      </c>
      <c r="MG42" s="286">
        <f>'Data-temp_employment'!MG42-last_qrtr_tempemp!MH42</f>
        <v>3.0999999999999943</v>
      </c>
      <c r="MH42" s="286">
        <f>'Data-temp_employment'!MH42-last_qrtr_tempemp!MI42</f>
        <v>14.799999999999997</v>
      </c>
      <c r="MI42" s="286">
        <f>'Data-temp_employment'!MI42-last_qrtr_tempemp!MJ42</f>
        <v>8.2000000000000028</v>
      </c>
      <c r="MJ42" s="286">
        <f>'Data-temp_employment'!MJ42-last_qrtr_tempemp!MK42</f>
        <v>-3.0999999999999943</v>
      </c>
      <c r="MK42" s="286">
        <f>'Data-temp_employment'!MK42-last_qrtr_tempemp!ML42</f>
        <v>-9.5999999999999943</v>
      </c>
      <c r="ML42" s="286">
        <f>'Data-temp_employment'!ML42-last_qrtr_tempemp!MM42</f>
        <v>8.5999999999999943</v>
      </c>
      <c r="MM42" s="286">
        <f>'Data-temp_employment'!MM42-last_qrtr_tempemp!MN42</f>
        <v>28.799999999999997</v>
      </c>
      <c r="MN42" s="286">
        <f>'Data-temp_employment'!MN42-last_qrtr_tempemp!MO42</f>
        <v>19.400000000000006</v>
      </c>
      <c r="MO42" s="286">
        <f>'Data-temp_employment'!MO42</f>
        <v>89.5</v>
      </c>
      <c r="MP42" s="279" t="s">
        <v>43</v>
      </c>
      <c r="MQ42" s="286">
        <f>'Data-temp_employment'!MQ42-last_qrtr_tempemp!MR42</f>
        <v>-10.600000000000009</v>
      </c>
      <c r="MR42" s="286">
        <f>'Data-temp_employment'!MR42-last_qrtr_tempemp!MS42</f>
        <v>-26</v>
      </c>
      <c r="MS42" s="286">
        <f>'Data-temp_employment'!MS42-last_qrtr_tempemp!MT42</f>
        <v>-5.5999999999999943</v>
      </c>
      <c r="MT42" s="286">
        <f>'Data-temp_employment'!MT42-last_qrtr_tempemp!MU42</f>
        <v>9.7999999999999972</v>
      </c>
      <c r="MU42" s="286">
        <f>'Data-temp_employment'!MU42-last_qrtr_tempemp!MV42</f>
        <v>15.5</v>
      </c>
      <c r="MV42" s="286">
        <f>'Data-temp_employment'!MV42-last_qrtr_tempemp!MW42</f>
        <v>17.799999999999997</v>
      </c>
      <c r="MW42" s="286">
        <f>'Data-temp_employment'!MW42-last_qrtr_tempemp!MX42</f>
        <v>0.5</v>
      </c>
      <c r="MX42" s="286">
        <f>'Data-temp_employment'!MX42-last_qrtr_tempemp!MY42</f>
        <v>-8.3000000000000114</v>
      </c>
      <c r="MY42" s="286">
        <f>'Data-temp_employment'!MY42-last_qrtr_tempemp!MZ42</f>
        <v>-18.5</v>
      </c>
      <c r="MZ42" s="286">
        <f>'Data-temp_employment'!MZ42</f>
        <v>80.099999999999994</v>
      </c>
      <c r="NA42" s="279" t="s">
        <v>43</v>
      </c>
      <c r="NB42" s="286">
        <f>'Data-temp_employment'!NB42-last_qrtr_tempemp!NC42</f>
        <v>-14.5</v>
      </c>
      <c r="NC42" s="286">
        <f>'Data-temp_employment'!NC42-last_qrtr_tempemp!ND42</f>
        <v>-17.799999999999997</v>
      </c>
      <c r="ND42" s="286">
        <f>'Data-temp_employment'!ND42-last_qrtr_tempemp!NE42</f>
        <v>0.29999999999999716</v>
      </c>
      <c r="NE42" s="286">
        <f>'Data-temp_employment'!NE42-last_qrtr_tempemp!NF42</f>
        <v>18.399999999999991</v>
      </c>
      <c r="NF42" s="286">
        <f>'Data-temp_employment'!NF42-last_qrtr_tempemp!NG42</f>
        <v>5.2000000000000028</v>
      </c>
      <c r="NG42" s="286">
        <f>'Data-temp_employment'!NG42-last_qrtr_tempemp!NH42</f>
        <v>5.7000000000000028</v>
      </c>
      <c r="NH42" s="286">
        <f>'Data-temp_employment'!NH42-last_qrtr_tempemp!NI42</f>
        <v>9.4000000000000057</v>
      </c>
      <c r="NI42" s="286">
        <f>'Data-temp_employment'!NI42-last_qrtr_tempemp!NJ42</f>
        <v>17.5</v>
      </c>
      <c r="NJ42" s="286">
        <f>'Data-temp_employment'!NJ42-last_qrtr_tempemp!NK42</f>
        <v>18.799999999999997</v>
      </c>
      <c r="NK42" s="286">
        <f>'Data-temp_employment'!NK42</f>
        <v>93.9</v>
      </c>
      <c r="NL42" s="279" t="s">
        <v>43</v>
      </c>
      <c r="NM42" s="286">
        <f>'Data-temp_employment'!NM42-last_qrtr_tempemp!NN42</f>
        <v>14.900000000000034</v>
      </c>
      <c r="NN42" s="286">
        <f>'Data-temp_employment'!NN42-last_qrtr_tempemp!NO42</f>
        <v>51</v>
      </c>
      <c r="NO42" s="286">
        <f>'Data-temp_employment'!NO42-last_qrtr_tempemp!NP42</f>
        <v>-16</v>
      </c>
      <c r="NP42" s="286">
        <f>'Data-temp_employment'!NP42-last_qrtr_tempemp!NQ42</f>
        <v>-28.600000000000023</v>
      </c>
      <c r="NQ42" s="286">
        <f>'Data-temp_employment'!NQ42-last_qrtr_tempemp!NR42</f>
        <v>0.70000000000004547</v>
      </c>
      <c r="NR42" s="286">
        <f>'Data-temp_employment'!NR42-last_qrtr_tempemp!NS42</f>
        <v>17.5</v>
      </c>
      <c r="NS42" s="286">
        <f>'Data-temp_employment'!NS42-last_qrtr_tempemp!NT42</f>
        <v>5</v>
      </c>
      <c r="NT42" s="286">
        <f>'Data-temp_employment'!NT42-last_qrtr_tempemp!NU42</f>
        <v>-44.5</v>
      </c>
      <c r="NU42" s="286">
        <f>'Data-temp_employment'!NU42-last_qrtr_tempemp!NV42</f>
        <v>-41</v>
      </c>
      <c r="NV42" s="286">
        <f>'Data-temp_employment'!NV42</f>
        <v>275.60000000000002</v>
      </c>
      <c r="NW42" s="279" t="s">
        <v>43</v>
      </c>
      <c r="NX42" s="286">
        <f>'Data-temp_employment'!NX42-last_qrtr_tempemp!NY42</f>
        <v>4.4000000000000057</v>
      </c>
      <c r="NY42" s="286">
        <f>'Data-temp_employment'!NY42-last_qrtr_tempemp!NZ42</f>
        <v>-16</v>
      </c>
      <c r="NZ42" s="286">
        <f>'Data-temp_employment'!NZ42-last_qrtr_tempemp!OA42</f>
        <v>-15.400000000000006</v>
      </c>
      <c r="OA42" s="286">
        <f>'Data-temp_employment'!OA42-last_qrtr_tempemp!OB42</f>
        <v>-8.5999999999999943</v>
      </c>
      <c r="OB42" s="286">
        <f>'Data-temp_employment'!OB42-last_qrtr_tempemp!OC42</f>
        <v>-14.5</v>
      </c>
      <c r="OC42" s="286">
        <f>'Data-temp_employment'!OC42-last_qrtr_tempemp!OD42</f>
        <v>-4.1999999999999886</v>
      </c>
      <c r="OD42" s="286">
        <f>'Data-temp_employment'!OD42-last_qrtr_tempemp!OE42</f>
        <v>-6.0999999999999943</v>
      </c>
      <c r="OE42" s="286">
        <f>'Data-temp_employment'!OE42-last_qrtr_tempemp!OF42</f>
        <v>-9.9000000000000057</v>
      </c>
      <c r="OF42" s="286">
        <f>'Data-temp_employment'!OF42-last_qrtr_tempemp!OG42</f>
        <v>23.799999999999983</v>
      </c>
      <c r="OG42" s="286">
        <f>'Data-temp_employment'!OG42</f>
        <v>214.2</v>
      </c>
      <c r="OH42" s="287" t="s">
        <v>43</v>
      </c>
      <c r="OI42" s="286"/>
      <c r="OJ42" s="286"/>
      <c r="OK42" s="286"/>
      <c r="OL42" s="286"/>
      <c r="OM42" s="286"/>
      <c r="ON42" s="286"/>
      <c r="OO42" s="286"/>
      <c r="OP42" s="286"/>
      <c r="OQ42" s="286"/>
      <c r="OR42" s="286"/>
      <c r="OS42" s="292" t="s">
        <v>43</v>
      </c>
      <c r="OT42" s="286" t="e">
        <f>'Data-temp_employment'!#REF!-last_qrtr_tempemp!OU42</f>
        <v>#REF!</v>
      </c>
      <c r="OU42" s="286">
        <f>'Data-temp_employment'!OT41-last_qrtr_tempemp!OV42</f>
        <v>-0.4</v>
      </c>
      <c r="OV42" s="286">
        <f>'Data-temp_employment'!OU41-last_qrtr_tempemp!OW42</f>
        <v>-0.7</v>
      </c>
      <c r="OW42" s="286">
        <f>'Data-temp_employment'!OV41-last_qrtr_tempemp!OX42</f>
        <v>-0.2</v>
      </c>
      <c r="OX42" s="286">
        <f>'Data-temp_employment'!OW41-last_qrtr_tempemp!OY42</f>
        <v>-0.5</v>
      </c>
      <c r="OY42" s="286">
        <f>'Data-temp_employment'!OX41-last_qrtr_tempemp!OZ42</f>
        <v>-0.4</v>
      </c>
      <c r="OZ42" s="286">
        <f>'Data-temp_employment'!OY41-last_qrtr_tempemp!PA42</f>
        <v>-0.6</v>
      </c>
      <c r="PA42" s="286">
        <f>'Data-temp_employment'!OZ41-last_qrtr_tempemp!PB42</f>
        <v>-0.3</v>
      </c>
      <c r="PB42" s="286">
        <f>'Data-temp_employment'!PA41-last_qrtr_tempemp!PC42</f>
        <v>-0.3</v>
      </c>
      <c r="PC42" s="286">
        <f>'Data-temp_employment'!PB41</f>
        <v>0</v>
      </c>
    </row>
    <row r="46" spans="1:485">
      <c r="B46" s="285" t="str">
        <f>B3</f>
        <v>GEO/TIME</v>
      </c>
      <c r="C46" s="285" t="s">
        <v>9</v>
      </c>
      <c r="D46" s="285" t="s">
        <v>10</v>
      </c>
      <c r="E46" s="285" t="s">
        <v>58</v>
      </c>
      <c r="F46" s="285" t="s">
        <v>325</v>
      </c>
      <c r="G46" s="285" t="s">
        <v>384</v>
      </c>
      <c r="H46" s="285" t="s">
        <v>409</v>
      </c>
      <c r="I46" s="285" t="s">
        <v>436</v>
      </c>
      <c r="J46" s="285" t="s">
        <v>445</v>
      </c>
      <c r="K46" s="285" t="s">
        <v>545</v>
      </c>
      <c r="L46" s="285" t="s">
        <v>549</v>
      </c>
      <c r="M46" s="285" t="str">
        <f>M3</f>
        <v>GEO/TIME</v>
      </c>
      <c r="N46" s="285" t="str">
        <f t="shared" ref="N46:W46" si="0">N3</f>
        <v>2016Q1</v>
      </c>
      <c r="O46" s="285" t="str">
        <f t="shared" si="0"/>
        <v>2016Q2</v>
      </c>
      <c r="P46" s="285" t="str">
        <f t="shared" si="0"/>
        <v>2016Q3</v>
      </c>
      <c r="Q46" s="285" t="str">
        <f t="shared" si="0"/>
        <v>2016Q4</v>
      </c>
      <c r="R46" s="285" t="str">
        <f t="shared" si="0"/>
        <v>2017Q1</v>
      </c>
      <c r="S46" s="285" t="str">
        <f t="shared" si="0"/>
        <v>2017Q2</v>
      </c>
      <c r="T46" s="285" t="str">
        <f t="shared" si="0"/>
        <v>2017Q3</v>
      </c>
      <c r="U46" s="285" t="str">
        <f t="shared" si="0"/>
        <v>2017Q4</v>
      </c>
      <c r="V46" s="285" t="str">
        <f t="shared" si="0"/>
        <v>2018Q1</v>
      </c>
      <c r="W46" s="285" t="str">
        <f t="shared" si="0"/>
        <v>2018Q2</v>
      </c>
    </row>
    <row r="47" spans="1:485">
      <c r="B47" s="285" t="str">
        <f>B4</f>
        <v>European Union (28 countries)</v>
      </c>
      <c r="G47" s="273">
        <f>G4/C4-1</f>
        <v>0.19999999999999929</v>
      </c>
      <c r="H47" s="273">
        <f t="shared" ref="H47:K62" si="1">H4/D4-1</f>
        <v>0</v>
      </c>
      <c r="I47" s="273">
        <f t="shared" si="1"/>
        <v>0.20000000000000284</v>
      </c>
      <c r="J47" s="273">
        <f t="shared" si="1"/>
        <v>-0.16666666666666863</v>
      </c>
      <c r="K47" s="273">
        <f>K4/G4-1</f>
        <v>-0.16666666666666619</v>
      </c>
      <c r="L47" s="273">
        <f t="shared" ref="L47:L85" si="2">L4/H4-1</f>
        <v>-72.500000000000256</v>
      </c>
      <c r="M47" s="285" t="str">
        <f>M4</f>
        <v>European Union (28 countries)</v>
      </c>
      <c r="R47" s="273">
        <f>R4/N4-1</f>
        <v>0.40993417115499065</v>
      </c>
      <c r="S47" s="273">
        <f t="shared" ref="S47:W62" si="3">S4/O4-1</f>
        <v>-1.2222222222222183</v>
      </c>
      <c r="T47" s="273">
        <f t="shared" si="3"/>
        <v>0.22112238219895564</v>
      </c>
      <c r="U47" s="273">
        <f t="shared" si="3"/>
        <v>8.1434515553796327E-2</v>
      </c>
      <c r="V47" s="273">
        <f t="shared" si="3"/>
        <v>-1.2521222410865174E-2</v>
      </c>
      <c r="W47" s="273">
        <f t="shared" si="3"/>
        <v>587.91845493564063</v>
      </c>
    </row>
    <row r="48" spans="1:485">
      <c r="B48" s="285" t="str">
        <f t="shared" ref="B48:B85" si="4">B5</f>
        <v>European Union (27 countries)</v>
      </c>
      <c r="G48" s="273">
        <f t="shared" ref="G48:K63" si="5">G5/C5-1</f>
        <v>0.20000000000000284</v>
      </c>
      <c r="H48" s="273">
        <f t="shared" si="1"/>
        <v>-0.5</v>
      </c>
      <c r="I48" s="273">
        <f t="shared" si="1"/>
        <v>0.24999999999999889</v>
      </c>
      <c r="J48" s="273">
        <f t="shared" si="1"/>
        <v>0.20000000000000284</v>
      </c>
      <c r="K48" s="273">
        <f t="shared" si="1"/>
        <v>-2.9976021664879227E-15</v>
      </c>
      <c r="L48" s="273">
        <f t="shared" si="2"/>
        <v>-144.00000000000051</v>
      </c>
      <c r="M48" s="285" t="str">
        <f t="shared" ref="M48:M85" si="6">M5</f>
        <v>European Union (27 countries)</v>
      </c>
      <c r="R48" s="273">
        <f t="shared" ref="R48:W63" si="7">R5/N5-1</f>
        <v>0.29875333926981229</v>
      </c>
      <c r="S48" s="273">
        <f t="shared" si="3"/>
        <v>-1.3494293239684041</v>
      </c>
      <c r="T48" s="273">
        <f t="shared" si="3"/>
        <v>0.24195624195624199</v>
      </c>
      <c r="U48" s="273">
        <f t="shared" si="3"/>
        <v>7.2662974577968775E-2</v>
      </c>
      <c r="V48" s="273">
        <f t="shared" si="3"/>
        <v>2.7082619129243257E-2</v>
      </c>
      <c r="W48" s="273">
        <f t="shared" si="3"/>
        <v>340.06783919597052</v>
      </c>
    </row>
    <row r="49" spans="2:24">
      <c r="B49" s="285" t="str">
        <f t="shared" si="4"/>
        <v>European Union (15 countries)</v>
      </c>
      <c r="G49" s="273">
        <f t="shared" si="5"/>
        <v>0</v>
      </c>
      <c r="H49" s="273">
        <f t="shared" si="1"/>
        <v>-1</v>
      </c>
      <c r="I49" s="273">
        <f t="shared" si="1"/>
        <v>0</v>
      </c>
      <c r="J49" s="273">
        <f t="shared" si="1"/>
        <v>-0.12500000000000167</v>
      </c>
      <c r="K49" s="273">
        <f t="shared" si="1"/>
        <v>0.24999999999999889</v>
      </c>
      <c r="L49" s="273" t="e">
        <f t="shared" si="2"/>
        <v>#DIV/0!</v>
      </c>
      <c r="M49" s="285" t="str">
        <f t="shared" si="6"/>
        <v>European Union (15 countries)</v>
      </c>
      <c r="R49" s="273">
        <f t="shared" si="7"/>
        <v>0.14604606981715462</v>
      </c>
      <c r="S49" s="273">
        <f t="shared" si="3"/>
        <v>-2.3517509727626518</v>
      </c>
      <c r="T49" s="273">
        <f t="shared" si="3"/>
        <v>0.16381297332894307</v>
      </c>
      <c r="U49" s="273">
        <f t="shared" si="3"/>
        <v>8.7520150456745771E-2</v>
      </c>
      <c r="V49" s="273">
        <f t="shared" si="3"/>
        <v>3.7712391214249852E-2</v>
      </c>
      <c r="W49" s="273">
        <f t="shared" si="3"/>
        <v>129.26943005181292</v>
      </c>
    </row>
    <row r="50" spans="2:24">
      <c r="B50" s="285" t="str">
        <f t="shared" si="4"/>
        <v>Euro area (19 countries)</v>
      </c>
      <c r="G50" s="273">
        <f t="shared" si="5"/>
        <v>-0.33333333333333526</v>
      </c>
      <c r="H50" s="273">
        <f t="shared" si="1"/>
        <v>-1</v>
      </c>
      <c r="I50" s="273">
        <f t="shared" si="1"/>
        <v>0.33333333333333126</v>
      </c>
      <c r="J50" s="273">
        <f t="shared" si="1"/>
        <v>-1.9984014443252818E-15</v>
      </c>
      <c r="K50" s="273">
        <f t="shared" si="1"/>
        <v>8.8817841970012523E-15</v>
      </c>
      <c r="L50" s="273" t="e">
        <f t="shared" si="2"/>
        <v>#DIV/0!</v>
      </c>
      <c r="M50" s="285" t="str">
        <f t="shared" si="6"/>
        <v>Euro area (19 countries)</v>
      </c>
      <c r="R50" s="273">
        <f t="shared" si="7"/>
        <v>-0.25244045294806539</v>
      </c>
      <c r="S50" s="273">
        <f t="shared" si="3"/>
        <v>-2.4380211228460178</v>
      </c>
      <c r="T50" s="273">
        <f t="shared" si="3"/>
        <v>0.33502732764406695</v>
      </c>
      <c r="U50" s="273">
        <f t="shared" si="3"/>
        <v>0.13062720420441298</v>
      </c>
      <c r="V50" s="273">
        <f t="shared" si="3"/>
        <v>0.12274745364324846</v>
      </c>
      <c r="W50" s="273">
        <f t="shared" si="3"/>
        <v>78.71743332044818</v>
      </c>
    </row>
    <row r="51" spans="2:24">
      <c r="B51" s="285" t="str">
        <f t="shared" si="4"/>
        <v>Euro area (18 countries)</v>
      </c>
      <c r="G51" s="273">
        <f t="shared" si="5"/>
        <v>-0.19999999999999929</v>
      </c>
      <c r="H51" s="273">
        <f t="shared" si="1"/>
        <v>-1.3333333333333373</v>
      </c>
      <c r="I51" s="273">
        <f t="shared" si="1"/>
        <v>0.33333333333333237</v>
      </c>
      <c r="J51" s="273">
        <f t="shared" si="1"/>
        <v>0.24999999999999667</v>
      </c>
      <c r="K51" s="273">
        <f t="shared" si="1"/>
        <v>0.24999999999999889</v>
      </c>
      <c r="L51" s="273">
        <f t="shared" si="2"/>
        <v>163.99999999999767</v>
      </c>
      <c r="M51" s="285" t="str">
        <f t="shared" si="6"/>
        <v>Euro area (18 countries)</v>
      </c>
      <c r="R51" s="273">
        <f t="shared" si="7"/>
        <v>-0.26799841772151978</v>
      </c>
      <c r="S51" s="273">
        <f t="shared" si="3"/>
        <v>-2.4865621500560033</v>
      </c>
      <c r="T51" s="273">
        <f t="shared" si="3"/>
        <v>0.33323704987483049</v>
      </c>
      <c r="U51" s="273">
        <f t="shared" si="3"/>
        <v>0.1289810017271138</v>
      </c>
      <c r="V51" s="273">
        <f t="shared" si="3"/>
        <v>0.13888138340989364</v>
      </c>
      <c r="W51" s="273">
        <f t="shared" si="3"/>
        <v>76.597363465160072</v>
      </c>
    </row>
    <row r="52" spans="2:24">
      <c r="B52" s="285" t="str">
        <f t="shared" si="4"/>
        <v>Euro area (17 countries)</v>
      </c>
      <c r="G52" s="273">
        <f t="shared" si="5"/>
        <v>-0.33333333333333237</v>
      </c>
      <c r="H52" s="273">
        <f t="shared" si="1"/>
        <v>-1</v>
      </c>
      <c r="I52" s="273">
        <f t="shared" si="1"/>
        <v>0.33333333333333126</v>
      </c>
      <c r="J52" s="273">
        <f t="shared" si="1"/>
        <v>-1.9984014443252818E-15</v>
      </c>
      <c r="K52" s="273">
        <f t="shared" si="1"/>
        <v>0</v>
      </c>
      <c r="L52" s="273" t="e">
        <f t="shared" si="2"/>
        <v>#DIV/0!</v>
      </c>
      <c r="M52" s="285" t="str">
        <f t="shared" si="6"/>
        <v>Euro area (17 countries)</v>
      </c>
      <c r="R52" s="273">
        <f t="shared" si="7"/>
        <v>-0.28661541494184506</v>
      </c>
      <c r="S52" s="273">
        <f t="shared" si="3"/>
        <v>-2.5191226096738095</v>
      </c>
      <c r="T52" s="273">
        <f t="shared" si="3"/>
        <v>0.32408381973016942</v>
      </c>
      <c r="U52" s="273">
        <f t="shared" si="3"/>
        <v>0.12346103583465173</v>
      </c>
      <c r="V52" s="273">
        <f t="shared" si="3"/>
        <v>0.15888366952195665</v>
      </c>
      <c r="W52" s="273">
        <f t="shared" si="3"/>
        <v>75.186967789706898</v>
      </c>
    </row>
    <row r="53" spans="2:24">
      <c r="B53" s="290" t="str">
        <f t="shared" si="4"/>
        <v>Austria</v>
      </c>
      <c r="G53" s="273" t="e">
        <f t="shared" si="5"/>
        <v>#DIV/0!</v>
      </c>
      <c r="H53" s="273">
        <f t="shared" si="1"/>
        <v>-0.4545454545454547</v>
      </c>
      <c r="I53" s="273">
        <f t="shared" si="1"/>
        <v>0.50000000000000155</v>
      </c>
      <c r="J53" s="273" t="e">
        <f t="shared" si="1"/>
        <v>#DIV/0!</v>
      </c>
      <c r="K53" s="273">
        <f t="shared" si="1"/>
        <v>-1.7500000000000011</v>
      </c>
      <c r="L53" s="273">
        <f t="shared" si="2"/>
        <v>-15.666666666666677</v>
      </c>
      <c r="M53" s="290" t="str">
        <f t="shared" si="6"/>
        <v>Austria</v>
      </c>
      <c r="R53" s="273">
        <f t="shared" si="7"/>
        <v>14.888888888889303</v>
      </c>
      <c r="S53" s="273">
        <f t="shared" si="3"/>
        <v>-0.44179894179894141</v>
      </c>
      <c r="T53" s="273">
        <f t="shared" si="3"/>
        <v>0.35873015873015901</v>
      </c>
      <c r="U53" s="273">
        <f t="shared" si="3"/>
        <v>-0.75294117647059222</v>
      </c>
      <c r="V53" s="273">
        <f t="shared" si="3"/>
        <v>-1.9510489510489479</v>
      </c>
      <c r="W53" s="273">
        <f t="shared" si="3"/>
        <v>-16.69194312796207</v>
      </c>
      <c r="X53" s="290" t="str">
        <f t="shared" ref="X53:X85" si="8">X10</f>
        <v>Austria</v>
      </c>
    </row>
    <row r="54" spans="2:24">
      <c r="B54" s="287" t="str">
        <f t="shared" si="4"/>
        <v>Belgium</v>
      </c>
      <c r="G54" s="273" t="e">
        <f t="shared" si="5"/>
        <v>#DIV/0!</v>
      </c>
      <c r="H54" s="273">
        <f t="shared" si="1"/>
        <v>3.0000000000000089</v>
      </c>
      <c r="I54" s="273">
        <f t="shared" si="1"/>
        <v>9.9999999999999467</v>
      </c>
      <c r="J54" s="273">
        <f t="shared" si="1"/>
        <v>1</v>
      </c>
      <c r="K54" s="273">
        <f t="shared" si="1"/>
        <v>2.9999999999999467</v>
      </c>
      <c r="L54" s="274">
        <f>L11/H11-1</f>
        <v>12.000000000000018</v>
      </c>
      <c r="M54" s="287" t="str">
        <f t="shared" si="6"/>
        <v>Belgium</v>
      </c>
      <c r="R54" s="273">
        <f t="shared" si="7"/>
        <v>2.933333333333318</v>
      </c>
      <c r="S54" s="273">
        <f t="shared" si="3"/>
        <v>5.3278688524589963</v>
      </c>
      <c r="T54" s="273">
        <f t="shared" si="3"/>
        <v>8.8588235294117652</v>
      </c>
      <c r="U54" s="273">
        <f t="shared" si="3"/>
        <v>0.72303921568627438</v>
      </c>
      <c r="V54" s="273">
        <f t="shared" si="3"/>
        <v>3.0169491525423862</v>
      </c>
      <c r="W54" s="274">
        <f t="shared" si="3"/>
        <v>9.8419689119170926</v>
      </c>
      <c r="X54" s="287" t="str">
        <f t="shared" si="8"/>
        <v>Belgium</v>
      </c>
    </row>
    <row r="55" spans="2:24">
      <c r="B55" s="287" t="str">
        <f t="shared" si="4"/>
        <v>Bulgaria</v>
      </c>
      <c r="G55" s="273">
        <f t="shared" si="5"/>
        <v>-0.28571428571428514</v>
      </c>
      <c r="H55" s="273">
        <f t="shared" si="1"/>
        <v>-0.92307692307692335</v>
      </c>
      <c r="I55" s="273">
        <f t="shared" si="1"/>
        <v>0.20000000000000018</v>
      </c>
      <c r="J55" s="273">
        <f t="shared" si="1"/>
        <v>0.66666666666666763</v>
      </c>
      <c r="K55" s="273">
        <f t="shared" si="1"/>
        <v>0.49999999999999933</v>
      </c>
      <c r="L55" s="274">
        <f t="shared" si="2"/>
        <v>-43.000000000000149</v>
      </c>
      <c r="M55" s="287" t="str">
        <f t="shared" si="6"/>
        <v>Bulgaria</v>
      </c>
      <c r="R55" s="273">
        <f t="shared" si="7"/>
        <v>-0.29670329670329632</v>
      </c>
      <c r="S55" s="273">
        <f t="shared" si="3"/>
        <v>-0.9895287958115182</v>
      </c>
      <c r="T55" s="273">
        <f t="shared" si="3"/>
        <v>0.36724565756823813</v>
      </c>
      <c r="U55" s="273">
        <f t="shared" si="3"/>
        <v>0.62626262626262852</v>
      </c>
      <c r="V55" s="273">
        <f t="shared" si="3"/>
        <v>0.62109374999999956</v>
      </c>
      <c r="W55" s="274">
        <f t="shared" si="3"/>
        <v>-286.99999999999596</v>
      </c>
      <c r="X55" s="287" t="str">
        <f t="shared" si="8"/>
        <v>Bulgaria</v>
      </c>
    </row>
    <row r="56" spans="2:24">
      <c r="B56" s="287" t="str">
        <f t="shared" si="4"/>
        <v>Croatia</v>
      </c>
      <c r="G56" s="273">
        <f t="shared" si="5"/>
        <v>-8.6666666666666963</v>
      </c>
      <c r="H56" s="273">
        <f t="shared" si="1"/>
        <v>-3.2500000000000009</v>
      </c>
      <c r="I56" s="273">
        <f t="shared" si="1"/>
        <v>-0.45161290322580627</v>
      </c>
      <c r="J56" s="273">
        <f t="shared" si="1"/>
        <v>0.999999999999994</v>
      </c>
      <c r="K56" s="275">
        <f t="shared" si="1"/>
        <v>-0.56521739130434789</v>
      </c>
      <c r="L56" s="275">
        <f t="shared" si="2"/>
        <v>-8.5185185185185208</v>
      </c>
      <c r="M56" s="287" t="str">
        <f t="shared" si="6"/>
        <v>Croatia</v>
      </c>
      <c r="R56" s="273">
        <f t="shared" si="7"/>
        <v>-13.716981132075452</v>
      </c>
      <c r="S56" s="273">
        <f t="shared" si="3"/>
        <v>-2.8076923076923022</v>
      </c>
      <c r="T56" s="273">
        <f t="shared" si="3"/>
        <v>-0.20246478873239437</v>
      </c>
      <c r="U56" s="273">
        <f t="shared" si="3"/>
        <v>0.94771241830066022</v>
      </c>
      <c r="V56" s="275">
        <f t="shared" si="3"/>
        <v>-0.52522255192878364</v>
      </c>
      <c r="W56" s="275">
        <f t="shared" si="3"/>
        <v>-9.9544072948328335</v>
      </c>
      <c r="X56" s="290" t="str">
        <f t="shared" si="8"/>
        <v>Croatia</v>
      </c>
    </row>
    <row r="57" spans="2:24">
      <c r="B57" s="287" t="str">
        <f t="shared" si="4"/>
        <v>Cyprus</v>
      </c>
      <c r="G57" s="273">
        <f t="shared" si="5"/>
        <v>0.40540540540540593</v>
      </c>
      <c r="H57" s="273">
        <f t="shared" si="1"/>
        <v>4.5000000000000089</v>
      </c>
      <c r="I57" s="273">
        <f t="shared" si="1"/>
        <v>-2.8181818181818157</v>
      </c>
      <c r="J57" s="273">
        <f t="shared" si="1"/>
        <v>-2.4000000000000004</v>
      </c>
      <c r="K57" s="273">
        <f t="shared" si="1"/>
        <v>-0.46153846153846156</v>
      </c>
      <c r="L57" s="274">
        <f t="shared" si="2"/>
        <v>-14.818181818181845</v>
      </c>
      <c r="M57" s="287" t="str">
        <f t="shared" si="6"/>
        <v>Cyprus</v>
      </c>
      <c r="R57" s="273">
        <f t="shared" si="7"/>
        <v>0.2719999999999998</v>
      </c>
      <c r="S57" s="273">
        <f t="shared" si="3"/>
        <v>-4.9999999999999645</v>
      </c>
      <c r="T57" s="273">
        <f t="shared" si="3"/>
        <v>-4.6153846153846221</v>
      </c>
      <c r="U57" s="273" t="e">
        <f t="shared" si="3"/>
        <v>#DIV/0!</v>
      </c>
      <c r="V57" s="273">
        <f t="shared" si="3"/>
        <v>-0.42767295597484267</v>
      </c>
      <c r="W57" s="274">
        <f t="shared" si="3"/>
        <v>-66.749999999999645</v>
      </c>
      <c r="X57" s="287" t="str">
        <f t="shared" si="8"/>
        <v>Cyprus</v>
      </c>
    </row>
    <row r="58" spans="2:24">
      <c r="B58" s="287" t="str">
        <f t="shared" si="4"/>
        <v>Czech Republic</v>
      </c>
      <c r="G58" s="273">
        <f t="shared" si="5"/>
        <v>-0.54545454545454608</v>
      </c>
      <c r="H58" s="273">
        <f t="shared" si="1"/>
        <v>-0.19999999999999929</v>
      </c>
      <c r="I58" s="273" t="e">
        <f t="shared" si="1"/>
        <v>#DIV/0!</v>
      </c>
      <c r="J58" s="273">
        <f t="shared" si="1"/>
        <v>-0.85714285714285787</v>
      </c>
      <c r="K58" s="273">
        <f t="shared" si="1"/>
        <v>1</v>
      </c>
      <c r="L58" s="274">
        <f t="shared" si="2"/>
        <v>-22.499999999999979</v>
      </c>
      <c r="M58" s="287" t="str">
        <f t="shared" si="6"/>
        <v>Czech Republic</v>
      </c>
      <c r="R58" s="273">
        <f t="shared" si="7"/>
        <v>-0.61388888888888959</v>
      </c>
      <c r="S58" s="273">
        <f t="shared" si="3"/>
        <v>-0.20858895705521663</v>
      </c>
      <c r="T58" s="273">
        <f t="shared" si="3"/>
        <v>1.0869565217391508</v>
      </c>
      <c r="U58" s="273">
        <f t="shared" si="3"/>
        <v>-0.65000000000000036</v>
      </c>
      <c r="V58" s="273">
        <f t="shared" si="3"/>
        <v>1.6906474820143913</v>
      </c>
      <c r="W58" s="274">
        <f t="shared" si="3"/>
        <v>-29.651162790697725</v>
      </c>
      <c r="X58" s="287" t="str">
        <f t="shared" si="8"/>
        <v>Czech Republic</v>
      </c>
    </row>
    <row r="59" spans="2:24">
      <c r="B59" s="287" t="str">
        <f t="shared" si="4"/>
        <v>Denmark</v>
      </c>
      <c r="G59" s="273">
        <f t="shared" si="5"/>
        <v>-1.0408163265306125</v>
      </c>
      <c r="H59" s="273">
        <f t="shared" si="1"/>
        <v>-1</v>
      </c>
      <c r="I59" s="273">
        <f t="shared" si="1"/>
        <v>-1.1041666666666667</v>
      </c>
      <c r="J59" s="273">
        <f t="shared" si="1"/>
        <v>0.59999999999999964</v>
      </c>
      <c r="K59" s="275">
        <f t="shared" si="1"/>
        <v>6.9999999999999556</v>
      </c>
      <c r="L59" s="275" t="e">
        <f t="shared" si="2"/>
        <v>#DIV/0!</v>
      </c>
      <c r="M59" s="287" t="str">
        <f t="shared" si="6"/>
        <v>Denmark</v>
      </c>
      <c r="R59" s="273">
        <f t="shared" si="7"/>
        <v>-1.0792778649921504</v>
      </c>
      <c r="S59" s="273">
        <f t="shared" si="3"/>
        <v>-1.0072580645161289</v>
      </c>
      <c r="T59" s="273">
        <f t="shared" si="3"/>
        <v>-1.0649762282091921</v>
      </c>
      <c r="U59" s="273">
        <f t="shared" si="3"/>
        <v>0.48333333333333428</v>
      </c>
      <c r="V59" s="275">
        <f t="shared" si="3"/>
        <v>2.8217821782178367</v>
      </c>
      <c r="W59" s="275">
        <f t="shared" si="3"/>
        <v>-331.1111111111195</v>
      </c>
      <c r="X59" s="290" t="str">
        <f t="shared" si="8"/>
        <v>Denmark</v>
      </c>
    </row>
    <row r="60" spans="2:24">
      <c r="B60" s="287" t="str">
        <f t="shared" si="4"/>
        <v>Estonia</v>
      </c>
      <c r="G60" s="273">
        <f t="shared" si="5"/>
        <v>0.6666666666666663</v>
      </c>
      <c r="H60" s="273">
        <f t="shared" si="1"/>
        <v>-17.000000000000064</v>
      </c>
      <c r="I60" s="273">
        <f t="shared" si="1"/>
        <v>-0.66666666666666674</v>
      </c>
      <c r="J60" s="273">
        <f t="shared" si="1"/>
        <v>-3.9999999999999978</v>
      </c>
      <c r="K60" s="273">
        <f t="shared" si="1"/>
        <v>-0.26666666666666672</v>
      </c>
      <c r="L60" s="273">
        <f t="shared" si="2"/>
        <v>-3.3124999999999996</v>
      </c>
      <c r="M60" s="287" t="str">
        <f t="shared" si="6"/>
        <v>Estonia</v>
      </c>
      <c r="R60" s="273">
        <f t="shared" si="7"/>
        <v>0.55357142857142816</v>
      </c>
      <c r="S60" s="273">
        <f t="shared" si="3"/>
        <v>-23.000000000000082</v>
      </c>
      <c r="T60" s="273">
        <f t="shared" si="3"/>
        <v>-0.64634146341463405</v>
      </c>
      <c r="U60" s="273">
        <f t="shared" si="3"/>
        <v>-7.1666666666666687</v>
      </c>
      <c r="V60" s="273">
        <f t="shared" si="3"/>
        <v>-0.27586206896551713</v>
      </c>
      <c r="W60" s="273">
        <f t="shared" si="3"/>
        <v>-3.3295454545454541</v>
      </c>
      <c r="X60" s="290" t="str">
        <f t="shared" si="8"/>
        <v>Estonia</v>
      </c>
    </row>
    <row r="61" spans="2:24">
      <c r="B61" s="287" t="str">
        <f t="shared" si="4"/>
        <v>Finland</v>
      </c>
      <c r="G61" s="273">
        <f t="shared" si="5"/>
        <v>-6.060606060606033E-2</v>
      </c>
      <c r="H61" s="273">
        <f t="shared" si="1"/>
        <v>-2.9999999999999645</v>
      </c>
      <c r="I61" s="273">
        <f t="shared" si="1"/>
        <v>-0.31707317073170749</v>
      </c>
      <c r="J61" s="273">
        <f t="shared" si="1"/>
        <v>-0.18181818181818121</v>
      </c>
      <c r="K61" s="273">
        <f t="shared" si="1"/>
        <v>9.6774193548386789E-2</v>
      </c>
      <c r="L61" s="273">
        <f t="shared" si="2"/>
        <v>-91.000000000000327</v>
      </c>
      <c r="M61" s="287" t="str">
        <f t="shared" si="6"/>
        <v>Finland</v>
      </c>
      <c r="R61" s="273">
        <f t="shared" si="7"/>
        <v>-8.2908163265306145E-2</v>
      </c>
      <c r="S61" s="273">
        <f t="shared" si="3"/>
        <v>-1.428571428571443</v>
      </c>
      <c r="T61" s="273">
        <f t="shared" si="3"/>
        <v>-0.25586136595310927</v>
      </c>
      <c r="U61" s="273">
        <f t="shared" si="3"/>
        <v>0.10954063604240161</v>
      </c>
      <c r="V61" s="273">
        <f t="shared" si="3"/>
        <v>4.7287899860917637E-2</v>
      </c>
      <c r="W61" s="273">
        <f t="shared" si="3"/>
        <v>-331.58333333332081</v>
      </c>
      <c r="X61" s="290" t="str">
        <f t="shared" si="8"/>
        <v>Finland</v>
      </c>
    </row>
    <row r="62" spans="2:24">
      <c r="B62" s="287" t="str">
        <f t="shared" si="4"/>
        <v>France</v>
      </c>
      <c r="G62" s="273">
        <f t="shared" si="5"/>
        <v>-0.63636363636363691</v>
      </c>
      <c r="H62" s="273">
        <f t="shared" si="1"/>
        <v>-1.3333333333333255</v>
      </c>
      <c r="I62" s="273">
        <f t="shared" si="1"/>
        <v>0.55555555555555336</v>
      </c>
      <c r="J62" s="273">
        <f t="shared" si="1"/>
        <v>0.14285714285714501</v>
      </c>
      <c r="K62" s="273">
        <f t="shared" si="1"/>
        <v>0</v>
      </c>
      <c r="L62" s="273">
        <f t="shared" si="2"/>
        <v>168.00000000000358</v>
      </c>
      <c r="M62" s="287" t="str">
        <f t="shared" si="6"/>
        <v>France</v>
      </c>
      <c r="R62" s="273">
        <f t="shared" si="7"/>
        <v>-0.56759906759906698</v>
      </c>
      <c r="S62" s="273">
        <f t="shared" si="3"/>
        <v>-1.9124537607891501</v>
      </c>
      <c r="T62" s="273">
        <f t="shared" si="3"/>
        <v>0.60832360949046937</v>
      </c>
      <c r="U62" s="273">
        <f t="shared" si="3"/>
        <v>0.64312977099236468</v>
      </c>
      <c r="V62" s="273">
        <f t="shared" si="3"/>
        <v>1.6172506738542092E-2</v>
      </c>
      <c r="W62" s="273">
        <f t="shared" si="3"/>
        <v>53.393243243243241</v>
      </c>
      <c r="X62" s="290" t="str">
        <f t="shared" si="8"/>
        <v>France</v>
      </c>
    </row>
    <row r="63" spans="2:24">
      <c r="B63" s="287" t="str">
        <f t="shared" si="4"/>
        <v>Germany</v>
      </c>
      <c r="G63" s="273">
        <f t="shared" si="5"/>
        <v>-4</v>
      </c>
      <c r="H63" s="273">
        <f t="shared" si="5"/>
        <v>3</v>
      </c>
      <c r="I63" s="273">
        <f t="shared" si="5"/>
        <v>2.9999999999999734</v>
      </c>
      <c r="J63" s="273">
        <f t="shared" si="5"/>
        <v>-0.42857142857143005</v>
      </c>
      <c r="K63" s="273">
        <f t="shared" si="5"/>
        <v>5.9952043329758453E-15</v>
      </c>
      <c r="L63" s="273">
        <f t="shared" si="2"/>
        <v>-32.500000000000114</v>
      </c>
      <c r="M63" s="287" t="str">
        <f t="shared" si="6"/>
        <v>Germany</v>
      </c>
      <c r="R63" s="273">
        <f t="shared" si="7"/>
        <v>-1.3282208588957056</v>
      </c>
      <c r="S63" s="273">
        <f t="shared" si="7"/>
        <v>-3.1723577235772269</v>
      </c>
      <c r="T63" s="273">
        <f t="shared" si="7"/>
        <v>-11.349344978166103</v>
      </c>
      <c r="U63" s="273">
        <f t="shared" si="7"/>
        <v>-0.28516868236791693</v>
      </c>
      <c r="V63" s="273">
        <f t="shared" si="7"/>
        <v>-1.1214953271017847E-2</v>
      </c>
      <c r="W63" s="273">
        <f t="shared" si="7"/>
        <v>-35.427395209580979</v>
      </c>
      <c r="X63" s="290" t="str">
        <f t="shared" si="8"/>
        <v>Germany</v>
      </c>
    </row>
    <row r="64" spans="2:24">
      <c r="B64" s="287" t="str">
        <f t="shared" si="4"/>
        <v>Greece</v>
      </c>
      <c r="G64" s="273">
        <f t="shared" ref="G64:K79" si="9">G21/C21-1</f>
        <v>0.52941176470588114</v>
      </c>
      <c r="H64" s="273">
        <f t="shared" si="9"/>
        <v>-1.5555555555555554</v>
      </c>
      <c r="I64" s="273">
        <f t="shared" si="9"/>
        <v>5.3999999999999986</v>
      </c>
      <c r="J64" s="273">
        <f t="shared" si="9"/>
        <v>-2.5000000000000018</v>
      </c>
      <c r="K64" s="273">
        <f t="shared" si="9"/>
        <v>0.26923076923076894</v>
      </c>
      <c r="L64" s="274">
        <f t="shared" si="2"/>
        <v>24</v>
      </c>
      <c r="M64" s="287" t="str">
        <f t="shared" si="6"/>
        <v>Greece</v>
      </c>
      <c r="R64" s="273">
        <f t="shared" ref="R64:W79" si="10">R21/N21-1</f>
        <v>0.82479784366576747</v>
      </c>
      <c r="S64" s="273">
        <f t="shared" si="10"/>
        <v>-1.8522727272727288</v>
      </c>
      <c r="T64" s="273">
        <f t="shared" si="10"/>
        <v>3.4009433962264177</v>
      </c>
      <c r="U64" s="273">
        <f t="shared" si="10"/>
        <v>-3.6725663716814121</v>
      </c>
      <c r="V64" s="273">
        <f t="shared" si="10"/>
        <v>0.30132939438700057</v>
      </c>
      <c r="W64" s="274">
        <f t="shared" si="10"/>
        <v>20.32</v>
      </c>
      <c r="X64" s="287" t="str">
        <f t="shared" si="8"/>
        <v>Greece</v>
      </c>
    </row>
    <row r="65" spans="2:24">
      <c r="B65" s="287" t="str">
        <f t="shared" si="4"/>
        <v>Hungary</v>
      </c>
      <c r="G65" s="273">
        <f t="shared" si="9"/>
        <v>-0.21052631578947378</v>
      </c>
      <c r="H65" s="273">
        <f t="shared" si="9"/>
        <v>-0.54999999999999982</v>
      </c>
      <c r="I65" s="273">
        <f t="shared" si="9"/>
        <v>-0.89473684210526261</v>
      </c>
      <c r="J65" s="273">
        <f t="shared" si="9"/>
        <v>2</v>
      </c>
      <c r="K65" s="273">
        <f t="shared" si="9"/>
        <v>0.19999999999999929</v>
      </c>
      <c r="L65" s="274">
        <f t="shared" si="2"/>
        <v>-9.5555555555555518</v>
      </c>
      <c r="M65" s="287" t="str">
        <f t="shared" si="6"/>
        <v>Hungary</v>
      </c>
      <c r="R65" s="273">
        <f t="shared" si="10"/>
        <v>-0.20808383233532912</v>
      </c>
      <c r="S65" s="273">
        <f t="shared" si="10"/>
        <v>-0.56857142857142873</v>
      </c>
      <c r="T65" s="273">
        <f t="shared" si="10"/>
        <v>-0.90265486725663713</v>
      </c>
      <c r="U65" s="273">
        <f t="shared" si="10"/>
        <v>-1.5</v>
      </c>
      <c r="V65" s="273">
        <f t="shared" si="10"/>
        <v>0.355387523629491</v>
      </c>
      <c r="W65" s="274">
        <f t="shared" si="10"/>
        <v>-11.129139072847686</v>
      </c>
      <c r="X65" s="287" t="str">
        <f t="shared" si="8"/>
        <v>Hungary</v>
      </c>
    </row>
    <row r="66" spans="2:24">
      <c r="B66" s="287" t="str">
        <f t="shared" si="4"/>
        <v>Iceland</v>
      </c>
      <c r="G66" s="273">
        <f t="shared" si="9"/>
        <v>-4.9180327868852514E-2</v>
      </c>
      <c r="H66" s="273">
        <f t="shared" si="9"/>
        <v>-6.666666666666643E-2</v>
      </c>
      <c r="I66" s="273">
        <f t="shared" si="9"/>
        <v>-0.20588235294117674</v>
      </c>
      <c r="J66" s="273">
        <f t="shared" si="9"/>
        <v>-1.2499999999999989</v>
      </c>
      <c r="K66" s="273">
        <f t="shared" si="9"/>
        <v>-0.27586206896551746</v>
      </c>
      <c r="L66" s="274">
        <f t="shared" si="2"/>
        <v>-9.2857142857142829</v>
      </c>
      <c r="M66" s="287" t="str">
        <f t="shared" si="6"/>
        <v>Iceland</v>
      </c>
      <c r="R66" s="273">
        <f t="shared" si="10"/>
        <v>-7.2164948453608324E-2</v>
      </c>
      <c r="S66" s="273">
        <f t="shared" si="10"/>
        <v>-5.2631578947367363E-2</v>
      </c>
      <c r="T66" s="273">
        <f t="shared" si="10"/>
        <v>-0.30769230769230771</v>
      </c>
      <c r="U66" s="273">
        <f t="shared" si="10"/>
        <v>-1</v>
      </c>
      <c r="V66" s="273">
        <f t="shared" si="10"/>
        <v>-0.21111111111111092</v>
      </c>
      <c r="W66" s="274">
        <f t="shared" si="10"/>
        <v>-11.666666666666663</v>
      </c>
      <c r="X66" s="287" t="str">
        <f t="shared" si="8"/>
        <v>Iceland</v>
      </c>
    </row>
    <row r="67" spans="2:24">
      <c r="B67" s="287" t="str">
        <f t="shared" si="4"/>
        <v>Ireland</v>
      </c>
      <c r="G67" s="273">
        <f t="shared" si="9"/>
        <v>0.79999999999999893</v>
      </c>
      <c r="H67" s="273">
        <f t="shared" si="9"/>
        <v>-3.6666666666666567</v>
      </c>
      <c r="I67" s="273">
        <f t="shared" si="9"/>
        <v>1.1428571428571428</v>
      </c>
      <c r="J67" s="273">
        <f t="shared" si="9"/>
        <v>3.6666666666666705</v>
      </c>
      <c r="K67" s="273">
        <f t="shared" si="9"/>
        <v>-3.2222222222222237</v>
      </c>
      <c r="L67" s="274">
        <f t="shared" si="2"/>
        <v>-13.625000000000016</v>
      </c>
      <c r="M67" s="287" t="str">
        <f t="shared" si="6"/>
        <v>Ireland</v>
      </c>
      <c r="R67" s="273">
        <f t="shared" si="10"/>
        <v>-3.3636363636363709</v>
      </c>
      <c r="S67" s="273">
        <f t="shared" si="10"/>
        <v>-1.0121951219512189</v>
      </c>
      <c r="T67" s="273">
        <f t="shared" si="10"/>
        <v>0.75452196382428882</v>
      </c>
      <c r="U67" s="273">
        <f t="shared" si="10"/>
        <v>1.4903474903474914</v>
      </c>
      <c r="V67" s="273">
        <f t="shared" si="10"/>
        <v>-19.500000000000039</v>
      </c>
      <c r="W67" s="274">
        <f t="shared" si="10"/>
        <v>-944.00000000005355</v>
      </c>
      <c r="X67" s="287" t="str">
        <f t="shared" si="8"/>
        <v>Ireland</v>
      </c>
    </row>
    <row r="68" spans="2:24">
      <c r="B68" s="287" t="str">
        <f t="shared" si="4"/>
        <v>Italy</v>
      </c>
      <c r="G68" s="273">
        <f t="shared" si="9"/>
        <v>-0.66666666666666674</v>
      </c>
      <c r="H68" s="273">
        <f t="shared" si="9"/>
        <v>-2.5000000000000018</v>
      </c>
      <c r="I68" s="273">
        <f t="shared" si="9"/>
        <v>2.0000000000000031</v>
      </c>
      <c r="J68" s="273">
        <f t="shared" si="9"/>
        <v>0.33333333333333193</v>
      </c>
      <c r="K68" s="273">
        <f t="shared" si="9"/>
        <v>-1.1999999999999993</v>
      </c>
      <c r="L68" s="275">
        <f t="shared" si="2"/>
        <v>18.444444444444436</v>
      </c>
      <c r="M68" s="287" t="str">
        <f t="shared" si="6"/>
        <v>Italy</v>
      </c>
      <c r="R68" s="273">
        <f t="shared" si="10"/>
        <v>-0.59625876851130255</v>
      </c>
      <c r="S68" s="273">
        <f t="shared" si="10"/>
        <v>-3.1792237442922406</v>
      </c>
      <c r="T68" s="273">
        <f t="shared" si="10"/>
        <v>1.7752890173410378</v>
      </c>
      <c r="U68" s="273">
        <f t="shared" si="10"/>
        <v>0.29607737775389498</v>
      </c>
      <c r="V68" s="273">
        <f t="shared" si="10"/>
        <v>-1.0656370656370675</v>
      </c>
      <c r="W68" s="275">
        <f t="shared" si="10"/>
        <v>15.364588789942371</v>
      </c>
      <c r="X68" s="287" t="str">
        <f t="shared" si="8"/>
        <v>Italy</v>
      </c>
    </row>
    <row r="69" spans="2:24">
      <c r="B69" s="287" t="str">
        <f t="shared" si="4"/>
        <v>Latvia</v>
      </c>
      <c r="G69" s="273">
        <f t="shared" si="9"/>
        <v>-4.3333333333333357</v>
      </c>
      <c r="H69" s="273">
        <f t="shared" si="9"/>
        <v>4.9999999999999956</v>
      </c>
      <c r="I69" s="273">
        <f t="shared" si="9"/>
        <v>-1</v>
      </c>
      <c r="J69" s="273">
        <f t="shared" si="9"/>
        <v>-1</v>
      </c>
      <c r="K69" s="275">
        <f t="shared" si="9"/>
        <v>-0.70000000000000018</v>
      </c>
      <c r="L69" s="274">
        <f t="shared" si="2"/>
        <v>-6.1666666666666661</v>
      </c>
      <c r="M69" s="287" t="str">
        <f t="shared" si="6"/>
        <v>Latvia</v>
      </c>
      <c r="R69" s="273">
        <f t="shared" si="10"/>
        <v>-5.8235294117647074</v>
      </c>
      <c r="S69" s="273">
        <f t="shared" si="10"/>
        <v>4.6249999999999947</v>
      </c>
      <c r="T69" s="273">
        <f t="shared" si="10"/>
        <v>-1.1363636363636362</v>
      </c>
      <c r="U69" s="273">
        <f t="shared" si="10"/>
        <v>-1.1250000000000002</v>
      </c>
      <c r="V69" s="275">
        <f t="shared" si="10"/>
        <v>-0.74390243902439002</v>
      </c>
      <c r="W69" s="274">
        <f t="shared" si="10"/>
        <v>-6.333333333333333</v>
      </c>
      <c r="X69" s="287" t="str">
        <f t="shared" si="8"/>
        <v>Latvia</v>
      </c>
    </row>
    <row r="70" spans="2:24">
      <c r="B70" s="287" t="str">
        <f t="shared" si="4"/>
        <v>Lithuania</v>
      </c>
      <c r="G70" s="273">
        <f t="shared" si="9"/>
        <v>0.83333333333333326</v>
      </c>
      <c r="H70" s="273">
        <f t="shared" si="9"/>
        <v>4.9999999999999956</v>
      </c>
      <c r="I70" s="273">
        <f t="shared" si="9"/>
        <v>0.50000000000000067</v>
      </c>
      <c r="J70" s="273">
        <f t="shared" si="9"/>
        <v>-1</v>
      </c>
      <c r="K70" s="275">
        <f t="shared" si="9"/>
        <v>-0.36363636363636376</v>
      </c>
      <c r="L70" s="274">
        <f t="shared" si="2"/>
        <v>-3.9999999999999996</v>
      </c>
      <c r="M70" s="287" t="str">
        <f t="shared" si="6"/>
        <v>Lithuania</v>
      </c>
      <c r="R70" s="273">
        <f t="shared" si="10"/>
        <v>0.93939393939394011</v>
      </c>
      <c r="S70" s="273">
        <f t="shared" si="10"/>
        <v>4.2307692307692424</v>
      </c>
      <c r="T70" s="273">
        <f t="shared" si="10"/>
        <v>0.76744186046511587</v>
      </c>
      <c r="U70" s="273">
        <f t="shared" si="10"/>
        <v>-1.5714285714285718</v>
      </c>
      <c r="V70" s="275">
        <f t="shared" si="10"/>
        <v>-0.34375</v>
      </c>
      <c r="W70" s="274">
        <f t="shared" si="10"/>
        <v>-4.0735294117647047</v>
      </c>
      <c r="X70" s="287" t="str">
        <f t="shared" si="8"/>
        <v>Lithuania</v>
      </c>
    </row>
    <row r="71" spans="2:24">
      <c r="B71" s="287" t="str">
        <f t="shared" si="4"/>
        <v>Luxembourg</v>
      </c>
      <c r="G71" s="273">
        <f t="shared" si="9"/>
        <v>-1.4666666666666675</v>
      </c>
      <c r="H71" s="273">
        <f t="shared" si="9"/>
        <v>-0.9444444444444442</v>
      </c>
      <c r="I71" s="273">
        <f t="shared" si="9"/>
        <v>-0.49999999999999856</v>
      </c>
      <c r="J71" s="273">
        <f t="shared" si="9"/>
        <v>-1</v>
      </c>
      <c r="K71" s="273">
        <f t="shared" si="9"/>
        <v>-0.57142857142857106</v>
      </c>
      <c r="L71" s="274">
        <f t="shared" si="2"/>
        <v>-47.499999999999758</v>
      </c>
      <c r="M71" s="287" t="str">
        <f t="shared" si="6"/>
        <v>Luxembourg</v>
      </c>
      <c r="R71" s="273">
        <f t="shared" si="10"/>
        <v>-1.7941176470588229</v>
      </c>
      <c r="S71" s="273">
        <f t="shared" si="10"/>
        <v>-1.0759493670886078</v>
      </c>
      <c r="T71" s="273">
        <f t="shared" si="10"/>
        <v>-1.153846153846156</v>
      </c>
      <c r="U71" s="273">
        <f t="shared" si="10"/>
        <v>-0.95454545454545392</v>
      </c>
      <c r="V71" s="273">
        <f t="shared" si="10"/>
        <v>-0.33333333333333293</v>
      </c>
      <c r="W71" s="274">
        <f t="shared" si="10"/>
        <v>37.833333333333243</v>
      </c>
      <c r="X71" s="287" t="str">
        <f t="shared" si="8"/>
        <v>Luxembourg</v>
      </c>
    </row>
    <row r="72" spans="2:24">
      <c r="B72" s="287" t="str">
        <f t="shared" si="4"/>
        <v>Macedonia</v>
      </c>
      <c r="G72" s="273">
        <f t="shared" si="9"/>
        <v>-0.81818181818181779</v>
      </c>
      <c r="H72" s="273">
        <f t="shared" si="9"/>
        <v>-0.86206896551724133</v>
      </c>
      <c r="I72" s="273">
        <f t="shared" si="9"/>
        <v>-1.4999999999999991</v>
      </c>
      <c r="J72" s="273">
        <f t="shared" si="9"/>
        <v>-0.88888888888888884</v>
      </c>
      <c r="K72" s="273">
        <f t="shared" si="9"/>
        <v>0.16666666666666563</v>
      </c>
      <c r="L72" s="273">
        <f t="shared" si="2"/>
        <v>39.249999999999964</v>
      </c>
      <c r="M72" s="287" t="str">
        <f t="shared" si="6"/>
        <v>Macedonia</v>
      </c>
      <c r="R72" s="273">
        <f t="shared" si="10"/>
        <v>-0.85185185185185186</v>
      </c>
      <c r="S72" s="273">
        <f t="shared" si="10"/>
        <v>-0.81081081081081074</v>
      </c>
      <c r="T72" s="273">
        <f t="shared" si="10"/>
        <v>-1.1833333333333336</v>
      </c>
      <c r="U72" s="273">
        <f t="shared" si="10"/>
        <v>-0.80373831775700921</v>
      </c>
      <c r="V72" s="273">
        <f t="shared" si="10"/>
        <v>0.35000000000000142</v>
      </c>
      <c r="W72" s="273">
        <f t="shared" si="10"/>
        <v>25.142857142857142</v>
      </c>
      <c r="X72" s="290" t="str">
        <f t="shared" si="8"/>
        <v>Macedonia</v>
      </c>
    </row>
    <row r="73" spans="2:24">
      <c r="B73" s="287" t="str">
        <f t="shared" si="4"/>
        <v>Malta</v>
      </c>
      <c r="G73" s="273">
        <f t="shared" si="9"/>
        <v>-2.4999999999999978</v>
      </c>
      <c r="H73" s="273">
        <f t="shared" si="9"/>
        <v>0.74999999999999822</v>
      </c>
      <c r="I73" s="273">
        <f t="shared" si="9"/>
        <v>-24.000000000000082</v>
      </c>
      <c r="J73" s="273">
        <f t="shared" si="9"/>
        <v>-0.90000000000000047</v>
      </c>
      <c r="K73" s="273">
        <f t="shared" si="9"/>
        <v>-4.5000000000000018</v>
      </c>
      <c r="L73" s="274">
        <f t="shared" si="2"/>
        <v>-4.6666666666666679</v>
      </c>
      <c r="M73" s="287" t="str">
        <f t="shared" si="6"/>
        <v>Malta</v>
      </c>
      <c r="R73" s="273">
        <f t="shared" si="10"/>
        <v>-1.1249999999999996</v>
      </c>
      <c r="S73" s="273">
        <f t="shared" si="10"/>
        <v>1.4000000000000004</v>
      </c>
      <c r="T73" s="273">
        <f t="shared" si="10"/>
        <v>-2.2631578947368434</v>
      </c>
      <c r="U73" s="273">
        <f t="shared" si="10"/>
        <v>-0.4375</v>
      </c>
      <c r="V73" s="273">
        <f t="shared" si="10"/>
        <v>-28.000000000000099</v>
      </c>
      <c r="W73" s="274">
        <f t="shared" si="10"/>
        <v>-7.2916666666666652</v>
      </c>
      <c r="X73" s="287" t="str">
        <f t="shared" si="8"/>
        <v>Malta</v>
      </c>
    </row>
    <row r="74" spans="2:24">
      <c r="B74" s="287" t="str">
        <f t="shared" si="4"/>
        <v>Netherlands</v>
      </c>
      <c r="G74" s="273">
        <f t="shared" si="9"/>
        <v>-5.0000000000000178</v>
      </c>
      <c r="H74" s="273">
        <f t="shared" si="9"/>
        <v>-2.9999999999999885</v>
      </c>
      <c r="I74" s="273">
        <f t="shared" si="9"/>
        <v>0.1111111111111085</v>
      </c>
      <c r="J74" s="273">
        <f t="shared" si="9"/>
        <v>-0.62499999999999944</v>
      </c>
      <c r="K74" s="273">
        <f t="shared" si="9"/>
        <v>-2</v>
      </c>
      <c r="L74" s="273">
        <f t="shared" si="2"/>
        <v>34.666666666666792</v>
      </c>
      <c r="M74" s="287" t="str">
        <f t="shared" si="6"/>
        <v>Netherlands</v>
      </c>
      <c r="R74" s="273">
        <f t="shared" si="10"/>
        <v>-3.3040000000000056</v>
      </c>
      <c r="S74" s="273">
        <f t="shared" si="10"/>
        <v>-4.6556291390728024</v>
      </c>
      <c r="T74" s="273">
        <f t="shared" si="10"/>
        <v>0.13964497041420065</v>
      </c>
      <c r="U74" s="273">
        <f t="shared" si="10"/>
        <v>-0.43701618578465928</v>
      </c>
      <c r="V74" s="273">
        <f t="shared" si="10"/>
        <v>-1.7204861111111094</v>
      </c>
      <c r="W74" s="273">
        <f t="shared" si="10"/>
        <v>26.498188405797194</v>
      </c>
      <c r="X74" s="290" t="str">
        <f t="shared" si="8"/>
        <v>Netherlands</v>
      </c>
    </row>
    <row r="75" spans="2:24">
      <c r="B75" s="287" t="str">
        <f t="shared" si="4"/>
        <v>Norway</v>
      </c>
      <c r="G75" s="273">
        <f t="shared" si="9"/>
        <v>-4.6666666666666599</v>
      </c>
      <c r="H75" s="273">
        <f t="shared" si="9"/>
        <v>-3</v>
      </c>
      <c r="I75" s="273">
        <f t="shared" si="9"/>
        <v>-0.15384615384615319</v>
      </c>
      <c r="J75" s="273">
        <f t="shared" si="9"/>
        <v>-3.4999999999999911</v>
      </c>
      <c r="K75" s="275">
        <f t="shared" si="9"/>
        <v>-0.36363636363636465</v>
      </c>
      <c r="L75" s="275">
        <f t="shared" si="2"/>
        <v>-11.499999999999991</v>
      </c>
      <c r="M75" s="287" t="str">
        <f t="shared" si="6"/>
        <v>Norway</v>
      </c>
      <c r="R75" s="273">
        <f t="shared" si="10"/>
        <v>-5.6333333333333355</v>
      </c>
      <c r="S75" s="273">
        <f t="shared" si="10"/>
        <v>-2.7128712871287153</v>
      </c>
      <c r="T75" s="273">
        <f t="shared" si="10"/>
        <v>-0.13312693498452044</v>
      </c>
      <c r="U75" s="273">
        <f t="shared" si="10"/>
        <v>-4.0697674418604608</v>
      </c>
      <c r="V75" s="275">
        <f t="shared" si="10"/>
        <v>-0.37050359712230241</v>
      </c>
      <c r="W75" s="275">
        <f t="shared" si="10"/>
        <v>-12.791907514450859</v>
      </c>
      <c r="X75" s="290" t="str">
        <f t="shared" si="8"/>
        <v>Norway</v>
      </c>
    </row>
    <row r="76" spans="2:24">
      <c r="B76" s="287" t="str">
        <f t="shared" si="4"/>
        <v>Poland</v>
      </c>
      <c r="G76" s="273">
        <f t="shared" si="9"/>
        <v>2.7999999999999972</v>
      </c>
      <c r="H76" s="273">
        <f t="shared" si="9"/>
        <v>-3</v>
      </c>
      <c r="I76" s="273">
        <f t="shared" si="9"/>
        <v>0.39999999999999858</v>
      </c>
      <c r="J76" s="273">
        <f t="shared" si="9"/>
        <v>-0.19999999999999929</v>
      </c>
      <c r="K76" s="273">
        <f t="shared" si="9"/>
        <v>-0.26315789473684226</v>
      </c>
      <c r="L76" s="274">
        <f t="shared" si="2"/>
        <v>-42.333333333333236</v>
      </c>
      <c r="M76" s="287" t="str">
        <f t="shared" si="6"/>
        <v>Poland</v>
      </c>
      <c r="R76" s="273">
        <f t="shared" si="10"/>
        <v>3.8021505376344127</v>
      </c>
      <c r="S76" s="273">
        <f t="shared" si="10"/>
        <v>-1.1928166351606768</v>
      </c>
      <c r="T76" s="273">
        <f t="shared" si="10"/>
        <v>9.7560975609754408E-2</v>
      </c>
      <c r="U76" s="273">
        <f t="shared" si="10"/>
        <v>0.35232067510548082</v>
      </c>
      <c r="V76" s="273">
        <f t="shared" si="10"/>
        <v>-7.3891625615763457E-2</v>
      </c>
      <c r="W76" s="274">
        <f t="shared" si="10"/>
        <v>-316.66666666667231</v>
      </c>
      <c r="X76" s="287" t="str">
        <f t="shared" si="8"/>
        <v>Poland</v>
      </c>
    </row>
    <row r="77" spans="2:24">
      <c r="B77" s="287" t="str">
        <f t="shared" si="4"/>
        <v>Portugal</v>
      </c>
      <c r="G77" s="273">
        <f t="shared" si="9"/>
        <v>6.0000000000000355</v>
      </c>
      <c r="H77" s="273">
        <f t="shared" si="9"/>
        <v>-1.999999999999988</v>
      </c>
      <c r="I77" s="273">
        <f t="shared" si="9"/>
        <v>0.33333333333334125</v>
      </c>
      <c r="J77" s="273">
        <f t="shared" si="9"/>
        <v>7.9999999999998934</v>
      </c>
      <c r="K77" s="273">
        <f t="shared" si="9"/>
        <v>-0.71428571428571319</v>
      </c>
      <c r="L77" s="273">
        <f t="shared" si="2"/>
        <v>-74.666666666667368</v>
      </c>
      <c r="M77" s="287" t="str">
        <f t="shared" si="6"/>
        <v>Portugal</v>
      </c>
      <c r="R77" s="273">
        <f t="shared" si="10"/>
        <v>3.9350649350649789</v>
      </c>
      <c r="S77" s="273">
        <f t="shared" si="10"/>
        <v>-0.40816326530612779</v>
      </c>
      <c r="T77" s="273">
        <f t="shared" si="10"/>
        <v>0.78947368421052633</v>
      </c>
      <c r="U77" s="273">
        <f t="shared" si="10"/>
        <v>1.5772058823529442</v>
      </c>
      <c r="V77" s="273">
        <f t="shared" si="10"/>
        <v>-1.0421052631578953</v>
      </c>
      <c r="W77" s="273">
        <f t="shared" si="10"/>
        <v>75.301724137931629</v>
      </c>
      <c r="X77" s="290" t="str">
        <f t="shared" si="8"/>
        <v>Portugal</v>
      </c>
    </row>
    <row r="78" spans="2:24">
      <c r="B78" s="287" t="str">
        <f t="shared" si="4"/>
        <v>Romania</v>
      </c>
      <c r="G78" s="273">
        <f t="shared" si="9"/>
        <v>-0.33333333333333359</v>
      </c>
      <c r="H78" s="273">
        <f t="shared" si="9"/>
        <v>-3.0000000000000022</v>
      </c>
      <c r="I78" s="273">
        <f t="shared" si="9"/>
        <v>-1.5000000000000004</v>
      </c>
      <c r="J78" s="273">
        <f t="shared" si="9"/>
        <v>-1</v>
      </c>
      <c r="K78" s="273">
        <f t="shared" si="9"/>
        <v>-1</v>
      </c>
      <c r="L78" s="273">
        <f t="shared" si="2"/>
        <v>-6.0000000000000009</v>
      </c>
      <c r="M78" s="287" t="str">
        <f t="shared" si="6"/>
        <v>Romania</v>
      </c>
      <c r="R78" s="273">
        <f t="shared" si="10"/>
        <v>-0.19337016574585641</v>
      </c>
      <c r="S78" s="273">
        <f t="shared" si="10"/>
        <v>-2.5638297872340425</v>
      </c>
      <c r="T78" s="273">
        <f t="shared" si="10"/>
        <v>-1.2396694214876038</v>
      </c>
      <c r="U78" s="273">
        <f t="shared" si="10"/>
        <v>-5.8333333333333197</v>
      </c>
      <c r="V78" s="273">
        <f t="shared" si="10"/>
        <v>-1.0684931506849316</v>
      </c>
      <c r="W78" s="273">
        <f t="shared" si="10"/>
        <v>-5.5510204081632688</v>
      </c>
      <c r="X78" s="290" t="str">
        <f t="shared" si="8"/>
        <v>Romania</v>
      </c>
    </row>
    <row r="79" spans="2:24">
      <c r="B79" s="287" t="str">
        <f t="shared" si="4"/>
        <v>Slovakia</v>
      </c>
      <c r="G79" s="273">
        <f t="shared" si="9"/>
        <v>-9.9999999999999645E-2</v>
      </c>
      <c r="H79" s="273">
        <f t="shared" si="9"/>
        <v>-0.5</v>
      </c>
      <c r="I79" s="273">
        <f t="shared" si="9"/>
        <v>3.0000000000000178</v>
      </c>
      <c r="J79" s="273">
        <f t="shared" si="9"/>
        <v>2.0000000000000178</v>
      </c>
      <c r="K79" s="273">
        <f t="shared" si="9"/>
        <v>-0.22222222222222332</v>
      </c>
      <c r="L79" s="274">
        <f t="shared" si="2"/>
        <v>-17.600000000000001</v>
      </c>
      <c r="M79" s="287" t="str">
        <f t="shared" si="6"/>
        <v>Slovakia</v>
      </c>
      <c r="R79" s="273">
        <f t="shared" si="10"/>
        <v>1.6574585635359851E-2</v>
      </c>
      <c r="S79" s="273">
        <f t="shared" si="10"/>
        <v>-0.42261904761904867</v>
      </c>
      <c r="T79" s="273">
        <f t="shared" si="10"/>
        <v>-2.3181818181818277</v>
      </c>
      <c r="U79" s="273">
        <f t="shared" si="10"/>
        <v>1.1224489795918355</v>
      </c>
      <c r="V79" s="273">
        <f t="shared" si="10"/>
        <v>-0.33152173913043437</v>
      </c>
      <c r="W79" s="274">
        <f t="shared" si="10"/>
        <v>-19.329896907216519</v>
      </c>
      <c r="X79" s="287" t="str">
        <f t="shared" si="8"/>
        <v>Slovakia</v>
      </c>
    </row>
    <row r="80" spans="2:24">
      <c r="B80" s="287" t="str">
        <f t="shared" si="4"/>
        <v>Slovenia</v>
      </c>
      <c r="G80" s="273">
        <f t="shared" ref="G80:K85" si="11">G37/C37-1</f>
        <v>-0.90909090909091117</v>
      </c>
      <c r="H80" s="273">
        <f t="shared" si="11"/>
        <v>-1.208333333333333</v>
      </c>
      <c r="I80" s="273">
        <f t="shared" si="11"/>
        <v>-5.6000000000000014</v>
      </c>
      <c r="J80" s="273" t="e">
        <f t="shared" si="11"/>
        <v>#DIV/0!</v>
      </c>
      <c r="K80" s="273">
        <f t="shared" si="11"/>
        <v>10.000000000000249</v>
      </c>
      <c r="L80" s="274">
        <f t="shared" si="2"/>
        <v>31.4</v>
      </c>
      <c r="M80" s="287" t="str">
        <f t="shared" si="6"/>
        <v>Slovenia</v>
      </c>
      <c r="R80" s="273">
        <f t="shared" ref="R80:W85" si="12">R37/N37-1</f>
        <v>-1.1684210526315784</v>
      </c>
      <c r="S80" s="273">
        <f t="shared" si="12"/>
        <v>-1.398876404494382</v>
      </c>
      <c r="T80" s="273">
        <f t="shared" si="12"/>
        <v>48.600000000000023</v>
      </c>
      <c r="U80" s="273">
        <f t="shared" si="12"/>
        <v>-0.97014925373134497</v>
      </c>
      <c r="V80" s="273">
        <f t="shared" si="12"/>
        <v>-6.4375000000000302</v>
      </c>
      <c r="W80" s="274">
        <f t="shared" si="12"/>
        <v>17.83098591549297</v>
      </c>
      <c r="X80" s="287" t="str">
        <f t="shared" si="8"/>
        <v>Slovenia</v>
      </c>
    </row>
    <row r="81" spans="2:24">
      <c r="B81" s="287" t="str">
        <f t="shared" si="4"/>
        <v>Spain</v>
      </c>
      <c r="G81" s="273" t="e">
        <f t="shared" si="11"/>
        <v>#DIV/0!</v>
      </c>
      <c r="H81" s="273">
        <f t="shared" si="11"/>
        <v>-0.74999999999999556</v>
      </c>
      <c r="I81" s="273">
        <f t="shared" si="11"/>
        <v>-0.23076923076923117</v>
      </c>
      <c r="J81" s="273">
        <f t="shared" si="11"/>
        <v>-0.28571428571428503</v>
      </c>
      <c r="K81" s="275" t="e">
        <f t="shared" si="11"/>
        <v>#DIV/0!</v>
      </c>
      <c r="L81" s="275">
        <f t="shared" si="2"/>
        <v>-269.99999999999619</v>
      </c>
      <c r="M81" s="287" t="str">
        <f t="shared" si="6"/>
        <v>Spain</v>
      </c>
      <c r="R81" s="273">
        <f t="shared" si="12"/>
        <v>0.32590529247911948</v>
      </c>
      <c r="S81" s="273">
        <f t="shared" si="12"/>
        <v>-27.095238095239313</v>
      </c>
      <c r="T81" s="273">
        <f t="shared" si="12"/>
        <v>-7.8175895765470904E-2</v>
      </c>
      <c r="U81" s="273">
        <f t="shared" si="12"/>
        <v>-0.10944076969332683</v>
      </c>
      <c r="V81" s="275">
        <f t="shared" si="12"/>
        <v>-2.8025210084033687</v>
      </c>
      <c r="W81" s="275">
        <f t="shared" si="12"/>
        <v>78.357664233576386</v>
      </c>
      <c r="X81" s="290" t="str">
        <f t="shared" si="8"/>
        <v>Spain</v>
      </c>
    </row>
    <row r="82" spans="2:24">
      <c r="B82" s="287" t="str">
        <f t="shared" si="4"/>
        <v>Sweden</v>
      </c>
      <c r="G82" s="273">
        <f t="shared" si="11"/>
        <v>-0.26666666666666694</v>
      </c>
      <c r="H82" s="273">
        <f t="shared" si="11"/>
        <v>-0.46666666666666623</v>
      </c>
      <c r="I82" s="273">
        <f t="shared" si="11"/>
        <v>0.5</v>
      </c>
      <c r="J82" s="273">
        <f t="shared" si="11"/>
        <v>-0.60000000000000142</v>
      </c>
      <c r="K82" s="273">
        <f t="shared" si="11"/>
        <v>0.27272727272727337</v>
      </c>
      <c r="L82" s="274">
        <f t="shared" si="2"/>
        <v>-20.624999999999982</v>
      </c>
      <c r="M82" s="287" t="str">
        <f t="shared" si="6"/>
        <v>Sweden</v>
      </c>
      <c r="R82" s="273">
        <f t="shared" si="12"/>
        <v>-0.20943952802359933</v>
      </c>
      <c r="S82" s="273">
        <f t="shared" si="12"/>
        <v>-0.56140350877192935</v>
      </c>
      <c r="T82" s="273">
        <f t="shared" si="12"/>
        <v>0.4882995319812784</v>
      </c>
      <c r="U82" s="273">
        <f t="shared" si="12"/>
        <v>-0.2349726775956289</v>
      </c>
      <c r="V82" s="273">
        <f t="shared" si="12"/>
        <v>0.22388059701492535</v>
      </c>
      <c r="W82" s="274">
        <f t="shared" si="12"/>
        <v>-26.763636363636362</v>
      </c>
      <c r="X82" s="287" t="str">
        <f t="shared" si="8"/>
        <v>Sweden</v>
      </c>
    </row>
    <row r="83" spans="2:24">
      <c r="B83" s="287" t="str">
        <f t="shared" si="4"/>
        <v>Switzerland</v>
      </c>
      <c r="G83" s="273">
        <f t="shared" si="11"/>
        <v>0.50000000000000888</v>
      </c>
      <c r="H83" s="273">
        <f t="shared" si="11"/>
        <v>-2.3333333333333393</v>
      </c>
      <c r="I83" s="273">
        <f t="shared" si="11"/>
        <v>-1.1111111111111107</v>
      </c>
      <c r="J83" s="273" t="e">
        <f t="shared" si="11"/>
        <v>#DIV/0!</v>
      </c>
      <c r="K83" s="273">
        <f t="shared" si="11"/>
        <v>-0.33333333333333137</v>
      </c>
      <c r="L83" s="274">
        <f t="shared" si="2"/>
        <v>32.249999999999972</v>
      </c>
      <c r="M83" s="287" t="str">
        <f t="shared" si="6"/>
        <v>Switzerland</v>
      </c>
      <c r="R83" s="273">
        <f t="shared" si="12"/>
        <v>0.38461538461537037</v>
      </c>
      <c r="S83" s="273">
        <f t="shared" si="12"/>
        <v>-5.3725490196078747</v>
      </c>
      <c r="T83" s="273">
        <f t="shared" si="12"/>
        <v>-0.95592286501377655</v>
      </c>
      <c r="U83" s="273">
        <f t="shared" si="12"/>
        <v>0.46341463414634698</v>
      </c>
      <c r="V83" s="273">
        <f t="shared" si="12"/>
        <v>0.26388888888889395</v>
      </c>
      <c r="W83" s="274">
        <f t="shared" si="12"/>
        <v>22.031390134529136</v>
      </c>
      <c r="X83" s="287" t="str">
        <f t="shared" si="8"/>
        <v>Switzerland</v>
      </c>
    </row>
    <row r="84" spans="2:24">
      <c r="B84" s="287" t="str">
        <f t="shared" si="4"/>
        <v>Turkey</v>
      </c>
      <c r="G84" s="273">
        <f t="shared" si="11"/>
        <v>0.78260869565217406</v>
      </c>
      <c r="H84" s="273">
        <f t="shared" si="11"/>
        <v>-0.80000000000000071</v>
      </c>
      <c r="I84" s="273">
        <f t="shared" si="11"/>
        <v>7.0000000000000266</v>
      </c>
      <c r="J84" s="273">
        <f t="shared" si="11"/>
        <v>1.6666666666666652</v>
      </c>
      <c r="K84" s="273">
        <f t="shared" si="11"/>
        <v>-0.414634146341464</v>
      </c>
      <c r="L84" s="274">
        <f t="shared" si="2"/>
        <v>126.00000000000044</v>
      </c>
      <c r="M84" s="287" t="str">
        <f t="shared" si="6"/>
        <v>Turkey</v>
      </c>
      <c r="R84" s="273">
        <f t="shared" si="12"/>
        <v>0.97098372257607934</v>
      </c>
      <c r="S84" s="273">
        <f t="shared" si="12"/>
        <v>-0.39811320754717028</v>
      </c>
      <c r="T84" s="273">
        <f t="shared" si="12"/>
        <v>10.930930930930872</v>
      </c>
      <c r="U84" s="273">
        <f t="shared" si="12"/>
        <v>1.6461432030439309</v>
      </c>
      <c r="V84" s="273">
        <f t="shared" si="12"/>
        <v>-0.45757031717534447</v>
      </c>
      <c r="W84" s="274">
        <f t="shared" si="12"/>
        <v>18.562695924764903</v>
      </c>
      <c r="X84" s="287" t="str">
        <f t="shared" si="8"/>
        <v>Turkey</v>
      </c>
    </row>
    <row r="85" spans="2:24">
      <c r="B85" s="287" t="str">
        <f t="shared" si="4"/>
        <v>United Kingdom</v>
      </c>
      <c r="G85" s="273">
        <f t="shared" si="11"/>
        <v>3.0000000000000178</v>
      </c>
      <c r="H85" s="273">
        <f t="shared" si="11"/>
        <v>1</v>
      </c>
      <c r="I85" s="273" t="e">
        <f t="shared" si="11"/>
        <v>#DIV/0!</v>
      </c>
      <c r="J85" s="273">
        <f t="shared" si="11"/>
        <v>-1</v>
      </c>
      <c r="K85" s="273">
        <f t="shared" si="11"/>
        <v>-0.75000000000000111</v>
      </c>
      <c r="L85" s="274">
        <f t="shared" si="2"/>
        <v>-14.499999999999989</v>
      </c>
      <c r="M85" s="287" t="str">
        <f t="shared" si="6"/>
        <v>United Kingdom</v>
      </c>
      <c r="R85" s="273">
        <f t="shared" si="12"/>
        <v>4.6228571428571481</v>
      </c>
      <c r="S85" s="273">
        <f t="shared" si="12"/>
        <v>0.76282051282051455</v>
      </c>
      <c r="T85" s="273">
        <f t="shared" si="12"/>
        <v>1.3962264150943176</v>
      </c>
      <c r="U85" s="273">
        <f t="shared" si="12"/>
        <v>-0.54520547945205733</v>
      </c>
      <c r="V85" s="273">
        <f t="shared" si="12"/>
        <v>-0.9166666666666663</v>
      </c>
      <c r="W85" s="274">
        <f t="shared" si="12"/>
        <v>-18.501818181818184</v>
      </c>
      <c r="X85" s="287" t="str">
        <f t="shared" si="8"/>
        <v>United Kingdom</v>
      </c>
    </row>
  </sheetData>
  <conditionalFormatting sqref="C4:K42">
    <cfRule type="cellIs" dxfId="173" priority="73" operator="lessThan">
      <formula>0</formula>
    </cfRule>
    <cfRule type="cellIs" dxfId="172" priority="74" operator="greaterThan">
      <formula>0</formula>
    </cfRule>
  </conditionalFormatting>
  <conditionalFormatting sqref="N4:V42">
    <cfRule type="cellIs" dxfId="171" priority="71" operator="lessThan">
      <formula>0</formula>
    </cfRule>
    <cfRule type="cellIs" dxfId="170" priority="72" operator="greaterThan">
      <formula>0</formula>
    </cfRule>
  </conditionalFormatting>
  <conditionalFormatting sqref="Y4:AG42">
    <cfRule type="cellIs" dxfId="169" priority="69" operator="lessThan">
      <formula>0</formula>
    </cfRule>
    <cfRule type="cellIs" dxfId="168" priority="70" operator="greaterThan">
      <formula>0</formula>
    </cfRule>
  </conditionalFormatting>
  <conditionalFormatting sqref="AJ4:AR42">
    <cfRule type="cellIs" dxfId="167" priority="67" operator="lessThan">
      <formula>0</formula>
    </cfRule>
    <cfRule type="cellIs" dxfId="166" priority="68" operator="greaterThan">
      <formula>0</formula>
    </cfRule>
  </conditionalFormatting>
  <conditionalFormatting sqref="AU4:BC42">
    <cfRule type="cellIs" dxfId="165" priority="65" operator="lessThan">
      <formula>0</formula>
    </cfRule>
    <cfRule type="cellIs" dxfId="164" priority="66" operator="greaterThan">
      <formula>0</formula>
    </cfRule>
  </conditionalFormatting>
  <conditionalFormatting sqref="BF4:BN42">
    <cfRule type="cellIs" dxfId="163" priority="63" operator="lessThan">
      <formula>0</formula>
    </cfRule>
    <cfRule type="cellIs" dxfId="162" priority="64" operator="greaterThan">
      <formula>0</formula>
    </cfRule>
  </conditionalFormatting>
  <conditionalFormatting sqref="BQ4:BY42">
    <cfRule type="cellIs" dxfId="161" priority="61" operator="lessThan">
      <formula>0</formula>
    </cfRule>
    <cfRule type="cellIs" dxfId="160" priority="62" operator="greaterThan">
      <formula>0</formula>
    </cfRule>
  </conditionalFormatting>
  <conditionalFormatting sqref="CB4:CJ42">
    <cfRule type="cellIs" dxfId="159" priority="59" operator="lessThan">
      <formula>0</formula>
    </cfRule>
    <cfRule type="cellIs" dxfId="158" priority="60" operator="greaterThan">
      <formula>0</formula>
    </cfRule>
  </conditionalFormatting>
  <conditionalFormatting sqref="CM4:CU42">
    <cfRule type="cellIs" dxfId="157" priority="57" operator="lessThan">
      <formula>0</formula>
    </cfRule>
    <cfRule type="cellIs" dxfId="156" priority="58" operator="greaterThan">
      <formula>0</formula>
    </cfRule>
  </conditionalFormatting>
  <conditionalFormatting sqref="CX4:DF42">
    <cfRule type="cellIs" dxfId="155" priority="55" operator="lessThan">
      <formula>0</formula>
    </cfRule>
    <cfRule type="cellIs" dxfId="154" priority="56" operator="greaterThan">
      <formula>0</formula>
    </cfRule>
  </conditionalFormatting>
  <conditionalFormatting sqref="DI4:DQ42">
    <cfRule type="cellIs" dxfId="153" priority="53" operator="lessThan">
      <formula>0</formula>
    </cfRule>
    <cfRule type="cellIs" dxfId="152" priority="54" operator="greaterThan">
      <formula>0</formula>
    </cfRule>
  </conditionalFormatting>
  <conditionalFormatting sqref="DT4:EB42">
    <cfRule type="cellIs" dxfId="151" priority="51" operator="lessThan">
      <formula>0</formula>
    </cfRule>
    <cfRule type="cellIs" dxfId="150" priority="52" operator="greaterThan">
      <formula>0</formula>
    </cfRule>
  </conditionalFormatting>
  <conditionalFormatting sqref="EE4:EM42">
    <cfRule type="cellIs" dxfId="149" priority="49" operator="lessThan">
      <formula>0</formula>
    </cfRule>
    <cfRule type="cellIs" dxfId="148" priority="50" operator="greaterThan">
      <formula>0</formula>
    </cfRule>
  </conditionalFormatting>
  <conditionalFormatting sqref="EP4:EX42">
    <cfRule type="cellIs" dxfId="147" priority="47" operator="lessThan">
      <formula>0</formula>
    </cfRule>
    <cfRule type="cellIs" dxfId="146" priority="48" operator="greaterThan">
      <formula>0</formula>
    </cfRule>
  </conditionalFormatting>
  <conditionalFormatting sqref="FA4:FI42">
    <cfRule type="cellIs" dxfId="145" priority="45" operator="lessThan">
      <formula>0</formula>
    </cfRule>
    <cfRule type="cellIs" dxfId="144" priority="46" operator="greaterThan">
      <formula>0</formula>
    </cfRule>
  </conditionalFormatting>
  <conditionalFormatting sqref="FL4:FT42">
    <cfRule type="cellIs" dxfId="143" priority="43" operator="lessThan">
      <formula>0</formula>
    </cfRule>
    <cfRule type="cellIs" dxfId="142" priority="44" operator="greaterThan">
      <formula>0</formula>
    </cfRule>
  </conditionalFormatting>
  <conditionalFormatting sqref="FW4:GE42">
    <cfRule type="cellIs" dxfId="141" priority="41" operator="lessThan">
      <formula>0</formula>
    </cfRule>
    <cfRule type="cellIs" dxfId="140" priority="42" operator="greaterThan">
      <formula>0</formula>
    </cfRule>
  </conditionalFormatting>
  <conditionalFormatting sqref="GH4:GP42">
    <cfRule type="cellIs" dxfId="139" priority="39" operator="lessThan">
      <formula>0</formula>
    </cfRule>
    <cfRule type="cellIs" dxfId="138" priority="40" operator="greaterThan">
      <formula>0</formula>
    </cfRule>
  </conditionalFormatting>
  <conditionalFormatting sqref="GS4:HA42">
    <cfRule type="cellIs" dxfId="137" priority="37" operator="lessThan">
      <formula>0</formula>
    </cfRule>
    <cfRule type="cellIs" dxfId="136" priority="38" operator="greaterThan">
      <formula>0</formula>
    </cfRule>
  </conditionalFormatting>
  <conditionalFormatting sqref="HD4:HL42">
    <cfRule type="cellIs" dxfId="135" priority="35" operator="lessThan">
      <formula>0</formula>
    </cfRule>
    <cfRule type="cellIs" dxfId="134" priority="36" operator="greaterThan">
      <formula>0</formula>
    </cfRule>
  </conditionalFormatting>
  <conditionalFormatting sqref="HO4:HW42">
    <cfRule type="cellIs" dxfId="133" priority="33" operator="lessThan">
      <formula>0</formula>
    </cfRule>
    <cfRule type="cellIs" dxfId="132" priority="34" operator="greaterThan">
      <formula>0</formula>
    </cfRule>
  </conditionalFormatting>
  <conditionalFormatting sqref="HZ4:IH42">
    <cfRule type="cellIs" dxfId="131" priority="31" operator="lessThan">
      <formula>0</formula>
    </cfRule>
    <cfRule type="cellIs" dxfId="130" priority="32" operator="greaterThan">
      <formula>0</formula>
    </cfRule>
  </conditionalFormatting>
  <conditionalFormatting sqref="IK4:IS42">
    <cfRule type="cellIs" dxfId="129" priority="29" operator="lessThan">
      <formula>0</formula>
    </cfRule>
    <cfRule type="cellIs" dxfId="128" priority="30" operator="greaterThan">
      <formula>0</formula>
    </cfRule>
  </conditionalFormatting>
  <conditionalFormatting sqref="IV4:JD42">
    <cfRule type="cellIs" dxfId="127" priority="27" operator="lessThan">
      <formula>0</formula>
    </cfRule>
    <cfRule type="cellIs" dxfId="126" priority="28" operator="greaterThan">
      <formula>0</formula>
    </cfRule>
  </conditionalFormatting>
  <conditionalFormatting sqref="JG4:JO42">
    <cfRule type="cellIs" dxfId="125" priority="25" operator="lessThan">
      <formula>0</formula>
    </cfRule>
    <cfRule type="cellIs" dxfId="124" priority="26" operator="greaterThan">
      <formula>0</formula>
    </cfRule>
  </conditionalFormatting>
  <conditionalFormatting sqref="JR4:JZ42">
    <cfRule type="cellIs" dxfId="123" priority="23" operator="lessThan">
      <formula>0</formula>
    </cfRule>
    <cfRule type="cellIs" dxfId="122" priority="24" operator="greaterThan">
      <formula>0</formula>
    </cfRule>
  </conditionalFormatting>
  <conditionalFormatting sqref="KC4:KK42">
    <cfRule type="cellIs" dxfId="121" priority="21" operator="lessThan">
      <formula>0</formula>
    </cfRule>
    <cfRule type="cellIs" dxfId="120" priority="22" operator="greaterThan">
      <formula>0</formula>
    </cfRule>
  </conditionalFormatting>
  <conditionalFormatting sqref="KN4:KV42">
    <cfRule type="cellIs" dxfId="119" priority="19" operator="lessThan">
      <formula>0</formula>
    </cfRule>
    <cfRule type="cellIs" dxfId="118" priority="20" operator="greaterThan">
      <formula>0</formula>
    </cfRule>
  </conditionalFormatting>
  <conditionalFormatting sqref="KY4:LG42">
    <cfRule type="cellIs" dxfId="117" priority="17" operator="lessThan">
      <formula>0</formula>
    </cfRule>
    <cfRule type="cellIs" dxfId="116" priority="18" operator="greaterThan">
      <formula>0</formula>
    </cfRule>
  </conditionalFormatting>
  <conditionalFormatting sqref="LJ4:LR42">
    <cfRule type="cellIs" dxfId="115" priority="15" operator="lessThan">
      <formula>0</formula>
    </cfRule>
    <cfRule type="cellIs" dxfId="114" priority="16" operator="greaterThan">
      <formula>0</formula>
    </cfRule>
  </conditionalFormatting>
  <conditionalFormatting sqref="LU4:MC42">
    <cfRule type="cellIs" dxfId="113" priority="13" operator="lessThan">
      <formula>0</formula>
    </cfRule>
    <cfRule type="cellIs" dxfId="112" priority="14" operator="greaterThan">
      <formula>0</formula>
    </cfRule>
  </conditionalFormatting>
  <conditionalFormatting sqref="MF4:MN42">
    <cfRule type="cellIs" dxfId="111" priority="11" operator="lessThan">
      <formula>0</formula>
    </cfRule>
    <cfRule type="cellIs" dxfId="110" priority="12" operator="greaterThan">
      <formula>0</formula>
    </cfRule>
  </conditionalFormatting>
  <conditionalFormatting sqref="MQ4:MY42">
    <cfRule type="cellIs" dxfId="109" priority="9" operator="lessThan">
      <formula>0</formula>
    </cfRule>
    <cfRule type="cellIs" dxfId="108" priority="10" operator="greaterThan">
      <formula>0</formula>
    </cfRule>
  </conditionalFormatting>
  <conditionalFormatting sqref="NB4:NJ42">
    <cfRule type="cellIs" dxfId="107" priority="7" operator="lessThan">
      <formula>0</formula>
    </cfRule>
    <cfRule type="cellIs" dxfId="106" priority="8" operator="greaterThan">
      <formula>0</formula>
    </cfRule>
  </conditionalFormatting>
  <conditionalFormatting sqref="NM4:NU42">
    <cfRule type="cellIs" dxfId="105" priority="5" operator="lessThan">
      <formula>0</formula>
    </cfRule>
    <cfRule type="cellIs" dxfId="104" priority="6" operator="greaterThan">
      <formula>0</formula>
    </cfRule>
  </conditionalFormatting>
  <conditionalFormatting sqref="NX4:OF42">
    <cfRule type="cellIs" dxfId="103" priority="3" operator="lessThan">
      <formula>0</formula>
    </cfRule>
    <cfRule type="cellIs" dxfId="102" priority="4" operator="greaterThan">
      <formula>0</formula>
    </cfRule>
  </conditionalFormatting>
  <conditionalFormatting sqref="OT4:PB9 OT11:PB42 OT10:PC10">
    <cfRule type="cellIs" dxfId="101" priority="1" operator="lessThan">
      <formula>0</formula>
    </cfRule>
    <cfRule type="cellIs" dxfId="100" priority="2" operator="greater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A1008"/>
  <sheetViews>
    <sheetView tabSelected="1" zoomScale="71" zoomScaleNormal="71" workbookViewId="0">
      <selection activeCell="X11" sqref="X11"/>
    </sheetView>
  </sheetViews>
  <sheetFormatPr defaultColWidth="9.140625" defaultRowHeight="15"/>
  <cols>
    <col min="1" max="1" width="9.140625" style="15" bestFit="1" customWidth="1"/>
    <col min="2" max="2" width="10.140625" style="15" bestFit="1" customWidth="1"/>
    <col min="3" max="3" width="10.5703125" style="15" customWidth="1"/>
    <col min="4" max="4" width="9.140625" style="15"/>
    <col min="5" max="5" width="12.140625" style="15" customWidth="1"/>
    <col min="6" max="16384" width="9.140625" style="15"/>
  </cols>
  <sheetData>
    <row r="1" spans="1:22" ht="9" customHeight="1"/>
    <row r="2" spans="1:22" ht="22.5" customHeight="1">
      <c r="A2" s="106"/>
      <c r="B2" s="106" t="s">
        <v>575</v>
      </c>
      <c r="C2" s="106"/>
      <c r="D2" s="106"/>
      <c r="E2" s="106"/>
      <c r="F2" s="106"/>
      <c r="G2" s="106"/>
      <c r="H2" s="106"/>
      <c r="I2" s="106"/>
      <c r="J2" s="106"/>
      <c r="K2" s="106"/>
      <c r="L2" s="106"/>
      <c r="M2" s="106"/>
      <c r="N2" s="106"/>
      <c r="O2" s="106"/>
    </row>
    <row r="3" spans="1:22" ht="7.5" customHeight="1"/>
    <row r="4" spans="1:22" ht="6.75" customHeight="1"/>
    <row r="5" spans="1:22" ht="24" customHeight="1">
      <c r="C5" s="15">
        <v>11</v>
      </c>
      <c r="F5" s="371" t="s">
        <v>342</v>
      </c>
      <c r="G5" s="371"/>
      <c r="H5" s="371"/>
      <c r="I5" s="371"/>
      <c r="J5" s="371"/>
      <c r="K5" s="94" t="s">
        <v>454</v>
      </c>
      <c r="L5" s="95"/>
      <c r="M5" s="95"/>
      <c r="N5" s="96"/>
      <c r="O5" s="96"/>
      <c r="P5" s="96"/>
      <c r="Q5" s="96"/>
      <c r="R5" s="96"/>
      <c r="S5" s="96"/>
      <c r="T5" s="96"/>
      <c r="U5" s="96"/>
      <c r="V5" s="96"/>
    </row>
    <row r="7" spans="1:22">
      <c r="B7" s="15" t="str">
        <f>CONCATENATE(B1001," ",C1001, " - ", B1000)</f>
        <v>Y/Y Change in Hours^ Worked by Temporary Agency Workers - Spain</v>
      </c>
      <c r="M7" s="15" t="str">
        <f>CONCATENATE(B1001," ",C1000, " - ", B1000)</f>
        <v>Y/Y Change in Temporary Agency Work Sales Turnover - Spain</v>
      </c>
    </row>
    <row r="8" spans="1:22">
      <c r="B8" s="15" t="str">
        <f>IF($C$5=12,CONCATENATE(B1001," ",A1003," ",A1001,"*"),CONCATENATE(B1001," ",A1003," ",A1001))</f>
        <v>Y/Y Change in Spain (%)</v>
      </c>
      <c r="M8" s="15" t="str">
        <f>IF(OR($C$5=1, $C$5=6, $C$5=11 ), CONCATENATE(B1001," ",A1004," ",A1001,"**"), IF(OR($C$5=3, $C$5=7, $C$5=10, $C$5=12 ), CONCATENATE(B1001," ",A1004," ",A1001,"***"), CONCATENATE(B1001," ",A1004," ",A1001)))</f>
        <v>Y/Y Change in Turnover (%)**</v>
      </c>
    </row>
    <row r="22" spans="2:6" ht="33.75" customHeight="1"/>
    <row r="23" spans="2:6" ht="16.5" customHeight="1"/>
    <row r="24" spans="2:6" s="173" customFormat="1" ht="12" customHeight="1">
      <c r="B24" s="173" t="s">
        <v>462</v>
      </c>
    </row>
    <row r="25" spans="2:6" s="173" customFormat="1" ht="12" customHeight="1">
      <c r="B25" s="173" t="s">
        <v>455</v>
      </c>
    </row>
    <row r="26" spans="2:6" s="173" customFormat="1" ht="12" customHeight="1">
      <c r="B26" s="173" t="s">
        <v>457</v>
      </c>
    </row>
    <row r="27" spans="2:6" s="173" customFormat="1" ht="12" customHeight="1">
      <c r="B27" s="173" t="s">
        <v>449</v>
      </c>
    </row>
    <row r="28" spans="2:6" s="173" customFormat="1" ht="12" customHeight="1">
      <c r="B28" s="173" t="s">
        <v>456</v>
      </c>
    </row>
    <row r="29" spans="2:6" ht="15" customHeight="1"/>
    <row r="30" spans="2:6" ht="15" customHeight="1">
      <c r="B30" s="123"/>
      <c r="C30" s="123"/>
      <c r="D30" s="123"/>
      <c r="E30" s="123"/>
      <c r="F30" s="123"/>
    </row>
    <row r="31" spans="2:6" ht="15" customHeight="1"/>
    <row r="40" spans="9:21" ht="20.25" customHeight="1"/>
    <row r="42" spans="9:21">
      <c r="I42" s="364"/>
      <c r="J42" s="364"/>
      <c r="K42" s="364"/>
      <c r="L42" s="364"/>
      <c r="M42" s="364"/>
      <c r="N42" s="364"/>
      <c r="P42" s="364"/>
      <c r="Q42" s="364"/>
      <c r="R42" s="364"/>
      <c r="S42" s="364"/>
      <c r="T42" s="364"/>
      <c r="U42" s="364"/>
    </row>
    <row r="1000" spans="1:53">
      <c r="A1000" s="15" t="s">
        <v>51</v>
      </c>
      <c r="B1000" s="15" t="str">
        <f>VLOOKUP($C$5, 'WEC data_formatted'!A1:B15,2,FALSE)</f>
        <v>Spain</v>
      </c>
      <c r="C1000" s="15" t="s">
        <v>458</v>
      </c>
    </row>
    <row r="1001" spans="1:53">
      <c r="A1001" s="15" t="s">
        <v>215</v>
      </c>
      <c r="B1001" s="15" t="s">
        <v>453</v>
      </c>
      <c r="C1001" s="15" t="s">
        <v>459</v>
      </c>
    </row>
    <row r="1002" spans="1:53">
      <c r="B1002" s="49" t="e">
        <f>'WEC data_formatted'!#REF!</f>
        <v>#REF!</v>
      </c>
      <c r="C1002" s="49">
        <f>'WEC data_formatted'!C1</f>
        <v>41730</v>
      </c>
      <c r="D1002" s="49">
        <f>'WEC data_formatted'!D1</f>
        <v>41760</v>
      </c>
      <c r="E1002" s="49">
        <f>'WEC data_formatted'!E1</f>
        <v>41791</v>
      </c>
      <c r="F1002" s="49">
        <f>'WEC data_formatted'!F1</f>
        <v>41821</v>
      </c>
      <c r="G1002" s="49">
        <f>'WEC data_formatted'!G1</f>
        <v>41852</v>
      </c>
      <c r="H1002" s="49">
        <f>'WEC data_formatted'!H1</f>
        <v>41883</v>
      </c>
      <c r="I1002" s="49">
        <f>'WEC data_formatted'!I1</f>
        <v>41913</v>
      </c>
      <c r="J1002" s="49">
        <f>'WEC data_formatted'!J1</f>
        <v>41944</v>
      </c>
      <c r="K1002" s="49">
        <f>'WEC data_formatted'!K1</f>
        <v>41974</v>
      </c>
      <c r="L1002" s="49">
        <f>'WEC data_formatted'!L1</f>
        <v>42005</v>
      </c>
      <c r="M1002" s="49">
        <f>'WEC data_formatted'!M1</f>
        <v>42036</v>
      </c>
      <c r="N1002" s="49">
        <f>'WEC data_formatted'!N1</f>
        <v>42064</v>
      </c>
      <c r="O1002" s="49">
        <f>'WEC data_formatted'!O1</f>
        <v>42095</v>
      </c>
      <c r="P1002" s="49">
        <f>'WEC data_formatted'!P1</f>
        <v>42125</v>
      </c>
      <c r="Q1002" s="49">
        <f>'WEC data_formatted'!Q1</f>
        <v>42156</v>
      </c>
      <c r="R1002" s="49">
        <f>'WEC data_formatted'!R1</f>
        <v>42186</v>
      </c>
      <c r="S1002" s="49">
        <f>'WEC data_formatted'!S1</f>
        <v>42217</v>
      </c>
      <c r="T1002" s="49">
        <f>'WEC data_formatted'!T1</f>
        <v>42248</v>
      </c>
      <c r="U1002" s="49">
        <f>'WEC data_formatted'!U1</f>
        <v>42278</v>
      </c>
      <c r="V1002" s="49">
        <f>'WEC data_formatted'!V1</f>
        <v>42309</v>
      </c>
      <c r="W1002" s="49">
        <f>'WEC data_formatted'!W1</f>
        <v>42339</v>
      </c>
      <c r="X1002" s="49">
        <f>'WEC data_formatted'!X1</f>
        <v>42370</v>
      </c>
      <c r="Y1002" s="49">
        <f>'WEC data_formatted'!Y1</f>
        <v>42401</v>
      </c>
      <c r="Z1002" s="49">
        <f>'WEC data_formatted'!Z1</f>
        <v>42430</v>
      </c>
      <c r="AA1002" s="49">
        <f>'WEC data_formatted'!AA1</f>
        <v>42461</v>
      </c>
      <c r="AB1002" s="49">
        <f>'WEC data_formatted'!AB1</f>
        <v>42491</v>
      </c>
      <c r="AC1002" s="49">
        <f>'WEC data_formatted'!AC1</f>
        <v>42522</v>
      </c>
      <c r="AD1002" s="49">
        <f>'WEC data_formatted'!AD1</f>
        <v>42552</v>
      </c>
      <c r="AE1002" s="49">
        <f>'WEC data_formatted'!AE1</f>
        <v>42583</v>
      </c>
      <c r="AF1002" s="49">
        <f>'WEC data_formatted'!AF1</f>
        <v>42614</v>
      </c>
      <c r="AG1002" s="49">
        <f>'WEC data_formatted'!AG1</f>
        <v>42644</v>
      </c>
      <c r="AH1002" s="49">
        <f>'WEC data_formatted'!AH1</f>
        <v>42675</v>
      </c>
      <c r="AI1002" s="49">
        <f>'WEC data_formatted'!AI1</f>
        <v>42705</v>
      </c>
      <c r="AJ1002" s="49">
        <f>'WEC data_formatted'!AJ1</f>
        <v>42736</v>
      </c>
      <c r="AK1002" s="49">
        <f>'WEC data_formatted'!AK1</f>
        <v>42767</v>
      </c>
      <c r="AL1002" s="49">
        <f>'WEC data_formatted'!AL1</f>
        <v>42795</v>
      </c>
      <c r="AM1002" s="49">
        <f>'WEC data_formatted'!AM1</f>
        <v>42826</v>
      </c>
      <c r="AN1002" s="49">
        <f>'WEC data_formatted'!AN1</f>
        <v>42856</v>
      </c>
      <c r="AO1002" s="49">
        <f>'WEC data_formatted'!AO1</f>
        <v>42887</v>
      </c>
      <c r="AP1002" s="49">
        <f>'WEC data_formatted'!AP1</f>
        <v>42917</v>
      </c>
      <c r="AQ1002" s="49">
        <f>'WEC data_formatted'!AQ1</f>
        <v>42948</v>
      </c>
      <c r="AR1002" s="49">
        <f>'WEC data_formatted'!AR1</f>
        <v>42979</v>
      </c>
      <c r="AS1002" s="49">
        <f>'WEC data_formatted'!AS1</f>
        <v>43009</v>
      </c>
      <c r="AT1002" s="49">
        <f>'WEC data_formatted'!AT1</f>
        <v>43040</v>
      </c>
      <c r="AU1002" s="49">
        <f>'WEC data_formatted'!AU1</f>
        <v>43070</v>
      </c>
      <c r="AV1002" s="49">
        <f>'WEC data_formatted'!AV1</f>
        <v>43101</v>
      </c>
      <c r="AW1002" s="49">
        <f>'WEC data_formatted'!AW1</f>
        <v>43132</v>
      </c>
      <c r="AX1002" s="49">
        <f>'WEC data_formatted'!AX1</f>
        <v>43160</v>
      </c>
      <c r="AY1002" s="49">
        <f>'WEC data_formatted'!AY1</f>
        <v>43191</v>
      </c>
      <c r="AZ1002" s="49">
        <f>'WEC data_formatted'!AZ1</f>
        <v>43221</v>
      </c>
      <c r="BA1002" s="49">
        <f>'WEC data_formatted'!BA1</f>
        <v>43252</v>
      </c>
    </row>
    <row r="1003" spans="1:53">
      <c r="A1003" s="15" t="str">
        <f xml:space="preserve"> B1000</f>
        <v>Spain</v>
      </c>
      <c r="C1003" s="17" t="e">
        <f>IF(ISNUMBER(VLOOKUP($C$5,'WEC data_formatted'!$A$2:$BY$14,3,FALSE)), (VLOOKUP($C$5,'WEC data_formatted'!$A$2:$BY$14,3,FALSE)), NA())</f>
        <v>#N/A</v>
      </c>
      <c r="D1003" s="17" t="e">
        <f>IF(ISNUMBER(VLOOKUP($C$5,'WEC data_formatted'!$A$2:$BY$14,4,FALSE)), (VLOOKUP($C$5,'WEC data_formatted'!$A$2:$BY$14,4,FALSE)), NA())</f>
        <v>#N/A</v>
      </c>
      <c r="E1003" s="284" t="e">
        <f>IF(ISNUMBER(VLOOKUP($C$5,'WEC data_formatted'!$A$2:$BY$14,5,FALSE)), (VLOOKUP($C$5,'WEC data_formatted'!$A$2:$BY$14,5,FALSE)), NA())</f>
        <v>#N/A</v>
      </c>
      <c r="F1003" s="284" t="e">
        <f>IF(ISNUMBER(VLOOKUP($C$5,'WEC data_formatted'!$A$2:$BY$14,6,FALSE)), (VLOOKUP($C$5,'WEC data_formatted'!$A$2:$BY$14,6,FALSE)), NA())</f>
        <v>#N/A</v>
      </c>
      <c r="G1003" s="17" t="e">
        <f>IF(ISNUMBER(VLOOKUP($C$5,'WEC data_formatted'!$A$2:$BY$14,7,FALSE)), (VLOOKUP($C$5,'WEC data_formatted'!$A$2:$BY$14,7,FALSE)), NA())</f>
        <v>#N/A</v>
      </c>
      <c r="H1003" s="17" t="e">
        <f>IF(ISNUMBER(VLOOKUP($C$5,'WEC data_formatted'!$A$2:$BY$14,8,FALSE)), (VLOOKUP($C$5,'WEC data_formatted'!$A$2:$BY$14,8,FALSE)), NA())</f>
        <v>#N/A</v>
      </c>
      <c r="I1003" s="17" t="e">
        <f>IF(ISNUMBER(VLOOKUP($C$5,'WEC data_formatted'!$A$2:$AR$14,9,FALSE)), (VLOOKUP($C$5,'WEC data_formatted'!$A$2:$AR$14,9,FALSE)), NA())</f>
        <v>#N/A</v>
      </c>
      <c r="J1003" s="17" t="e">
        <f>IF(ISNUMBER(VLOOKUP($C$5,'WEC data_formatted'!$A$2:$AR$14,10,FALSE)), (VLOOKUP($C$5,'WEC data_formatted'!$A$2:$AR$14,10,FALSE)), NA())</f>
        <v>#N/A</v>
      </c>
      <c r="K1003" s="17" t="e">
        <f>IF(ISNUMBER(VLOOKUP($C$5,'WEC data_formatted'!$A$2:$AR$14,11,FALSE)), (VLOOKUP($C$5,'WEC data_formatted'!$A$2:$AR$14,11,FALSE)), NA())</f>
        <v>#N/A</v>
      </c>
      <c r="L1003" s="17" t="e">
        <f>IF(ISNUMBER(VLOOKUP($C$5,'WEC data_formatted'!$A$2:$AR$14,12,FALSE)), (VLOOKUP($C$5,'WEC data_formatted'!$A$2:$AR$14,12,FALSE)), NA())</f>
        <v>#N/A</v>
      </c>
      <c r="M1003" s="17" t="e">
        <f>IF(ISNUMBER(VLOOKUP($C$5,'WEC data_formatted'!$A$2:$AR$14,13,FALSE)), (VLOOKUP($C$5,'WEC data_formatted'!$A$2:$AR$14,13,FALSE)), NA())</f>
        <v>#N/A</v>
      </c>
      <c r="N1003" s="17" t="e">
        <f>IF(ISNUMBER(VLOOKUP($C$5,'WEC data_formatted'!$A$2:$AR$14,14,FALSE)), (VLOOKUP($C$5,'WEC data_formatted'!$A$2:$AR$14,14,FALSE)), NA())</f>
        <v>#N/A</v>
      </c>
      <c r="O1003" s="17" t="e">
        <f>IF(ISNUMBER(VLOOKUP($C$5,'WEC data_formatted'!$A$2:$AR$14,15,FALSE)), (VLOOKUP($C$5,'WEC data_formatted'!$A$2:$AR$14,15,FALSE)), NA())</f>
        <v>#N/A</v>
      </c>
      <c r="P1003" s="17" t="e">
        <f>IF(ISNUMBER(VLOOKUP($C$5,'WEC data_formatted'!$A$2:$AR$14,16,FALSE)), (VLOOKUP($C$5,'WEC data_formatted'!$A$2:$AR$14,16,FALSE)), NA())</f>
        <v>#N/A</v>
      </c>
      <c r="Q1003" s="17" t="e">
        <f>IF(ISNUMBER(VLOOKUP($C$5,'WEC data_formatted'!$A$2:$AR$14,17,FALSE)), (VLOOKUP($C$5,'WEC data_formatted'!$A$2:$AR$14,17,FALSE)), NA())</f>
        <v>#N/A</v>
      </c>
      <c r="R1003" s="17" t="e">
        <f>IF(ISNUMBER(VLOOKUP($C$5,'WEC data_formatted'!$A$2:$AR$14,18,FALSE)), (VLOOKUP($C$5,'WEC data_formatted'!$A$2:$AR$14,18,FALSE)), NA())</f>
        <v>#N/A</v>
      </c>
      <c r="S1003" s="17" t="e">
        <f>IF(ISNUMBER(VLOOKUP($C$5,'WEC data_formatted'!$A$2:$AR$14,19,FALSE)), (VLOOKUP($C$5,'WEC data_formatted'!$A$2:$AR$14,19,FALSE)), NA())</f>
        <v>#N/A</v>
      </c>
      <c r="T1003" s="17" t="e">
        <f>IF(ISNUMBER(VLOOKUP($C$5,'WEC data_formatted'!$A$2:$AR$14,20,FALSE)), (VLOOKUP($C$5,'WEC data_formatted'!$A$2:$AR$14,20,FALSE)), NA())</f>
        <v>#N/A</v>
      </c>
      <c r="U1003" s="17" t="e">
        <f>IF(ISNUMBER(VLOOKUP($C$5,'WEC data_formatted'!$A$2:$AR$14,21,FALSE)), (VLOOKUP($C$5,'WEC data_formatted'!$A$2:$AR$14,21,FALSE)), NA())</f>
        <v>#N/A</v>
      </c>
      <c r="V1003" s="17" t="e">
        <f>IF(ISNUMBER(VLOOKUP($C$5,'WEC data_formatted'!$A$2:$AR$14,22,FALSE)), (VLOOKUP($C$5,'WEC data_formatted'!$A$2:$AR$14,22,FALSE)), NA())</f>
        <v>#N/A</v>
      </c>
      <c r="W1003" s="17" t="e">
        <f>IF(ISNUMBER(VLOOKUP($C$5,'WEC data_formatted'!$A$2:$AR$14,23,FALSE)), (VLOOKUP($C$5,'WEC data_formatted'!$A$2:$AR$14,23,FALSE)), NA())</f>
        <v>#N/A</v>
      </c>
      <c r="X1003" s="17">
        <f>IF(ISNUMBER(VLOOKUP($C$5,'WEC data_formatted'!$A$2:$AR$14,24,FALSE)), (VLOOKUP($C$5,'WEC data_formatted'!$A$2:$AR$14,24,FALSE)), NA())</f>
        <v>0.113</v>
      </c>
      <c r="Y1003" s="17">
        <f>IF(ISNUMBER(VLOOKUP($C$5,'WEC data_formatted'!$A$2:$AR$14,25,FALSE)), (VLOOKUP($C$5,'WEC data_formatted'!$A$2:$AR$14,25,FALSE)), NA())</f>
        <v>0.16</v>
      </c>
      <c r="Z1003" s="17">
        <f>IF(ISNUMBER(VLOOKUP($C$5,'WEC data_formatted'!$A$2:$AR$14,26,FALSE)), (VLOOKUP($C$5,'WEC data_formatted'!$A$2:$AR$14,26,FALSE)), NA())</f>
        <v>6.0999999999999999E-2</v>
      </c>
      <c r="AA1003" s="17">
        <f>IF(ISNUMBER(VLOOKUP($C$5,'WEC data_formatted'!$A$2:$AR$14,27,FALSE)), (VLOOKUP($C$5,'WEC data_formatted'!$A$2:$AR$14,27,FALSE)), NA())</f>
        <v>0.14599999999999999</v>
      </c>
      <c r="AB1003" s="17">
        <f>IF(ISNUMBER(VLOOKUP($C$5,'WEC data_formatted'!$A$2:$AR$14,28,FALSE)), (VLOOKUP($C$5,'WEC data_formatted'!$A$2:$AR$14,28,FALSE)), NA())</f>
        <v>9.5000000000000001E-2</v>
      </c>
      <c r="AC1003" s="17">
        <f>IF(ISNUMBER(VLOOKUP($C$5,'WEC data_formatted'!$A$2:$AR$14,29,FALSE)), (VLOOKUP($C$5,'WEC data_formatted'!$A$2:$AR$14,29,FALSE)), NA())</f>
        <v>-7.0000000000000001E-3</v>
      </c>
      <c r="AD1003" s="17">
        <f>IF(ISNUMBER(VLOOKUP($C$5,'WEC data_formatted'!$A$2:$AR$14,30,FALSE)), (VLOOKUP($C$5,'WEC data_formatted'!$A$2:$AR$14,30,FALSE)), NA())</f>
        <v>-1.2E-2</v>
      </c>
      <c r="AE1003" s="17">
        <f>IF(ISNUMBER(VLOOKUP($C$5,'WEC data_formatted'!$A$2:$AR$14,31,FALSE)), (VLOOKUP($C$5,'WEC data_formatted'!$A$2:$AR$14,31,FALSE)), NA())</f>
        <v>0.23100000000000001</v>
      </c>
      <c r="AF1003" s="17">
        <f>IF(ISNUMBER(VLOOKUP($C$5,'WEC data_formatted'!$A$2:$AR$14,32,FALSE)), (VLOOKUP($C$5,'WEC data_formatted'!$A$2:$AR$14,32,FALSE)), NA())</f>
        <v>0.109</v>
      </c>
      <c r="AG1003" s="17">
        <f>IF(ISNUMBER(VLOOKUP($C$5,'WEC data_formatted'!$A$2:$AR$14,33,FALSE)), (VLOOKUP($C$5,'WEC data_formatted'!$A$2:$AR$14,33,FALSE)), NA())</f>
        <v>0.02</v>
      </c>
      <c r="AH1003" s="17">
        <f>IF(ISNUMBER(VLOOKUP($C$5,'WEC data_formatted'!$A$2:$AR$14,34,FALSE)), (VLOOKUP($C$5,'WEC data_formatted'!$A$2:$AR$14,34,FALSE)), NA())</f>
        <v>0.122</v>
      </c>
      <c r="AI1003" s="17">
        <f>IF(ISNUMBER(VLOOKUP($C$5,'WEC data_formatted'!$A$2:$AR$14,35,FALSE)), (VLOOKUP($C$5,'WEC data_formatted'!$A$2:$AR$14,35,FALSE)), NA())</f>
        <v>8.8999999999999996E-2</v>
      </c>
      <c r="AJ1003" s="17">
        <f>IF(ISNUMBER(VLOOKUP($C$5,'WEC data_formatted'!$A$2:$AR$14,36,FALSE)), (VLOOKUP($C$5,'WEC data_formatted'!$A$2:$AR$14,36,FALSE)), NA())</f>
        <v>0.14899999999999999</v>
      </c>
      <c r="AK1003" s="17">
        <f>IF(ISNUMBER(VLOOKUP($C$5,'WEC data_formatted'!$A$2:$AR$14,37,FALSE)), (VLOOKUP($C$5,'WEC data_formatted'!$A$2:$AR$14,37,FALSE)), NA())</f>
        <v>5.1999999999999998E-2</v>
      </c>
      <c r="AL1003" s="17">
        <f>IF(ISNUMBER(VLOOKUP($C$5,'WEC data_formatted'!$A$2:$AR$14,38,FALSE)), (VLOOKUP($C$5,'WEC data_formatted'!$A$2:$AR$14,38,FALSE)), NA())</f>
        <v>0.26</v>
      </c>
      <c r="AM1003" s="17">
        <f>IF(ISNUMBER(VLOOKUP($C$5,'WEC data_formatted'!$A$2:$AR$14,39,FALSE)), (VLOOKUP($C$5,'WEC data_formatted'!$A$2:$AR$14,39,FALSE)), NA())</f>
        <v>-1.7000000000000001E-2</v>
      </c>
      <c r="AN1003" s="17">
        <f>IF(ISNUMBER(VLOOKUP($C$5,'WEC data_formatted'!$A$2:$AR$14,40,FALSE)), (VLOOKUP($C$5,'WEC data_formatted'!$A$2:$AR$14,40,FALSE)), NA())</f>
        <v>0.182</v>
      </c>
      <c r="AO1003" s="17">
        <f>IF(ISNUMBER(VLOOKUP($C$5,'WEC data_formatted'!$A$2:$AR$14,41,FALSE)), (VLOOKUP($C$5,'WEC data_formatted'!$A$2:$AR$14,41,FALSE)), NA())</f>
        <v>0.14899999999999999</v>
      </c>
      <c r="AP1003" s="17">
        <f>IF(ISNUMBER(VLOOKUP($C$5,'WEC data_formatted'!$A$2:$AR$14,42,FALSE)), (VLOOKUP($C$5,'WEC data_formatted'!$A$2:$AR$14,42,FALSE)), NA())</f>
        <v>0.14000000000000001</v>
      </c>
      <c r="AQ1003" s="17">
        <f>IF(ISNUMBER(VLOOKUP($C$5,'WEC data_formatted'!$A$2:$AR$14,43,FALSE)), (VLOOKUP($C$5,'WEC data_formatted'!$A$2:$AR$14,43,FALSE)), NA())</f>
        <v>2.7E-2</v>
      </c>
      <c r="AR1003" s="17">
        <f>IF(ISNUMBER(VLOOKUP($C$5,'WEC data_formatted'!$A$2:$BY$14,44,FALSE)), (VLOOKUP($C$5,'WEC data_formatted'!$A$2:$BY$14,44,FALSE)), NA())</f>
        <v>8.7999999999999995E-2</v>
      </c>
      <c r="AS1003" s="284">
        <f>IF(ISNUMBER(VLOOKUP($C$5,'WEC data_formatted'!$A$2:$BY$14,45,FALSE)), (VLOOKUP($C$5,'WEC data_formatted'!$A$2:$BY$14,45,FALSE)), NA())</f>
        <v>0.222</v>
      </c>
      <c r="AT1003" s="284">
        <f>IF(ISNUMBER(VLOOKUP($C$5,'WEC data_formatted'!$A$2:$BY$14,46,FALSE)), (VLOOKUP($C$5,'WEC data_formatted'!$A$2:$BY$14,46,FALSE)), NA())</f>
        <v>0.183</v>
      </c>
      <c r="AU1003" s="284">
        <f>IF(ISNUMBER(VLOOKUP($C$5,'WEC data_formatted'!$A$2:$BY$14,47,FALSE)), (VLOOKUP($C$5,'WEC data_formatted'!$A$2:$BY$14,47,FALSE)), NA())</f>
        <v>0.14099999999999999</v>
      </c>
      <c r="AV1003" s="284">
        <f>IF(ISNUMBER(VLOOKUP($C$5,'WEC data_formatted'!$A$2:$BY$14,48,FALSE)), (VLOOKUP($C$5,'WEC data_formatted'!$A$2:$BY$14,48,FALSE)), NA())</f>
        <v>0.182</v>
      </c>
      <c r="AW1003" s="284">
        <f>IF(ISNUMBER(VLOOKUP($C$5,'WEC data_formatted'!$A$2:$BY$14,49,FALSE)), (VLOOKUP($C$5,'WEC data_formatted'!$A$2:$BY$14,49,FALSE)), NA())</f>
        <v>0.152</v>
      </c>
      <c r="AX1003" s="284">
        <f>IF(ISNUMBER(VLOOKUP($C$5,'WEC data_formatted'!$A$2:$BY$14,50,FALSE)), (VLOOKUP($C$5,'WEC data_formatted'!$A$2:$BY$14,50,FALSE)), NA())</f>
        <v>-2.7E-2</v>
      </c>
      <c r="AY1003" s="284">
        <f>IF(ISNUMBER(VLOOKUP($C$5,'WEC data_formatted'!$A$2:$BY$14,51,FALSE)), (VLOOKUP($C$5,'WEC data_formatted'!$A$2:$BY$14,51,FALSE)), NA())</f>
        <v>0.219</v>
      </c>
      <c r="AZ1003" s="284">
        <v>0.02</v>
      </c>
      <c r="BA1003" s="284">
        <f>IF(ISNUMBER(VLOOKUP($C$5,'WEC data_formatted'!$A$2:$BY$14,53,FALSE)), (VLOOKUP($C$5,'WEC data_formatted'!$A$2:$BY$14,53,FALSE)), NA())</f>
        <v>8.9999999999999993E-3</v>
      </c>
    </row>
    <row r="1004" spans="1:53">
      <c r="A1004" s="16" t="s">
        <v>211</v>
      </c>
      <c r="B1004" s="17" t="e">
        <f>IF(ISNUMBER(VLOOKUP($C$5,'WEC data_formatted'!$A$24:$AR$36,5,FALSE)), (VLOOKUP($C$5,'WEC data_formatted'!$A$24:$AR$36,5,FALSE)), NA())</f>
        <v>#N/A</v>
      </c>
      <c r="C1004" s="17" t="e">
        <f>IF(ISNUMBER(VLOOKUP($C$5,'WEC data_formatted'!$A$24:$AR$36,3,FALSE)), (VLOOKUP($C$5,'WEC data_formatted'!$A$24:$AR$36,3,FALSE)), NA())</f>
        <v>#N/A</v>
      </c>
      <c r="D1004" s="17" t="e">
        <f>IF(ISNUMBER(VLOOKUP($C$5,'WEC data_formatted'!$A$24:$AR$36,4,FALSE)), (VLOOKUP($C$5,'WEC data_formatted'!$A$24:$AR$36,4,FALSE)), NA())</f>
        <v>#N/A</v>
      </c>
      <c r="E1004" s="17" t="e">
        <f>IF(ISNUMBER(VLOOKUP($C$5,'WEC data_formatted'!$A$24:$AR$36,5,FALSE)), (VLOOKUP($C$5,'WEC data_formatted'!$A$24:$AR$36,5,FALSE)), NA())</f>
        <v>#N/A</v>
      </c>
      <c r="F1004" s="17" t="e">
        <f>IF(ISNUMBER(VLOOKUP($C$5,'WEC data_formatted'!$A$24:$AR$36,6,FALSE)), (VLOOKUP($C$5,'WEC data_formatted'!$A$24:$AR$36,6,FALSE)), NA())</f>
        <v>#N/A</v>
      </c>
      <c r="G1004" s="17" t="e">
        <f>IF(ISNUMBER(VLOOKUP($C$5,'WEC data_formatted'!$A$24:$AR$36,7,FALSE)), (VLOOKUP($C$5,'WEC data_formatted'!$A$24:$AR$36,7,FALSE)), NA())</f>
        <v>#N/A</v>
      </c>
      <c r="H1004" s="17" t="e">
        <f>IF(ISNUMBER(VLOOKUP($C$5,'WEC data_formatted'!$A$24:$AR$36,8,FALSE)), (VLOOKUP($C$5,'WEC data_formatted'!$A$24:$AR$36,8,FALSE)), NA())</f>
        <v>#N/A</v>
      </c>
      <c r="I1004" s="17" t="e">
        <f>IF(ISNUMBER(VLOOKUP($C$5,'WEC data_formatted'!$A$24:$AR$36,9,FALSE)), (VLOOKUP($C$5,'WEC data_formatted'!$A$24:$AR$36,9,FALSE)), NA())</f>
        <v>#N/A</v>
      </c>
      <c r="J1004" s="17" t="e">
        <f>IF(ISNUMBER(VLOOKUP($C$5,'WEC data_formatted'!$A$24:$AR$36,10,FALSE)), (VLOOKUP($C$5,'WEC data_formatted'!$A$24:$AR$36,10,FALSE)), NA())</f>
        <v>#N/A</v>
      </c>
      <c r="K1004" s="17" t="e">
        <f>IF(ISNUMBER(VLOOKUP($C$5,'WEC data_formatted'!$A$24:$AR$36,11,FALSE)), (VLOOKUP($C$5,'WEC data_formatted'!$A$24:$AR$36,11,FALSE)), NA())</f>
        <v>#N/A</v>
      </c>
      <c r="L1004" s="17" t="e">
        <f>IF(ISNUMBER(VLOOKUP($C$5,'WEC data_formatted'!$A$24:$AR$36,12,FALSE)), (VLOOKUP($C$5,'WEC data_formatted'!$A$24:$AR$36,12,FALSE)), NA())</f>
        <v>#N/A</v>
      </c>
      <c r="M1004" s="17" t="e">
        <f>IF(ISNUMBER(VLOOKUP($C$5,'WEC data_formatted'!$A$24:$AR$36,13,FALSE)), (VLOOKUP($C$5,'WEC data_formatted'!$A$24:$AR$36,13,FALSE)), NA())</f>
        <v>#N/A</v>
      </c>
      <c r="N1004" s="17" t="e">
        <f>IF(ISNUMBER(VLOOKUP($C$5,'WEC data_formatted'!$A$24:$AR$36,14,FALSE)), (VLOOKUP($C$5,'WEC data_formatted'!$A$24:$AR$36,14,FALSE)), NA())</f>
        <v>#N/A</v>
      </c>
      <c r="O1004" s="17" t="e">
        <f>IF(ISNUMBER(VLOOKUP($C$5,'WEC data_formatted'!$A$24:$AR$36,15,FALSE)), (VLOOKUP($C$5,'WEC data_formatted'!$A$24:$AR$36,15,FALSE)), NA())</f>
        <v>#N/A</v>
      </c>
      <c r="P1004" s="17" t="e">
        <f>IF(ISNUMBER(VLOOKUP($C$5,'WEC data_formatted'!$A$24:$AR$36,16,FALSE)), (VLOOKUP($C$5,'WEC data_formatted'!$A$24:$AR$36,16,FALSE)), NA())</f>
        <v>#N/A</v>
      </c>
      <c r="Q1004" s="17" t="e">
        <f>IF(ISNUMBER(VLOOKUP($C$5,'WEC data_formatted'!$A$24:$AR$36,17,FALSE)), (VLOOKUP($C$5,'WEC data_formatted'!$A$24:$AR$36,17,FALSE)), NA())</f>
        <v>#N/A</v>
      </c>
      <c r="R1004" s="17" t="e">
        <f>IF(ISNUMBER(VLOOKUP($C$5,'WEC data_formatted'!$A$24:$AR$36,18,FALSE)), (VLOOKUP($C$5,'WEC data_formatted'!$A$24:$AR$36,18,FALSE)), NA())</f>
        <v>#N/A</v>
      </c>
      <c r="S1004" s="17" t="e">
        <f>IF(ISNUMBER(VLOOKUP($C$5,'WEC data_formatted'!$A$24:$AR$36,19,FALSE)), (VLOOKUP($C$5,'WEC data_formatted'!$A$24:$AR$36,19,FALSE)), NA())</f>
        <v>#N/A</v>
      </c>
      <c r="T1004" s="17" t="e">
        <f>IF(ISNUMBER(VLOOKUP($C$5,'WEC data_formatted'!$A$24:$AR$36,20,FALSE)), (VLOOKUP($C$5,'WEC data_formatted'!$A$24:$AR$36,20,FALSE)), NA())</f>
        <v>#N/A</v>
      </c>
      <c r="U1004" s="17" t="e">
        <f>IF(ISNUMBER(VLOOKUP($C$5,'WEC data_formatted'!$A$24:$AR$36,21,FALSE)), (VLOOKUP($C$5,'WEC data_formatted'!$A$24:$AR$36,21,FALSE)), NA())</f>
        <v>#N/A</v>
      </c>
      <c r="V1004" s="17" t="e">
        <f>IF(ISNUMBER(VLOOKUP($C$5,'WEC data_formatted'!$A$24:$AR$36,22,FALSE)), (VLOOKUP($C$5,'WEC data_formatted'!$A$24:$AR$36,22,FALSE)), NA())</f>
        <v>#N/A</v>
      </c>
      <c r="W1004" s="17" t="e">
        <f>IF(ISNUMBER(VLOOKUP($C$5,'WEC data_formatted'!$A$24:$AR$36,23,FALSE)), (VLOOKUP($C$5,'WEC data_formatted'!$A$24:$AR$36,23,FALSE)), NA())</f>
        <v>#N/A</v>
      </c>
      <c r="X1004" s="17">
        <f>IF(ISNUMBER(VLOOKUP($C$5,'WEC data_formatted'!$A$24:$AR$36,24,FALSE)), (VLOOKUP($C$5,'WEC data_formatted'!$A$24:$AR$36,24,FALSE)), NA())</f>
        <v>0.13500000000000001</v>
      </c>
      <c r="Y1004" s="17">
        <f>IF(ISNUMBER(VLOOKUP($C$5,'WEC data_formatted'!$A$24:$AR$36,25,FALSE)), (VLOOKUP($C$5,'WEC data_formatted'!$A$24:$AR$36,25,FALSE)), NA())</f>
        <v>0.17499999999999999</v>
      </c>
      <c r="Z1004" s="17">
        <f>IF(ISNUMBER(VLOOKUP($C$5,'WEC data_formatted'!$A$24:$AR$36,26,FALSE)), (VLOOKUP($C$5,'WEC data_formatted'!$A$24:$AR$36,26,FALSE)), NA())</f>
        <v>9.5000000000000001E-2</v>
      </c>
      <c r="AA1004" s="17">
        <f>IF(ISNUMBER(VLOOKUP($C$5,'WEC data_formatted'!$A$24:$AR$36,27,FALSE)), (VLOOKUP($C$5,'WEC data_formatted'!$A$24:$AR$36,27,FALSE)), NA())</f>
        <v>0.184</v>
      </c>
      <c r="AB1004" s="17">
        <f>IF(ISNUMBER(VLOOKUP($C$5,'WEC data_formatted'!$A$24:$AR$36,28,FALSE)), (VLOOKUP($C$5,'WEC data_formatted'!$A$24:$AR$36,28,FALSE)), NA())</f>
        <v>0.112</v>
      </c>
      <c r="AC1004" s="17">
        <f>IF(ISNUMBER(VLOOKUP($C$5,'WEC data_formatted'!$A$24:$AR$36,29,FALSE)), (VLOOKUP($C$5,'WEC data_formatted'!$A$24:$AR$36,29,FALSE)), NA())</f>
        <v>7.2999999999999995E-2</v>
      </c>
      <c r="AD1004" s="284">
        <f>IF(ISNUMBER(VLOOKUP($C$5,'WEC data_formatted'!$A$24:$AR$36,30,FALSE)), (VLOOKUP($C$5,'WEC data_formatted'!$A$24:$AR$36,30,FALSE)), NA())</f>
        <v>1.4E-2</v>
      </c>
      <c r="AE1004" s="284">
        <f>IF(ISNUMBER(VLOOKUP($C$5,'WEC data_formatted'!$A$24:$AR$36,31,FALSE)), (VLOOKUP($C$5,'WEC data_formatted'!$A$24:$AR$36,31,FALSE)), NA())</f>
        <v>0.16400000000000001</v>
      </c>
      <c r="AF1004" s="284">
        <f>IF(ISNUMBER(VLOOKUP($C$5,'WEC data_formatted'!$A$24:$AR$36,32,FALSE)), (VLOOKUP($C$5,'WEC data_formatted'!$A$24:$AR$36,32,FALSE)), NA())</f>
        <v>0.111</v>
      </c>
      <c r="AG1004" s="17">
        <f>IF(ISNUMBER(VLOOKUP($C$5,'WEC data_formatted'!$A$24:$AR$36,33,FALSE)), (VLOOKUP($C$5,'WEC data_formatted'!$A$24:$AR$36,33,FALSE)), NA())</f>
        <v>7.0999999999999994E-2</v>
      </c>
      <c r="AH1004" s="17">
        <f>IF(ISNUMBER(VLOOKUP($C$5,'WEC data_formatted'!$A$24:$BY$36,34,FALSE)), (VLOOKUP($C$5,'WEC data_formatted'!$A$24:$BY$36,34,FALSE)), NA())</f>
        <v>0.159</v>
      </c>
      <c r="AI1004" s="17">
        <f>IF(ISNUMBER(VLOOKUP($C$5,'WEC data_formatted'!$A$24:$AR$36,35,FALSE)), (VLOOKUP($C$5,'WEC data_formatted'!$A$24:$AR$36,35,FALSE)), NA())</f>
        <v>0.10100000000000001</v>
      </c>
      <c r="AJ1004" s="17">
        <f>IF(ISNUMBER(VLOOKUP($C$5,'WEC data_formatted'!$A$24:$AR$36,36,FALSE)), (VLOOKUP($C$5,'WEC data_formatted'!$A$24:$AR$36,36,FALSE)), NA())</f>
        <v>0.17399999999999999</v>
      </c>
      <c r="AK1004" s="17">
        <f>IF(ISNUMBER(VLOOKUP($C$5,'WEC data_formatted'!$A$24:$AR$36,37,FALSE)), (VLOOKUP($C$5,'WEC data_formatted'!$A$24:$AR$36,37,FALSE)), NA())</f>
        <v>0.1</v>
      </c>
      <c r="AL1004" s="17">
        <f>IF(ISNUMBER(VLOOKUP($C$5,'WEC data_formatted'!$A$24:$BY$36,38,FALSE)), (VLOOKUP($C$5,'WEC data_formatted'!$A$24:$BY$36,38,FALSE)), NA())</f>
        <v>0.216</v>
      </c>
      <c r="AM1004" s="17">
        <f>IF(ISNUMBER(VLOOKUP($C$5,'WEC data_formatted'!$A$24:$BY$36,39,FALSE)), (VLOOKUP($C$5,'WEC data_formatted'!$A$24:$BY$36,39,FALSE)), NA())</f>
        <v>0.04</v>
      </c>
      <c r="AN1004" s="17">
        <f>IF(ISNUMBER(VLOOKUP($C$5,'WEC data_formatted'!$A$24:$BY$36,40,FALSE)), (VLOOKUP($C$5,'WEC data_formatted'!$A$24:$BY$36,40,FALSE)), NA())</f>
        <v>0.247</v>
      </c>
      <c r="AO1004" s="17">
        <f>IF(ISNUMBER(VLOOKUP($C$5,'WEC data_formatted'!$A$24:$BY$36,41,FALSE)), (VLOOKUP($C$5,'WEC data_formatted'!$A$24:$BY$36,41,FALSE)), NA())</f>
        <v>0.18</v>
      </c>
      <c r="AP1004" s="284">
        <f>IF(ISNUMBER(VLOOKUP($C$5,'WEC data_formatted'!$A$24:$BY$36,42,FALSE)), (VLOOKUP($C$5,'WEC data_formatted'!$A$24:$BY$36,42,FALSE)), NA())</f>
        <v>0.19600000000000001</v>
      </c>
      <c r="AQ1004" s="17">
        <f>IF(ISNUMBER(VLOOKUP($C$5,'WEC data_formatted'!$A$24:$BY$36,43,FALSE)), (VLOOKUP($C$5,'WEC data_formatted'!$A$24:$BY$36,43,FALSE)), NA())</f>
        <v>0.153</v>
      </c>
      <c r="AR1004" s="17">
        <f>IF(ISNUMBER(VLOOKUP($C$5,'WEC data_formatted'!$A$24:$BY$36,44,FALSE)), (VLOOKUP($C$5,'WEC data_formatted'!$A$24:$BY$36,44,FALSE)), NA())</f>
        <v>0.14399999999999999</v>
      </c>
      <c r="AS1004" s="284">
        <f>IF(ISNUMBER(VLOOKUP($C$5,'WEC data_formatted'!$A$24:$BY$36,45,FALSE)), (VLOOKUP($C$5,'WEC data_formatted'!$A$24:$BY$36,45,FALSE)), NA())</f>
        <v>0.24199999999999999</v>
      </c>
      <c r="AT1004" s="284">
        <f>IF(ISNUMBER(VLOOKUP($C$5,'WEC data_formatted'!$A$24:$BY$36,46,FALSE)), (VLOOKUP($C$5,'WEC data_formatted'!$A$24:$BY$36,46,FALSE)), NA())</f>
        <v>0.19800000000000001</v>
      </c>
      <c r="AU1004" s="284">
        <f>IF(ISNUMBER(VLOOKUP($C$5,'WEC data_formatted'!$A$24:$BY$36,47,FALSE)), (VLOOKUP($C$5,'WEC data_formatted'!$A$24:$BY$36,47,FALSE)), NA())</f>
        <v>0.14499999999999999</v>
      </c>
      <c r="AV1004" s="284">
        <f>IF(ISNUMBER(VLOOKUP($C$5,'WEC data_formatted'!$A$24:$BY$36,48,FALSE)), (VLOOKUP($C$5,'WEC data_formatted'!$A$24:$BY$36,48,FALSE)), NA())</f>
        <v>0.20200000000000001</v>
      </c>
      <c r="AW1004" s="284">
        <f>IF(ISNUMBER(VLOOKUP($C$5,'WEC data_formatted'!$A$24:$BY$36,49,FALSE)), (VLOOKUP($C$5,'WEC data_formatted'!$A$24:$BY$36,49,FALSE)), NA())</f>
        <v>0.14899999999999999</v>
      </c>
      <c r="AX1004" s="284">
        <f>IF(ISNUMBER(VLOOKUP($C$5,'WEC data_formatted'!$A$24:$BY$36,50,FALSE)), (VLOOKUP($C$5,'WEC data_formatted'!$A$24:$BY$36,50,FALSE)), NA())</f>
        <v>6.5000000000000002E-2</v>
      </c>
      <c r="AY1004" s="284">
        <f>IF(ISNUMBER(VLOOKUP($C$5,'WEC data_formatted'!$A$24:$BY$36,51,FALSE)), (VLOOKUP($C$5,'WEC data_formatted'!$A$24:$BY$36,51,FALSE)), NA())</f>
        <v>0.20100000000000001</v>
      </c>
      <c r="AZ1004" s="284">
        <f>IF(ISNUMBER(VLOOKUP($C$5,'WEC data_formatted'!$A$24:$BY$36,52,FALSE)), (VLOOKUP($C$5,'WEC data_formatted'!$A$24:$BY$36,52,FALSE)), NA())</f>
        <v>7.3999999999999996E-2</v>
      </c>
      <c r="BA1004" s="284">
        <f>IF(ISNUMBER(VLOOKUP($C$5,'WEC data_formatted'!$A$24:$BY$36,53,FALSE)), (VLOOKUP($C$5,'WEC data_formatted'!$A$24:$BY$36,53,FALSE)), NA())</f>
        <v>4.2999999999999997E-2</v>
      </c>
    </row>
    <row r="1005" spans="1:53">
      <c r="A1005" s="15" t="s">
        <v>201</v>
      </c>
      <c r="B1005" s="17" t="e">
        <f>HLOOKUP(B1002,'WEC data_formatted'!$C1:$AR15,15,FALSE)</f>
        <v>#REF!</v>
      </c>
      <c r="C1005" s="17">
        <f>HLOOKUP(C1002,'WEC data_formatted'!$C1:$AR15,15,FALSE)</f>
        <v>4.8502990311759357E-2</v>
      </c>
      <c r="D1005" s="17">
        <f>HLOOKUP(D1002,'WEC data_formatted'!$C1:$AR15,15,FALSE)</f>
        <v>3.4574418272867911E-2</v>
      </c>
      <c r="E1005" s="17">
        <f>HLOOKUP(E1002,'WEC data_formatted'!$C1:$AR15,15,FALSE)</f>
        <v>4.600893328909713E-2</v>
      </c>
      <c r="F1005" s="17">
        <f>HLOOKUP(F1002,'WEC data_formatted'!$C1:$AR15,15,FALSE)</f>
        <v>5.9724831981893586E-2</v>
      </c>
      <c r="G1005" s="17">
        <f>HLOOKUP(G1002,'WEC data_formatted'!$C1:$AR15,15,FALSE)</f>
        <v>2.8960074334305582E-2</v>
      </c>
      <c r="H1005" s="17">
        <f>HLOOKUP(H1002,'WEC data_formatted'!$C1:$AR15,15,FALSE)</f>
        <v>3.3985123481058852E-2</v>
      </c>
      <c r="I1005" s="17">
        <f>HLOOKUP(I1002,'WEC data_formatted'!$C1:$AR15,15,FALSE)</f>
        <v>3.8030310313092661E-2</v>
      </c>
      <c r="J1005" s="17">
        <f>HLOOKUP(J1002,'WEC data_formatted'!$C1:$AR15,15,FALSE)</f>
        <v>2.5916713548436353E-2</v>
      </c>
      <c r="K1005" s="17">
        <f>HLOOKUP(K1002,'WEC data_formatted'!$C1:$AR15,15,FALSE)</f>
        <v>3.5271514998754042E-2</v>
      </c>
      <c r="L1005" s="17">
        <f>HLOOKUP(L1002,'WEC data_formatted'!$C1:$AR15,15,FALSE)</f>
        <v>4.5330789579331981E-2</v>
      </c>
      <c r="M1005" s="17">
        <f>HLOOKUP(M1002,'WEC data_formatted'!$C1:$AR15,15,FALSE)</f>
        <v>3.1710327160945621E-2</v>
      </c>
      <c r="N1005" s="17">
        <f>HLOOKUP(N1002,'WEC data_formatted'!$C1:$AR15,15,FALSE)</f>
        <v>2.8976757666691055E-2</v>
      </c>
      <c r="O1005" s="17">
        <f>HLOOKUP(O1002,'WEC data_formatted'!$C1:$AR15,15,FALSE)</f>
        <v>2.6278972407231201E-2</v>
      </c>
      <c r="P1005" s="17">
        <f>HLOOKUP(P1002,'WEC data_formatted'!$C1:$AR15,15,FALSE)</f>
        <v>5.3789832394056936E-2</v>
      </c>
      <c r="Q1005" s="17">
        <f>HLOOKUP(Q1002,'WEC data_formatted'!$C1:$AR15,15,FALSE)</f>
        <v>3.8297302636526448E-2</v>
      </c>
      <c r="R1005" s="17">
        <f>HLOOKUP(R1002,'WEC data_formatted'!$C1:$AR15,15,FALSE)</f>
        <v>4.2445660550527363E-2</v>
      </c>
      <c r="S1005" s="17">
        <f>HLOOKUP(S1002,'WEC data_formatted'!$C1:$AR15,15,FALSE)</f>
        <v>3.6392586657829844E-2</v>
      </c>
      <c r="T1005" s="17">
        <f>HLOOKUP(T1002,'WEC data_formatted'!$C1:$AR15,15,FALSE)</f>
        <v>3.6225751138411789E-2</v>
      </c>
      <c r="U1005" s="17">
        <f>HLOOKUP(U1002,'WEC data_formatted'!$C1:$AR15,15,FALSE)</f>
        <v>3.0671651728765157E-2</v>
      </c>
      <c r="V1005" s="17">
        <f>HLOOKUP(V1002,'WEC data_formatted'!$C1:$AR15,15,FALSE)</f>
        <v>6.6726615526135027E-2</v>
      </c>
      <c r="W1005" s="17">
        <f>HLOOKUP(W1002,'WEC data_formatted'!$C1:$AR15,15,FALSE)</f>
        <v>4.3512831827643976E-2</v>
      </c>
      <c r="X1005" s="17">
        <f>HLOOKUP(X1002,'WEC data_formatted'!$C1:$AR15,15,FALSE)</f>
        <v>8.6452313319110033E-2</v>
      </c>
      <c r="Y1005" s="17">
        <f>HLOOKUP(Y1002,'WEC data_formatted'!$C1:$AR15,15,FALSE)</f>
        <v>4.8070964653315229E-2</v>
      </c>
      <c r="Z1005" s="17">
        <f>HLOOKUP(Z1002,'WEC data_formatted'!$C1:$AR15,15,FALSE)</f>
        <v>3.2943844251176885E-2</v>
      </c>
      <c r="AA1005" s="17">
        <f>HLOOKUP(AA1002,'WEC data_formatted'!$C1:$AR15,15,FALSE)</f>
        <v>2.5819324143774237E-2</v>
      </c>
      <c r="AB1005" s="17">
        <f>HLOOKUP(AB1002,'WEC data_formatted'!$C1:$AR15,15,FALSE)</f>
        <v>2.476876201648907E-2</v>
      </c>
      <c r="AC1005" s="17">
        <f>HLOOKUP(AC1002,'WEC data_formatted'!$C1:$AR15,15,FALSE)</f>
        <v>0</v>
      </c>
      <c r="AD1005" s="17">
        <f>HLOOKUP(AD1002,'WEC data_formatted'!$C1:$AR15,15,FALSE)</f>
        <v>4.1497797145867259E-2</v>
      </c>
      <c r="AE1005" s="17">
        <f>HLOOKUP(AE1002,'WEC data_formatted'!$C1:$AR15,15,FALSE)</f>
        <v>0</v>
      </c>
      <c r="AF1005" s="17">
        <f>HLOOKUP(AF1002,'WEC data_formatted'!$C1:$AR15,15,FALSE)</f>
        <v>3.5024656306037058E-2</v>
      </c>
      <c r="AG1005" s="17">
        <f>HLOOKUP(AG1002,'WEC data_formatted'!$C1:$AR15,15,FALSE)</f>
        <v>4.2282496513249654E-2</v>
      </c>
      <c r="AH1005" s="17">
        <f>HLOOKUP(AH1002,'WEC data_formatted'!$C1:$AR15,15,FALSE)</f>
        <v>4.7297888338868339E-2</v>
      </c>
      <c r="AI1005" s="17">
        <f>HLOOKUP(AI1002,'WEC data_formatted'!$C1:$AR15,15,FALSE)</f>
        <v>5.3863997701369619E-2</v>
      </c>
      <c r="AJ1005" s="17">
        <f>HLOOKUP(AJ1002,'WEC data_formatted'!$C1:$AR15,15,FALSE)</f>
        <v>8.1330466017077982E-2</v>
      </c>
      <c r="AK1005" s="17">
        <f>HLOOKUP(AK1002,'WEC data_formatted'!$C1:$AR15,15,FALSE)</f>
        <v>7.532877258874035E-2</v>
      </c>
      <c r="AL1005" s="284">
        <f>HLOOKUP(AL1002,'WEC data_formatted'!$C1:$BY15,15,FALSE)</f>
        <v>0.11428452605913589</v>
      </c>
      <c r="AM1005" s="284">
        <f>HLOOKUP(AM1002,'WEC data_formatted'!$C1:$BY15,15,FALSE)</f>
        <v>8.4675592214591228E-2</v>
      </c>
      <c r="AN1005" s="284">
        <f>HLOOKUP(AN1002,'WEC data_formatted'!$C1:$BY15,15,FALSE)</f>
        <v>9.5578963168459152E-2</v>
      </c>
      <c r="AO1005" s="284">
        <f>HLOOKUP(AO1002,'WEC data_formatted'!$C1:$BY15,15,FALSE)</f>
        <v>0.12818137489879408</v>
      </c>
      <c r="AP1005" s="284">
        <f>HLOOKUP(AP1002,'WEC data_formatted'!$C1:$BY15,15,FALSE)</f>
        <v>0.106602720422423</v>
      </c>
      <c r="AQ1005" s="284">
        <f>HLOOKUP(AQ1002,'WEC data_formatted'!$C1:$BY15,15,FALSE)</f>
        <v>8.4035330727023377E-2</v>
      </c>
      <c r="AR1005" s="284">
        <f>HLOOKUP(AR1002,'WEC data_formatted'!$C1:$BY15,15,FALSE)</f>
        <v>8.5937901397150296E-2</v>
      </c>
      <c r="AS1005" s="284">
        <f>HLOOKUP(AS1002,'WEC data_formatted'!$C1:$BY15,15,FALSE)</f>
        <v>0.11754237283329305</v>
      </c>
      <c r="AT1005" s="284">
        <f>HLOOKUP(AT1002,'WEC data_formatted'!$C1:$BY15,15,FALSE)</f>
        <v>0.11550000000000001</v>
      </c>
      <c r="AU1005" s="284">
        <f>HLOOKUP(AU1002,'WEC data_formatted'!$C1:$BY15,15,FALSE)</f>
        <v>9.9000000000000005E-2</v>
      </c>
      <c r="AV1005" s="284">
        <f>HLOOKUP(AV1002,'WEC data_formatted'!$C1:$BY15,15,FALSE)</f>
        <v>0.13</v>
      </c>
      <c r="AW1005" s="284">
        <f>HLOOKUP(AW1002,'WEC data_formatted'!$C1:$BY15,15,FALSE)</f>
        <v>6.8500000000000005E-2</v>
      </c>
      <c r="AX1005" s="284">
        <f>HLOOKUP(AX1002,'WEC data_formatted'!$C1:$BY15,15,FALSE)</f>
        <v>0.05</v>
      </c>
      <c r="AY1005" s="284">
        <f>HLOOKUP(AY1002,'WEC data_formatted'!$C1:$BY15,15,FALSE)</f>
        <v>4.1900000000000007E-2</v>
      </c>
      <c r="AZ1005" s="284">
        <f>HLOOKUP(AZ1002,'WEC data_formatted'!$C1:$BY15,15,FALSE)</f>
        <v>3.78E-2</v>
      </c>
      <c r="BA1005" s="284">
        <f>HLOOKUP(BA1002,'WEC data_formatted'!$C1:$BY15,15,FALSE)</f>
        <v>1.6299999999999999E-2</v>
      </c>
    </row>
    <row r="1006" spans="1:53">
      <c r="A1006" s="16"/>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row>
    <row r="1008" spans="1:53">
      <c r="A1008" s="16"/>
      <c r="K1008" s="18"/>
      <c r="L1008" s="16"/>
      <c r="AA1008" s="18"/>
      <c r="AB1008" s="16"/>
    </row>
  </sheetData>
  <mergeCells count="3">
    <mergeCell ref="I42:N42"/>
    <mergeCell ref="P42:U42"/>
    <mergeCell ref="F5:J5"/>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1</xdr:col>
                    <xdr:colOff>85725</xdr:colOff>
                    <xdr:row>3</xdr:row>
                    <xdr:rowOff>66675</xdr:rowOff>
                  </from>
                  <to>
                    <xdr:col>4</xdr:col>
                    <xdr:colOff>790575</xdr:colOff>
                    <xdr:row>5</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XEF60"/>
  <sheetViews>
    <sheetView showZeros="0" zoomScale="70" zoomScaleNormal="70" workbookViewId="0">
      <pane xSplit="2" ySplit="1" topLeftCell="AJ5" activePane="bottomRight" state="frozen"/>
      <selection pane="topRight" activeCell="B1" sqref="B1"/>
      <selection pane="bottomLeft" activeCell="A2" sqref="A2"/>
      <selection pane="bottomRight" activeCell="AZ12" sqref="AZ12"/>
    </sheetView>
  </sheetViews>
  <sheetFormatPr defaultRowHeight="15"/>
  <cols>
    <col min="2" max="2" width="21" customWidth="1"/>
    <col min="29" max="30" width="10.42578125" bestFit="1" customWidth="1"/>
    <col min="35" max="36" width="10.42578125" bestFit="1" customWidth="1"/>
    <col min="38" max="38" width="10.42578125" bestFit="1" customWidth="1"/>
    <col min="42" max="42" width="10.42578125" bestFit="1" customWidth="1"/>
    <col min="45" max="46" width="10.42578125" bestFit="1" customWidth="1"/>
    <col min="103" max="103" width="13.5703125" customWidth="1"/>
  </cols>
  <sheetData>
    <row r="1" spans="1:152" ht="30">
      <c r="A1" s="91" t="s">
        <v>213</v>
      </c>
      <c r="B1" s="115" t="s">
        <v>324</v>
      </c>
      <c r="C1" s="116">
        <v>41730</v>
      </c>
      <c r="D1" s="116">
        <v>41760</v>
      </c>
      <c r="E1" s="116">
        <v>41791</v>
      </c>
      <c r="F1" s="116">
        <v>41821</v>
      </c>
      <c r="G1" s="116">
        <v>41852</v>
      </c>
      <c r="H1" s="116">
        <v>41883</v>
      </c>
      <c r="I1" s="116">
        <v>41913</v>
      </c>
      <c r="J1" s="116">
        <v>41944</v>
      </c>
      <c r="K1" s="116">
        <v>41974</v>
      </c>
      <c r="L1" s="116">
        <v>42005</v>
      </c>
      <c r="M1" s="116">
        <v>42036</v>
      </c>
      <c r="N1" s="116">
        <v>42064</v>
      </c>
      <c r="O1" s="116">
        <v>42095</v>
      </c>
      <c r="P1" s="116">
        <v>42125</v>
      </c>
      <c r="Q1" s="116">
        <v>42156</v>
      </c>
      <c r="R1" s="116">
        <v>42186</v>
      </c>
      <c r="S1" s="116">
        <v>42217</v>
      </c>
      <c r="T1" s="116">
        <v>42248</v>
      </c>
      <c r="U1" s="116">
        <v>42278</v>
      </c>
      <c r="V1" s="116">
        <v>42309</v>
      </c>
      <c r="W1" s="116">
        <v>42339</v>
      </c>
      <c r="X1" s="116">
        <v>42370</v>
      </c>
      <c r="Y1" s="116">
        <v>42401</v>
      </c>
      <c r="Z1" s="117">
        <v>42430</v>
      </c>
      <c r="AA1" s="117">
        <v>42461</v>
      </c>
      <c r="AB1" s="117">
        <v>42491</v>
      </c>
      <c r="AC1" s="117">
        <v>42522</v>
      </c>
      <c r="AD1" s="117">
        <v>42552</v>
      </c>
      <c r="AE1" s="117">
        <v>42583</v>
      </c>
      <c r="AF1" s="117">
        <v>42614</v>
      </c>
      <c r="AG1" s="117">
        <v>42644</v>
      </c>
      <c r="AH1" s="117">
        <v>42675</v>
      </c>
      <c r="AI1" s="117">
        <v>42705</v>
      </c>
      <c r="AJ1" s="117">
        <v>42736</v>
      </c>
      <c r="AK1" s="117">
        <v>42767</v>
      </c>
      <c r="AL1" s="117">
        <v>42795</v>
      </c>
      <c r="AM1" s="117">
        <v>42826</v>
      </c>
      <c r="AN1" s="117">
        <v>42856</v>
      </c>
      <c r="AO1" s="117">
        <v>42887</v>
      </c>
      <c r="AP1" s="117">
        <v>42917</v>
      </c>
      <c r="AQ1" s="117">
        <v>42948</v>
      </c>
      <c r="AR1" s="117">
        <v>42979</v>
      </c>
      <c r="AS1" s="117">
        <v>43009</v>
      </c>
      <c r="AT1" s="117">
        <v>43040</v>
      </c>
      <c r="AU1" s="117">
        <v>43070</v>
      </c>
      <c r="AV1" s="117">
        <v>43101</v>
      </c>
      <c r="AW1" s="117">
        <v>43132</v>
      </c>
      <c r="AX1" s="117">
        <v>43160</v>
      </c>
      <c r="AY1" s="117">
        <v>43191</v>
      </c>
      <c r="AZ1" s="117">
        <v>43221</v>
      </c>
      <c r="BA1" s="117">
        <v>43252</v>
      </c>
    </row>
    <row r="2" spans="1:152">
      <c r="A2">
        <v>1</v>
      </c>
      <c r="B2" s="215" t="s">
        <v>35</v>
      </c>
      <c r="C2" s="220"/>
      <c r="D2" s="220"/>
      <c r="E2" s="220"/>
      <c r="F2" s="220"/>
      <c r="G2" s="220">
        <v>2.4299999999999999E-2</v>
      </c>
      <c r="H2" s="220">
        <v>1.4500000000000001E-2</v>
      </c>
      <c r="I2" s="220">
        <v>5.4999999999999997E-3</v>
      </c>
      <c r="J2" s="220">
        <v>7.7000000000000002E-3</v>
      </c>
      <c r="K2" s="220">
        <v>7.6E-3</v>
      </c>
      <c r="L2" s="220">
        <v>-5.1400000000000001E-2</v>
      </c>
      <c r="M2" s="220">
        <v>-5.33E-2</v>
      </c>
      <c r="N2" s="220">
        <v>-3.5000000000000003E-2</v>
      </c>
      <c r="O2" s="220">
        <v>-3.1399999999999997E-2</v>
      </c>
      <c r="P2" s="220">
        <v>-1.41E-2</v>
      </c>
      <c r="Q2" s="220">
        <v>-2.0299999999999999E-2</v>
      </c>
      <c r="R2" s="220">
        <v>-2.6700000000000002E-2</v>
      </c>
      <c r="S2" s="220">
        <v>5.5999999999999999E-3</v>
      </c>
      <c r="T2" s="220">
        <v>2E-3</v>
      </c>
      <c r="U2" s="220">
        <v>-1.0260320675174461E-2</v>
      </c>
      <c r="V2" s="220">
        <v>3.5813730546031763E-2</v>
      </c>
      <c r="W2" s="220">
        <v>1.9268555646402064E-2</v>
      </c>
      <c r="X2" s="220">
        <v>2.5399999999999999E-2</v>
      </c>
      <c r="Y2" s="220">
        <v>2.5000000000000001E-2</v>
      </c>
      <c r="Z2" s="220">
        <v>5.6000000000000001E-2</v>
      </c>
      <c r="AA2" s="220">
        <v>3.4599999999999999E-2</v>
      </c>
      <c r="AB2" s="220">
        <v>2.7999999999999997E-2</v>
      </c>
      <c r="AC2" s="220"/>
      <c r="AD2" s="220">
        <v>0.06</v>
      </c>
      <c r="AE2" s="220"/>
      <c r="AF2" s="220">
        <v>3.3000000000000002E-2</v>
      </c>
      <c r="AG2" s="220">
        <v>6.6100000000000006E-2</v>
      </c>
      <c r="AH2" s="220">
        <v>5.8000000000000003E-2</v>
      </c>
      <c r="AI2" s="220">
        <v>7.3899999999999993E-2</v>
      </c>
      <c r="AJ2" s="220">
        <v>6.0699999999999997E-2</v>
      </c>
      <c r="AK2" s="220">
        <v>9.8000000000000004E-2</v>
      </c>
      <c r="AL2" s="220"/>
      <c r="AM2" s="220"/>
      <c r="AN2" s="220"/>
      <c r="AO2" s="220"/>
      <c r="AP2" s="220"/>
      <c r="AQ2" s="220"/>
      <c r="AR2" s="220"/>
      <c r="AS2" s="220"/>
      <c r="AT2" s="220"/>
      <c r="AU2" s="220"/>
    </row>
    <row r="3" spans="1:152">
      <c r="A3">
        <v>2</v>
      </c>
      <c r="B3" s="215" t="s">
        <v>17</v>
      </c>
      <c r="C3" s="220">
        <v>9.2999999999999999E-2</v>
      </c>
      <c r="D3" s="220">
        <v>3.9E-2</v>
      </c>
      <c r="E3" s="220">
        <v>0.13500000000000001</v>
      </c>
      <c r="F3" s="220">
        <v>0.11700000000000001</v>
      </c>
      <c r="G3" s="220">
        <v>9.2999999999999999E-2</v>
      </c>
      <c r="H3" s="220">
        <v>6.0999999999999999E-2</v>
      </c>
      <c r="I3" s="220">
        <v>5.0999999999999997E-2</v>
      </c>
      <c r="J3" s="220">
        <v>4.2900000000000001E-2</v>
      </c>
      <c r="K3" s="220">
        <v>5.6399999999999999E-2</v>
      </c>
      <c r="L3" s="220">
        <v>0.12</v>
      </c>
      <c r="M3" s="220">
        <v>0.114</v>
      </c>
      <c r="N3" s="220">
        <v>7.9000000000000001E-2</v>
      </c>
      <c r="O3" s="220">
        <v>9.2999999999999999E-2</v>
      </c>
      <c r="P3" s="220">
        <v>0.16500000000000001</v>
      </c>
      <c r="Q3" s="220">
        <v>4.3999999999999997E-2</v>
      </c>
      <c r="R3" s="220">
        <v>7.2999999999999995E-2</v>
      </c>
      <c r="S3" s="220">
        <v>3.7699999999999997E-2</v>
      </c>
      <c r="T3" s="220">
        <v>7.6999999999999999E-2</v>
      </c>
      <c r="U3" s="220">
        <v>0.09</v>
      </c>
      <c r="V3" s="220">
        <v>0.1003</v>
      </c>
      <c r="W3" s="220">
        <v>0.11070000000000001</v>
      </c>
      <c r="X3" s="220"/>
      <c r="Y3" s="220">
        <v>0.111</v>
      </c>
      <c r="Z3" s="220">
        <v>5.7000000000000002E-2</v>
      </c>
      <c r="AA3" s="220">
        <v>9.1400000000000009E-2</v>
      </c>
      <c r="AB3" s="220">
        <v>0.02</v>
      </c>
      <c r="AC3" s="220"/>
      <c r="AD3" s="220">
        <v>0.04</v>
      </c>
      <c r="AE3" s="220"/>
      <c r="AF3" s="220">
        <v>6.6000000000000003E-2</v>
      </c>
      <c r="AG3" s="220">
        <v>0.05</v>
      </c>
      <c r="AH3" s="220">
        <v>5.7500000000000002E-2</v>
      </c>
      <c r="AI3" s="220">
        <v>7.2800000000000004E-2</v>
      </c>
      <c r="AJ3" s="220">
        <v>6.7699999999999996E-2</v>
      </c>
      <c r="AK3" s="220">
        <v>4.3400000000000001E-2</v>
      </c>
      <c r="AL3" s="220">
        <v>5.8200000000000002E-2</v>
      </c>
      <c r="AM3" s="220">
        <v>0.13200000000000001</v>
      </c>
      <c r="AN3" s="220">
        <v>5.6399999999999999E-2</v>
      </c>
      <c r="AO3" s="220">
        <v>0.1109</v>
      </c>
      <c r="AP3" s="220">
        <v>3.7699999999999997E-2</v>
      </c>
      <c r="AQ3" s="220">
        <v>3.7699999999999997E-2</v>
      </c>
      <c r="AR3" s="220">
        <v>3.7699999999999997E-2</v>
      </c>
      <c r="AS3" s="220">
        <v>4.0800000000000003E-2</v>
      </c>
      <c r="AT3" s="220">
        <v>4.0800000000000003E-2</v>
      </c>
      <c r="AU3" s="220">
        <v>4.1000000000000002E-2</v>
      </c>
      <c r="AV3" s="220">
        <v>8.0100000000000005E-2</v>
      </c>
      <c r="AW3" s="220">
        <v>4.9599999999999998E-2</v>
      </c>
      <c r="AX3" s="220">
        <v>4.4800000000000006E-2</v>
      </c>
      <c r="AY3" s="220">
        <v>-1.8E-3</v>
      </c>
      <c r="AZ3" s="220">
        <v>5.8299999999999998E-2</v>
      </c>
      <c r="BA3" s="220">
        <v>2.3E-3</v>
      </c>
      <c r="EV3" t="s">
        <v>203</v>
      </c>
    </row>
    <row r="4" spans="1:152">
      <c r="A4">
        <v>3</v>
      </c>
      <c r="B4" s="215" t="s">
        <v>20</v>
      </c>
      <c r="C4" s="220">
        <v>0.153</v>
      </c>
      <c r="D4" s="220">
        <v>0.153</v>
      </c>
      <c r="E4" s="220">
        <v>0.153</v>
      </c>
      <c r="F4" s="220">
        <v>0.14699999999999999</v>
      </c>
      <c r="G4" s="220">
        <v>0.14699999999999999</v>
      </c>
      <c r="H4" s="220">
        <v>0.14699999999999999</v>
      </c>
      <c r="I4" s="220">
        <v>0.13400000000000001</v>
      </c>
      <c r="J4" s="220">
        <v>0.13400000000000001</v>
      </c>
      <c r="K4" s="220">
        <v>0.13400000000000001</v>
      </c>
      <c r="L4" s="220">
        <v>6.6000000000000003E-2</v>
      </c>
      <c r="M4" s="220">
        <v>6.6000000000000003E-2</v>
      </c>
      <c r="N4" s="220">
        <v>6.6000000000000003E-2</v>
      </c>
      <c r="O4" s="220">
        <v>2.7E-2</v>
      </c>
      <c r="P4" s="220">
        <v>2.7E-2</v>
      </c>
      <c r="Q4" s="220">
        <v>2.7E-2</v>
      </c>
      <c r="R4" s="220"/>
      <c r="S4" s="220"/>
      <c r="T4" s="220"/>
      <c r="U4" s="220"/>
      <c r="V4" s="220"/>
      <c r="W4" s="220"/>
      <c r="X4" s="220"/>
      <c r="Y4" s="220">
        <v>2.7000000000000003E-2</v>
      </c>
      <c r="Z4" s="220">
        <v>2.7000000000000003E-2</v>
      </c>
      <c r="AA4" s="220">
        <v>2.7000000000000003E-2</v>
      </c>
      <c r="AB4" s="220">
        <v>8.900000000000001E-2</v>
      </c>
      <c r="AC4" s="220"/>
      <c r="AD4" s="220">
        <v>8.900000000000001E-2</v>
      </c>
      <c r="AE4" s="220"/>
      <c r="AF4" s="220">
        <v>8.900000000000001E-2</v>
      </c>
      <c r="AG4" s="220">
        <v>0.10300000000000001</v>
      </c>
      <c r="AH4" s="220">
        <v>0.10299999999999999</v>
      </c>
      <c r="AI4" s="220">
        <v>0.10299999999999999</v>
      </c>
      <c r="AJ4" s="321">
        <v>5.1999999999999998E-2</v>
      </c>
      <c r="AK4" s="321">
        <v>5.1999999999999998E-2</v>
      </c>
      <c r="AL4" s="321">
        <v>5.1999999999999998E-2</v>
      </c>
      <c r="AM4" s="220"/>
      <c r="AN4" s="220"/>
      <c r="AO4" s="220"/>
      <c r="AP4" s="220"/>
      <c r="AQ4" s="220"/>
      <c r="AR4" s="220"/>
      <c r="AS4" s="220"/>
      <c r="AT4" s="220"/>
      <c r="AU4" s="220"/>
      <c r="EV4" t="s">
        <v>209</v>
      </c>
    </row>
    <row r="5" spans="1:152">
      <c r="A5">
        <v>4</v>
      </c>
      <c r="B5" s="215" t="s">
        <v>41</v>
      </c>
      <c r="C5" s="220"/>
      <c r="D5" s="220"/>
      <c r="E5" s="220"/>
      <c r="F5" s="220"/>
      <c r="G5" s="220"/>
      <c r="H5" s="220"/>
      <c r="I5" s="220"/>
      <c r="J5" s="220"/>
      <c r="K5" s="220"/>
      <c r="L5" s="220">
        <v>0.13367647390067527</v>
      </c>
      <c r="M5" s="220">
        <v>0.113</v>
      </c>
      <c r="N5" s="220">
        <v>0.11600000000000001</v>
      </c>
      <c r="O5" s="220">
        <v>0.111</v>
      </c>
      <c r="P5" s="220">
        <v>2.7E-2</v>
      </c>
      <c r="Q5" s="220">
        <v>6.5000000000000002E-2</v>
      </c>
      <c r="R5" s="220">
        <v>5.6000000000000001E-2</v>
      </c>
      <c r="S5" s="220">
        <v>0.06</v>
      </c>
      <c r="T5" s="220">
        <v>2.5999999999999999E-2</v>
      </c>
      <c r="U5" s="220">
        <v>8.762160526644136E-3</v>
      </c>
      <c r="V5" s="220">
        <v>0.11076811517686136</v>
      </c>
      <c r="W5" s="220">
        <v>0.123</v>
      </c>
      <c r="X5" s="220"/>
      <c r="Y5" s="220">
        <v>0.12300000000000001</v>
      </c>
      <c r="Z5" s="220">
        <v>0.12</v>
      </c>
      <c r="AA5" s="220"/>
      <c r="AB5" s="220"/>
      <c r="AC5" s="220"/>
      <c r="AD5" s="220"/>
      <c r="AE5" s="220"/>
      <c r="AF5" s="220"/>
      <c r="AG5" s="220"/>
      <c r="AH5" s="220"/>
      <c r="AI5" s="220"/>
      <c r="AJ5" s="220">
        <v>0.27600000000000002</v>
      </c>
      <c r="AK5" s="220">
        <v>0.17499999999999999</v>
      </c>
      <c r="AL5" s="220">
        <v>0.24299999999999999</v>
      </c>
      <c r="AM5" s="220">
        <v>0.109</v>
      </c>
      <c r="AN5" s="220">
        <v>0.18</v>
      </c>
      <c r="AO5" s="220">
        <v>0.21199999999999999</v>
      </c>
      <c r="AP5" s="220">
        <v>0.19600000000000001</v>
      </c>
      <c r="AQ5" s="220">
        <v>0.10800000000000001</v>
      </c>
      <c r="AR5" s="220">
        <v>0.19899999999999998</v>
      </c>
      <c r="AS5" s="220">
        <v>0.26341334719705756</v>
      </c>
      <c r="AT5" s="220">
        <v>0.193</v>
      </c>
      <c r="AU5" s="220">
        <v>0.22</v>
      </c>
      <c r="AV5" s="220">
        <v>0.21</v>
      </c>
      <c r="AW5" s="220">
        <v>0.14000000000000001</v>
      </c>
      <c r="AX5">
        <v>0.09</v>
      </c>
      <c r="AY5" s="220">
        <v>0.1</v>
      </c>
      <c r="AZ5" s="220">
        <v>0.15</v>
      </c>
      <c r="EV5" t="s">
        <v>208</v>
      </c>
    </row>
    <row r="6" spans="1:152">
      <c r="A6">
        <v>5</v>
      </c>
      <c r="B6" s="215" t="s">
        <v>25</v>
      </c>
      <c r="C6" s="220">
        <v>0.02</v>
      </c>
      <c r="D6" s="220">
        <v>0.01</v>
      </c>
      <c r="E6" s="220">
        <v>-0.03</v>
      </c>
      <c r="F6" s="220">
        <v>0.01</v>
      </c>
      <c r="G6" s="220">
        <v>-1.0000000000000001E-5</v>
      </c>
      <c r="H6" s="220">
        <v>-3.5000000000000003E-2</v>
      </c>
      <c r="I6" s="220">
        <v>-4.4999999999999998E-2</v>
      </c>
      <c r="J6" s="220">
        <v>-5.5E-2</v>
      </c>
      <c r="K6" s="220">
        <v>-0.04</v>
      </c>
      <c r="L6" s="220">
        <v>0.01</v>
      </c>
      <c r="M6" s="220">
        <v>1.4999999999999999E-2</v>
      </c>
      <c r="N6" s="220">
        <v>2E-3</v>
      </c>
      <c r="O6" s="220">
        <v>0.01</v>
      </c>
      <c r="P6" s="220">
        <v>0.04</v>
      </c>
      <c r="Q6" s="220">
        <v>5.5E-2</v>
      </c>
      <c r="R6" s="220">
        <v>0.01</v>
      </c>
      <c r="S6" s="220">
        <v>2.5000000000000001E-2</v>
      </c>
      <c r="T6" s="220">
        <v>0.06</v>
      </c>
      <c r="U6" s="220">
        <v>0.08</v>
      </c>
      <c r="V6" s="220">
        <v>0.09</v>
      </c>
      <c r="W6" s="220">
        <v>7.4999999999999997E-2</v>
      </c>
      <c r="X6" s="220"/>
      <c r="Y6" s="220">
        <v>7.4999999999999997E-2</v>
      </c>
      <c r="Z6" s="220">
        <v>8.7999999999999995E-2</v>
      </c>
      <c r="AA6" s="220">
        <v>4.4999999999999998E-2</v>
      </c>
      <c r="AB6" s="220">
        <v>4.4999999999999998E-2</v>
      </c>
      <c r="AC6" s="220"/>
      <c r="AD6" s="220">
        <v>0.08</v>
      </c>
      <c r="AE6" s="220"/>
      <c r="AF6" s="220">
        <v>7.0000000000000007E-2</v>
      </c>
      <c r="AG6" s="220">
        <v>7.0000000000000007E-2</v>
      </c>
      <c r="AH6" s="220">
        <v>3.6999999999999998E-2</v>
      </c>
      <c r="AI6" s="220">
        <v>6.8000000000000005E-2</v>
      </c>
      <c r="AJ6" s="220">
        <v>9.5000000000000001E-2</v>
      </c>
      <c r="AK6" s="220">
        <v>0.11</v>
      </c>
      <c r="AL6" s="220">
        <v>0.115</v>
      </c>
      <c r="AM6" s="220">
        <v>0.105</v>
      </c>
      <c r="AN6" s="220">
        <v>0.105</v>
      </c>
      <c r="AO6" s="220">
        <v>0.12</v>
      </c>
      <c r="AP6" s="220">
        <v>0.12</v>
      </c>
      <c r="AQ6" s="220">
        <v>8.5000000000000006E-2</v>
      </c>
      <c r="AR6" s="220">
        <v>0.128</v>
      </c>
      <c r="AS6" s="220">
        <v>0.108</v>
      </c>
      <c r="AT6" s="220">
        <v>0.125</v>
      </c>
      <c r="AU6" s="220">
        <v>9.6999999999999989E-2</v>
      </c>
      <c r="AV6" s="220">
        <v>9.5000000000000001E-2</v>
      </c>
      <c r="AW6" s="220">
        <v>9.7000000000000003E-2</v>
      </c>
      <c r="AX6" s="220">
        <v>6.4000000000000001E-2</v>
      </c>
      <c r="AY6" s="220">
        <v>5.2000000000000005E-2</v>
      </c>
      <c r="AZ6">
        <v>2</v>
      </c>
      <c r="BA6" s="220">
        <v>4.1000000000000002E-2</v>
      </c>
      <c r="EV6" t="s">
        <v>202</v>
      </c>
    </row>
    <row r="7" spans="1:152">
      <c r="A7">
        <v>6</v>
      </c>
      <c r="B7" s="215" t="s">
        <v>49</v>
      </c>
      <c r="C7" s="220">
        <v>3.1192341974981108E-2</v>
      </c>
      <c r="D7" s="220">
        <v>1.6849757131417453E-2</v>
      </c>
      <c r="E7" s="220">
        <v>3.5217616908776339E-2</v>
      </c>
      <c r="F7" s="220">
        <v>3.7111816060975356E-2</v>
      </c>
      <c r="G7" s="220">
        <v>3.1455968863782546E-2</v>
      </c>
      <c r="H7" s="220">
        <v>4.2289619820589541E-2</v>
      </c>
      <c r="I7" s="220">
        <v>3.1535008720015911E-2</v>
      </c>
      <c r="J7" s="220">
        <v>3.4256276238769923E-2</v>
      </c>
      <c r="K7" s="220">
        <v>6.4352181492302707E-2</v>
      </c>
      <c r="L7" s="220">
        <v>2.851279769079107E-2</v>
      </c>
      <c r="M7" s="220">
        <v>-2.29E-2</v>
      </c>
      <c r="N7" s="220">
        <v>-2.3800000000000002E-2</v>
      </c>
      <c r="O7" s="220">
        <v>-3.4799999999999998E-2</v>
      </c>
      <c r="P7" s="220">
        <v>-2.0299999999999999E-2</v>
      </c>
      <c r="Q7" s="220">
        <v>-3.381313810008213E-2</v>
      </c>
      <c r="R7" s="220">
        <v>-9.1060502031214963E-4</v>
      </c>
      <c r="S7" s="220">
        <v>2.1079210487753297E-3</v>
      </c>
      <c r="T7" s="220">
        <v>-1.5389716367269712E-2</v>
      </c>
      <c r="U7" s="220">
        <v>-2.0241915296798751E-2</v>
      </c>
      <c r="V7" s="220"/>
      <c r="W7" s="220"/>
      <c r="X7" s="220"/>
      <c r="Y7" s="220">
        <v>-0.02</v>
      </c>
      <c r="Z7" s="327">
        <v>-2.4E-2</v>
      </c>
      <c r="AA7" s="327">
        <v>-4.2999999999999997E-2</v>
      </c>
      <c r="AB7" s="328">
        <v>-4.2999999999999997E-2</v>
      </c>
      <c r="AC7" s="329">
        <v>-4.2999999999999997E-2</v>
      </c>
      <c r="AD7" s="329">
        <v>-4.2999999999999997E-2</v>
      </c>
      <c r="AE7" s="329"/>
      <c r="AF7" s="329"/>
      <c r="AG7" s="329"/>
      <c r="AH7" s="329"/>
      <c r="AI7" s="329"/>
      <c r="AJ7" s="220"/>
      <c r="AK7" s="220"/>
      <c r="AL7" s="220"/>
      <c r="AM7" s="220"/>
      <c r="AN7" s="220"/>
      <c r="AO7" s="220"/>
      <c r="AP7" s="220"/>
      <c r="AQ7" s="220"/>
      <c r="AR7" s="220"/>
      <c r="AS7" s="220"/>
      <c r="AT7" s="220"/>
      <c r="AU7" s="220"/>
      <c r="AV7" s="220">
        <v>3.2000000000000001E-2</v>
      </c>
      <c r="AW7" s="220">
        <v>3.2000000000000001E-2</v>
      </c>
      <c r="AX7" s="220">
        <v>3.2000000000000001E-2</v>
      </c>
      <c r="AY7" s="220">
        <v>2.1000000000000001E-2</v>
      </c>
      <c r="AZ7" s="220">
        <v>2.1000000000000001E-2</v>
      </c>
      <c r="BA7" s="220">
        <v>2.1000000000000001E-2</v>
      </c>
      <c r="EV7" t="s">
        <v>236</v>
      </c>
    </row>
    <row r="8" spans="1:152" s="342" customFormat="1">
      <c r="A8" s="342">
        <v>7</v>
      </c>
      <c r="B8" s="343" t="s">
        <v>27</v>
      </c>
      <c r="C8" s="344">
        <v>0.16893372885483759</v>
      </c>
      <c r="D8" s="344">
        <v>0.22116934133435273</v>
      </c>
      <c r="E8" s="344">
        <v>0.21384096782937001</v>
      </c>
      <c r="F8" s="344">
        <v>0.36105957571950897</v>
      </c>
      <c r="G8" s="344">
        <v>-0.10528499159306015</v>
      </c>
      <c r="H8" s="344">
        <v>0.21500967424632766</v>
      </c>
      <c r="I8" s="344">
        <v>0.22358866897334329</v>
      </c>
      <c r="J8" s="344">
        <v>0.12096507272885648</v>
      </c>
      <c r="K8" s="344">
        <v>6.5433819853691899E-2</v>
      </c>
      <c r="L8" s="344">
        <v>0.13750000000000001</v>
      </c>
      <c r="M8" s="344">
        <v>0.24379999999999999</v>
      </c>
      <c r="N8" s="344">
        <v>0.22839999999999999</v>
      </c>
      <c r="O8" s="344">
        <v>0.19789999999999999</v>
      </c>
      <c r="P8" s="344">
        <v>0.1694</v>
      </c>
      <c r="Q8" s="344">
        <v>0.24510000000000001</v>
      </c>
      <c r="R8" s="344">
        <v>0.15609999999999999</v>
      </c>
      <c r="S8" s="344">
        <v>0.184</v>
      </c>
      <c r="T8" s="344">
        <v>0.13400000000000001</v>
      </c>
      <c r="U8" s="344">
        <v>0.10895686146390604</v>
      </c>
      <c r="V8" s="344"/>
      <c r="W8" s="344"/>
      <c r="X8" s="344"/>
      <c r="Y8" s="344">
        <v>0.109</v>
      </c>
      <c r="Z8" s="344">
        <v>6.5000000000000002E-2</v>
      </c>
      <c r="AA8" s="344">
        <v>4.8000000000000001E-2</v>
      </c>
      <c r="AB8" s="344">
        <v>2.7000000000000003E-2</v>
      </c>
      <c r="AC8" s="344"/>
      <c r="AD8" s="344">
        <v>-4.8000000000000001E-2</v>
      </c>
      <c r="AE8" s="344"/>
      <c r="AF8" s="344">
        <v>-6.3E-2</v>
      </c>
      <c r="AG8" s="344">
        <v>-0.10299999999999999</v>
      </c>
      <c r="AH8" s="344"/>
      <c r="AI8" s="344">
        <v>2.7E-2</v>
      </c>
      <c r="AJ8" s="344">
        <v>0.12</v>
      </c>
      <c r="AK8" s="344">
        <v>0.17199999999999999</v>
      </c>
      <c r="AL8" s="344">
        <v>0.25600000000000001</v>
      </c>
      <c r="AM8" s="344">
        <v>0.13</v>
      </c>
      <c r="AN8" s="344">
        <v>0.24099999999999999</v>
      </c>
      <c r="AO8" s="344">
        <v>0.25600000000000001</v>
      </c>
      <c r="AP8" s="344">
        <v>0.219</v>
      </c>
      <c r="AQ8" s="344">
        <v>0.216</v>
      </c>
      <c r="AR8" s="344">
        <v>0.105</v>
      </c>
      <c r="AS8" s="344">
        <v>0.23800000000000002</v>
      </c>
      <c r="AT8" s="344">
        <v>0.115</v>
      </c>
      <c r="AU8" s="344">
        <v>0.214</v>
      </c>
      <c r="AV8" s="344">
        <v>0.32600000000000001</v>
      </c>
      <c r="AW8" s="344">
        <v>-0.01</v>
      </c>
      <c r="AX8" s="344">
        <v>-0.02</v>
      </c>
      <c r="AY8" s="344">
        <v>2E-3</v>
      </c>
      <c r="AZ8" s="344">
        <v>-5.0000000000000001E-3</v>
      </c>
      <c r="BA8" s="344">
        <v>-2.1000000000000001E-2</v>
      </c>
      <c r="EV8" s="342" t="s">
        <v>237</v>
      </c>
    </row>
    <row r="9" spans="1:152">
      <c r="A9">
        <v>8</v>
      </c>
      <c r="B9" s="215" t="s">
        <v>34</v>
      </c>
      <c r="C9" s="220">
        <v>0.04</v>
      </c>
      <c r="D9" s="220">
        <v>0.04</v>
      </c>
      <c r="E9" s="220">
        <v>0.08</v>
      </c>
      <c r="F9" s="220">
        <v>0.06</v>
      </c>
      <c r="G9" s="220">
        <v>0.09</v>
      </c>
      <c r="H9" s="220">
        <v>0.08</v>
      </c>
      <c r="I9" s="220">
        <v>0.1</v>
      </c>
      <c r="J9" s="220">
        <v>0.09</v>
      </c>
      <c r="K9" s="220">
        <v>0.11</v>
      </c>
      <c r="L9" s="220">
        <v>0.08</v>
      </c>
      <c r="M9" s="220">
        <v>0.1</v>
      </c>
      <c r="N9" s="220">
        <v>0.11</v>
      </c>
      <c r="O9" s="220">
        <v>0.12</v>
      </c>
      <c r="P9" s="220">
        <v>0.18</v>
      </c>
      <c r="Q9" s="220">
        <v>0.09</v>
      </c>
      <c r="R9" s="220">
        <v>0.11</v>
      </c>
      <c r="S9" s="220">
        <v>0.09</v>
      </c>
      <c r="T9" s="220">
        <v>7.0000000000000007E-2</v>
      </c>
      <c r="U9" s="220">
        <v>0.08</v>
      </c>
      <c r="V9" s="220">
        <v>0.11</v>
      </c>
      <c r="W9" s="220">
        <v>0.04</v>
      </c>
      <c r="X9" s="220">
        <v>0.15</v>
      </c>
      <c r="Y9" s="220">
        <v>0.15</v>
      </c>
      <c r="Z9" s="220">
        <v>0.09</v>
      </c>
      <c r="AA9" s="220">
        <v>0.11</v>
      </c>
      <c r="AB9" s="220">
        <v>0.12</v>
      </c>
      <c r="AC9" s="220"/>
      <c r="AD9" s="220">
        <v>0.1</v>
      </c>
      <c r="AE9" s="220"/>
      <c r="AF9" s="220">
        <v>7.0000000000000007E-2</v>
      </c>
      <c r="AG9" s="220">
        <v>7.0000000000000007E-2</v>
      </c>
      <c r="AH9" s="220">
        <v>0.06</v>
      </c>
      <c r="AI9" s="220">
        <v>0.06</v>
      </c>
      <c r="AJ9" s="220">
        <v>7.0000000000000007E-2</v>
      </c>
      <c r="AK9" s="220">
        <v>0.04</v>
      </c>
      <c r="AL9" s="220">
        <v>0.05</v>
      </c>
      <c r="AM9" s="220">
        <v>0.06</v>
      </c>
      <c r="AN9" s="220">
        <v>0</v>
      </c>
      <c r="AO9" s="220">
        <v>0.1</v>
      </c>
      <c r="AP9" s="220">
        <v>7.0000000000000007E-2</v>
      </c>
      <c r="AQ9" s="220">
        <v>0.06</v>
      </c>
      <c r="AR9" s="220">
        <v>0.05</v>
      </c>
      <c r="AS9" s="220">
        <v>0.06</v>
      </c>
      <c r="AT9" s="220">
        <v>0.06</v>
      </c>
      <c r="AU9" s="220">
        <v>0.06</v>
      </c>
      <c r="AV9" s="220">
        <v>0.08</v>
      </c>
      <c r="AW9" s="220">
        <v>0.05</v>
      </c>
      <c r="AX9" s="220">
        <v>0.06</v>
      </c>
      <c r="AY9" s="220">
        <v>0.03</v>
      </c>
      <c r="AZ9" s="220">
        <v>7.0000000000000007E-2</v>
      </c>
      <c r="BA9" s="220">
        <v>0.01</v>
      </c>
      <c r="EV9" t="s">
        <v>204</v>
      </c>
    </row>
    <row r="10" spans="1:152">
      <c r="A10">
        <v>9</v>
      </c>
      <c r="B10" s="215" t="s">
        <v>45</v>
      </c>
      <c r="C10" s="220">
        <v>-2.8000000000000001E-2</v>
      </c>
      <c r="D10" s="220">
        <v>-2.8000000000000001E-2</v>
      </c>
      <c r="E10" s="220">
        <v>-2.8000000000000001E-2</v>
      </c>
      <c r="F10" s="220">
        <v>-4.0000000000000001E-3</v>
      </c>
      <c r="G10" s="220">
        <v>-4.0000000000000001E-3</v>
      </c>
      <c r="H10" s="220">
        <v>-4.0000000000000001E-3</v>
      </c>
      <c r="I10" s="220">
        <v>-8.0000000000000002E-3</v>
      </c>
      <c r="J10" s="220">
        <v>-8.0000000000000002E-3</v>
      </c>
      <c r="K10" s="220">
        <v>-8.0000000000000002E-3</v>
      </c>
      <c r="L10" s="220">
        <v>-8.2000000000000003E-2</v>
      </c>
      <c r="M10" s="220">
        <v>-8.2000000000000003E-2</v>
      </c>
      <c r="N10" s="220">
        <v>-8.2000000000000003E-2</v>
      </c>
      <c r="O10" s="220">
        <v>-8.7999999999999995E-2</v>
      </c>
      <c r="P10" s="220">
        <v>-8.7999999999999995E-2</v>
      </c>
      <c r="Q10" s="220">
        <v>-8.7999999999999995E-2</v>
      </c>
      <c r="R10" s="220">
        <v>-9.6000000000000002E-2</v>
      </c>
      <c r="S10" s="220">
        <v>-9.6000000000000002E-2</v>
      </c>
      <c r="T10" s="220">
        <v>-9.6000000000000002E-2</v>
      </c>
      <c r="U10" s="220">
        <v>-0.123</v>
      </c>
      <c r="V10" s="220">
        <v>-0.123</v>
      </c>
      <c r="W10" s="220">
        <v>-0.12300000000000001</v>
      </c>
      <c r="X10" s="220"/>
      <c r="Y10" s="220">
        <v>-0.12300000000000001</v>
      </c>
      <c r="Z10" s="220">
        <v>-0.12300000000000001</v>
      </c>
      <c r="AA10" s="220">
        <v>-6.2E-2</v>
      </c>
      <c r="AB10" s="220">
        <v>-6.2E-2</v>
      </c>
      <c r="AC10" s="220"/>
      <c r="AD10" s="220">
        <v>-6.2E-2</v>
      </c>
      <c r="AE10" s="220"/>
      <c r="AF10" s="220"/>
      <c r="AG10" s="220"/>
      <c r="AH10" s="220">
        <v>-8.9999999999999993E-3</v>
      </c>
      <c r="AI10" s="220">
        <v>-8.9999999999999993E-3</v>
      </c>
      <c r="AJ10" s="220">
        <v>0.06</v>
      </c>
      <c r="AK10" s="220">
        <v>0.06</v>
      </c>
      <c r="AL10" s="220">
        <v>0.06</v>
      </c>
      <c r="AM10" s="220">
        <v>5.0999999999999997E-2</v>
      </c>
      <c r="AN10" s="220">
        <v>5.0999999999999997E-2</v>
      </c>
      <c r="AO10" s="220">
        <v>5.0999999999999997E-2</v>
      </c>
      <c r="AP10" s="220">
        <v>8.5999999999999993E-2</v>
      </c>
      <c r="AQ10" s="220">
        <v>8.5999999999999993E-2</v>
      </c>
      <c r="AR10" s="220">
        <v>8.5999999999999993E-2</v>
      </c>
      <c r="AS10" s="220">
        <v>8.5000000000000006E-2</v>
      </c>
      <c r="AT10" s="220">
        <v>8.5000000000000006E-2</v>
      </c>
      <c r="AU10" s="220">
        <v>8.5000000000000006E-2</v>
      </c>
      <c r="AV10" s="220">
        <v>3.6999999999999998E-2</v>
      </c>
      <c r="AW10" s="220">
        <v>3.6999999999999998E-2</v>
      </c>
      <c r="AX10" s="220">
        <v>3.6999999999999998E-2</v>
      </c>
      <c r="AY10" s="220">
        <v>6.6000000000000003E-2</v>
      </c>
      <c r="AZ10" s="220">
        <v>6.6000000000000003E-2</v>
      </c>
      <c r="BA10" s="220">
        <v>6.6000000000000003E-2</v>
      </c>
      <c r="EV10" t="s">
        <v>207</v>
      </c>
    </row>
    <row r="11" spans="1:152">
      <c r="A11">
        <v>10</v>
      </c>
      <c r="B11" s="215" t="s">
        <v>36</v>
      </c>
      <c r="C11" s="220">
        <v>0.15</v>
      </c>
      <c r="D11" s="220">
        <v>0.15</v>
      </c>
      <c r="E11" s="220">
        <v>0.15</v>
      </c>
      <c r="F11" s="220">
        <v>9.9299999999999999E-2</v>
      </c>
      <c r="G11" s="220">
        <v>9.9299999999999999E-2</v>
      </c>
      <c r="H11" s="220">
        <v>9.9299999999999999E-2</v>
      </c>
      <c r="I11" s="220">
        <v>0.15559999999999999</v>
      </c>
      <c r="J11" s="220">
        <v>0.15559999999999999</v>
      </c>
      <c r="K11" s="220">
        <v>0.15559999999999999</v>
      </c>
      <c r="L11" s="220">
        <v>0.155</v>
      </c>
      <c r="M11" s="220">
        <v>0.155</v>
      </c>
      <c r="N11" s="220">
        <v>0.155</v>
      </c>
      <c r="O11" s="220">
        <v>0.19650000000000001</v>
      </c>
      <c r="P11" s="220">
        <v>0.19650000000000001</v>
      </c>
      <c r="Q11" s="220">
        <v>0.19650000000000001</v>
      </c>
      <c r="R11" s="220">
        <v>0.14000000000000001</v>
      </c>
      <c r="S11" s="220">
        <v>0.14000000000000001</v>
      </c>
      <c r="T11" s="220">
        <v>0.14000000000000001</v>
      </c>
      <c r="U11" s="220"/>
      <c r="V11" s="220"/>
      <c r="W11" s="220"/>
      <c r="X11" s="220">
        <v>0.14000000000000001</v>
      </c>
      <c r="Y11" s="220">
        <v>0.14000000000000001</v>
      </c>
      <c r="Z11" s="220">
        <v>0.14000000000000001</v>
      </c>
      <c r="AA11" s="220">
        <v>0.12</v>
      </c>
      <c r="AB11" s="220">
        <v>0.12</v>
      </c>
      <c r="AC11" s="220"/>
      <c r="AD11" s="220">
        <v>0.159</v>
      </c>
      <c r="AE11" s="220"/>
      <c r="AF11" s="220">
        <v>0.159</v>
      </c>
      <c r="AG11" s="220">
        <v>0.04</v>
      </c>
      <c r="AH11" s="220">
        <v>0.04</v>
      </c>
      <c r="AI11" s="220">
        <v>0.04</v>
      </c>
      <c r="AJ11" s="220">
        <v>-0.02</v>
      </c>
      <c r="AK11" s="220">
        <v>-0.02</v>
      </c>
      <c r="AL11" s="220">
        <v>-0.02</v>
      </c>
      <c r="AM11" s="220">
        <v>-0.04</v>
      </c>
      <c r="AN11" s="220">
        <v>-0.04</v>
      </c>
      <c r="AO11" s="220">
        <v>-0.04</v>
      </c>
      <c r="AP11" s="220">
        <v>-0.08</v>
      </c>
      <c r="AQ11" s="220">
        <v>-0.08</v>
      </c>
      <c r="AR11" s="220">
        <v>-0.08</v>
      </c>
      <c r="AS11" s="220">
        <v>-0.11</v>
      </c>
      <c r="AT11" s="220">
        <v>-0.11</v>
      </c>
      <c r="AU11" s="220">
        <v>-0.11</v>
      </c>
      <c r="AV11" s="220">
        <v>-0.12</v>
      </c>
      <c r="AW11" s="220">
        <v>-0.12</v>
      </c>
      <c r="AX11" s="220">
        <v>-0.12</v>
      </c>
      <c r="AY11" s="220">
        <v>-0.11</v>
      </c>
      <c r="AZ11" s="220">
        <v>-0.11</v>
      </c>
      <c r="BA11" s="220">
        <v>-0.11</v>
      </c>
      <c r="EV11" t="s">
        <v>206</v>
      </c>
    </row>
    <row r="12" spans="1:152" s="211" customFormat="1">
      <c r="A12">
        <v>11</v>
      </c>
      <c r="B12" s="215" t="s">
        <v>24</v>
      </c>
      <c r="C12" s="220"/>
      <c r="D12" s="220"/>
      <c r="E12" s="220"/>
      <c r="F12" s="220"/>
      <c r="G12" s="220"/>
      <c r="H12" s="220"/>
      <c r="I12" s="220"/>
      <c r="J12" s="220"/>
      <c r="K12" s="220"/>
      <c r="L12" s="220"/>
      <c r="M12" s="220"/>
      <c r="N12" s="220"/>
      <c r="O12" s="220"/>
      <c r="P12" s="220"/>
      <c r="Q12" s="220"/>
      <c r="R12" s="220"/>
      <c r="S12" s="220"/>
      <c r="T12" s="220"/>
      <c r="U12" s="220"/>
      <c r="V12" s="220"/>
      <c r="W12" s="220"/>
      <c r="X12" s="220">
        <v>0.113</v>
      </c>
      <c r="Y12" s="220">
        <v>0.16</v>
      </c>
      <c r="Z12" s="220">
        <v>6.0999999999999999E-2</v>
      </c>
      <c r="AA12" s="220">
        <v>0.14599999999999999</v>
      </c>
      <c r="AB12" s="220">
        <v>9.5000000000000001E-2</v>
      </c>
      <c r="AC12" s="220">
        <v>-7.0000000000000001E-3</v>
      </c>
      <c r="AD12" s="220">
        <v>-1.2E-2</v>
      </c>
      <c r="AE12" s="220">
        <v>0.23100000000000001</v>
      </c>
      <c r="AF12" s="220">
        <v>0.109</v>
      </c>
      <c r="AG12" s="220">
        <v>0.02</v>
      </c>
      <c r="AH12" s="220">
        <v>0.122</v>
      </c>
      <c r="AI12" s="220">
        <v>8.8999999999999996E-2</v>
      </c>
      <c r="AJ12" s="220">
        <v>0.14899999999999999</v>
      </c>
      <c r="AK12" s="220">
        <v>5.1999999999999998E-2</v>
      </c>
      <c r="AL12" s="220">
        <v>0.26</v>
      </c>
      <c r="AM12" s="220">
        <v>-1.7000000000000001E-2</v>
      </c>
      <c r="AN12" s="220">
        <v>0.182</v>
      </c>
      <c r="AO12" s="220">
        <v>0.14899999999999999</v>
      </c>
      <c r="AP12" s="220">
        <v>0.14000000000000001</v>
      </c>
      <c r="AQ12" s="220">
        <v>2.7E-2</v>
      </c>
      <c r="AR12" s="220">
        <v>8.7999999999999995E-2</v>
      </c>
      <c r="AS12" s="220">
        <v>0.222</v>
      </c>
      <c r="AT12" s="220">
        <v>0.183</v>
      </c>
      <c r="AU12" s="220">
        <v>0.14099999999999999</v>
      </c>
      <c r="AV12" s="220">
        <v>0.182</v>
      </c>
      <c r="AW12" s="220">
        <v>0.152</v>
      </c>
      <c r="AX12" s="220">
        <v>-2.7E-2</v>
      </c>
      <c r="AY12" s="220">
        <v>0.219</v>
      </c>
      <c r="AZ12" s="220">
        <v>6.5000000000000002E-2</v>
      </c>
      <c r="BA12" s="220">
        <v>8.9999999999999993E-3</v>
      </c>
    </row>
    <row r="13" spans="1:152">
      <c r="A13">
        <v>12</v>
      </c>
      <c r="B13" s="215" t="s">
        <v>46</v>
      </c>
      <c r="C13" s="220">
        <v>5.8999999999999997E-2</v>
      </c>
      <c r="D13" s="220">
        <v>-4.9000000000000002E-2</v>
      </c>
      <c r="E13" s="220">
        <v>1.7000000000000001E-2</v>
      </c>
      <c r="F13" s="220">
        <v>-5.6000000000000001E-2</v>
      </c>
      <c r="G13" s="220">
        <v>6.8000000000000005E-2</v>
      </c>
      <c r="H13" s="220">
        <v>-8.6999999999999994E-2</v>
      </c>
      <c r="I13" s="220">
        <v>1E-3</v>
      </c>
      <c r="J13" s="220">
        <v>1E-3</v>
      </c>
      <c r="K13" s="220">
        <v>-6.2E-2</v>
      </c>
      <c r="L13" s="220">
        <v>3.9E-2</v>
      </c>
      <c r="M13" s="220">
        <v>-0.10199999999999999</v>
      </c>
      <c r="N13" s="220">
        <v>-7.9000000000000001E-2</v>
      </c>
      <c r="O13" s="220">
        <v>-8.5999999999999993E-2</v>
      </c>
      <c r="P13" s="220">
        <v>0.01</v>
      </c>
      <c r="Q13" s="220">
        <v>-1.6E-2</v>
      </c>
      <c r="R13" s="220">
        <v>0.1</v>
      </c>
      <c r="S13" s="220">
        <v>-0.02</v>
      </c>
      <c r="T13" s="220">
        <v>1.9E-2</v>
      </c>
      <c r="U13" s="220">
        <v>-6.2E-2</v>
      </c>
      <c r="V13" s="220">
        <v>-0.04</v>
      </c>
      <c r="W13" s="220">
        <v>-4.2000000000000003E-2</v>
      </c>
      <c r="X13" s="220">
        <v>-2.1000000000000001E-2</v>
      </c>
      <c r="Y13" s="220">
        <v>-2.1000000000000001E-2</v>
      </c>
      <c r="Z13" s="220">
        <v>-0.05</v>
      </c>
      <c r="AA13" s="220">
        <v>0.03</v>
      </c>
      <c r="AB13" s="220">
        <v>6.0999999999999999E-2</v>
      </c>
      <c r="AC13" s="220"/>
      <c r="AD13" s="220">
        <v>-8.900000000000001E-2</v>
      </c>
      <c r="AE13" s="220"/>
      <c r="AF13" s="220">
        <v>-8.5999999999999993E-2</v>
      </c>
      <c r="AG13" s="220">
        <v>3.5000000000000003E-2</v>
      </c>
      <c r="AH13" s="220"/>
      <c r="AI13" s="220">
        <v>1.9E-2</v>
      </c>
      <c r="AJ13" s="220">
        <v>1.9E-2</v>
      </c>
      <c r="AK13" s="220">
        <v>-5.0999999999999997E-2</v>
      </c>
      <c r="AL13" s="220">
        <v>3.3000000000000002E-2</v>
      </c>
      <c r="AM13" s="220">
        <v>5.7000000000000002E-2</v>
      </c>
      <c r="AN13" s="220">
        <v>5.5E-2</v>
      </c>
      <c r="AO13" s="220">
        <v>6.9000000000000006E-2</v>
      </c>
      <c r="AP13" s="220">
        <v>5.8000000000000003E-2</v>
      </c>
      <c r="AQ13" s="220">
        <v>4.3999999999999997E-2</v>
      </c>
      <c r="AR13" s="220">
        <v>4.2000000000000003E-2</v>
      </c>
      <c r="AS13" s="220">
        <v>5.8000000000000003E-2</v>
      </c>
      <c r="AT13" s="220">
        <v>5.8000000000000003E-2</v>
      </c>
      <c r="AU13" s="220">
        <v>5.8000000000000003E-2</v>
      </c>
      <c r="AV13" s="220">
        <v>8.6999999999999994E-2</v>
      </c>
      <c r="AW13" s="220">
        <v>9.6000000000000002E-2</v>
      </c>
      <c r="AX13">
        <v>0.153</v>
      </c>
      <c r="AY13" s="220">
        <v>0.121</v>
      </c>
      <c r="AZ13" s="220">
        <v>0.114</v>
      </c>
      <c r="EV13" t="s">
        <v>323</v>
      </c>
    </row>
    <row r="14" spans="1:152">
      <c r="A14">
        <v>13</v>
      </c>
      <c r="B14" s="199" t="s">
        <v>42</v>
      </c>
      <c r="C14" s="214"/>
      <c r="D14" s="214"/>
      <c r="E14" s="214"/>
      <c r="F14" s="214"/>
      <c r="G14" s="214"/>
      <c r="H14" s="214"/>
      <c r="I14" s="214"/>
      <c r="J14" s="214"/>
      <c r="K14" s="214"/>
      <c r="L14" s="214"/>
      <c r="M14" s="214"/>
      <c r="N14" s="214"/>
      <c r="O14" s="214"/>
      <c r="P14" s="220"/>
      <c r="Q14" s="54"/>
      <c r="R14" s="54"/>
      <c r="S14" s="54"/>
      <c r="T14" s="54"/>
      <c r="U14" s="221"/>
      <c r="V14" s="54"/>
      <c r="W14" s="54"/>
      <c r="X14" s="54"/>
      <c r="Y14" s="54"/>
      <c r="Z14" s="54"/>
      <c r="AA14" s="221"/>
      <c r="AB14" s="54"/>
      <c r="AC14" s="54"/>
      <c r="AD14" s="54"/>
      <c r="AE14" s="54"/>
      <c r="AF14" s="221"/>
      <c r="AG14" s="54"/>
      <c r="AH14" s="54"/>
      <c r="AI14" s="54"/>
      <c r="AJ14" s="220"/>
      <c r="AK14" s="220"/>
      <c r="AL14" s="220"/>
      <c r="AM14" s="220"/>
      <c r="AN14" s="330"/>
      <c r="AO14" s="330"/>
      <c r="AP14" s="220"/>
      <c r="AQ14" s="220"/>
      <c r="AR14" s="220"/>
      <c r="AS14" s="220"/>
      <c r="AT14" s="220"/>
      <c r="AU14" s="220"/>
      <c r="EV14" t="s">
        <v>205</v>
      </c>
    </row>
    <row r="15" spans="1:152">
      <c r="B15" s="39" t="s">
        <v>200</v>
      </c>
      <c r="C15" s="220">
        <v>4.8502990311759357E-2</v>
      </c>
      <c r="D15" s="220">
        <v>3.4574418272867911E-2</v>
      </c>
      <c r="E15" s="220">
        <v>4.600893328909713E-2</v>
      </c>
      <c r="F15" s="220">
        <v>5.9724831981893586E-2</v>
      </c>
      <c r="G15" s="220">
        <v>2.8960074334305582E-2</v>
      </c>
      <c r="H15" s="220">
        <v>3.3985123481058852E-2</v>
      </c>
      <c r="I15" s="220">
        <v>3.8030310313092661E-2</v>
      </c>
      <c r="J15" s="220">
        <v>2.5916713548436353E-2</v>
      </c>
      <c r="K15" s="220">
        <v>3.5271514998754042E-2</v>
      </c>
      <c r="L15" s="220">
        <v>4.5330789579331981E-2</v>
      </c>
      <c r="M15" s="220">
        <v>3.1710327160945621E-2</v>
      </c>
      <c r="N15" s="220">
        <v>2.8976757666691055E-2</v>
      </c>
      <c r="O15" s="220">
        <v>2.6278972407231201E-2</v>
      </c>
      <c r="P15" s="220">
        <v>5.3789832394056936E-2</v>
      </c>
      <c r="Q15" s="220">
        <v>3.8297302636526448E-2</v>
      </c>
      <c r="R15" s="220">
        <v>4.2445660550527363E-2</v>
      </c>
      <c r="S15" s="220">
        <v>3.6392586657829844E-2</v>
      </c>
      <c r="T15" s="220">
        <v>3.6225751138411789E-2</v>
      </c>
      <c r="U15" s="220">
        <v>3.0671651728765157E-2</v>
      </c>
      <c r="V15" s="220">
        <v>6.6726615526135027E-2</v>
      </c>
      <c r="W15" s="220">
        <v>4.3512831827643976E-2</v>
      </c>
      <c r="X15" s="220">
        <v>8.6452313319110033E-2</v>
      </c>
      <c r="Y15" s="220">
        <v>4.8070964653315229E-2</v>
      </c>
      <c r="Z15" s="220">
        <v>3.2943844251176885E-2</v>
      </c>
      <c r="AA15" s="220">
        <v>2.5819324143774237E-2</v>
      </c>
      <c r="AB15" s="220">
        <v>2.476876201648907E-2</v>
      </c>
      <c r="AC15" s="220"/>
      <c r="AD15" s="220">
        <v>4.1497797145867259E-2</v>
      </c>
      <c r="AE15" s="220"/>
      <c r="AF15" s="220">
        <v>3.5024656306037058E-2</v>
      </c>
      <c r="AG15" s="220">
        <v>4.2282496513249654E-2</v>
      </c>
      <c r="AH15" s="220">
        <v>4.7297888338868339E-2</v>
      </c>
      <c r="AI15" s="220">
        <v>5.3863997701369619E-2</v>
      </c>
      <c r="AJ15" s="220">
        <v>8.1330466017077982E-2</v>
      </c>
      <c r="AK15" s="220">
        <v>7.532877258874035E-2</v>
      </c>
      <c r="AL15" s="220">
        <v>0.11428452605913589</v>
      </c>
      <c r="AM15" s="220">
        <v>8.4675592214591228E-2</v>
      </c>
      <c r="AN15" s="220">
        <v>9.5578963168459152E-2</v>
      </c>
      <c r="AO15" s="220">
        <v>0.12818137489879408</v>
      </c>
      <c r="AP15" s="220">
        <v>0.106602720422423</v>
      </c>
      <c r="AQ15" s="220">
        <v>8.4035330727023377E-2</v>
      </c>
      <c r="AR15" s="220">
        <v>8.5937901397150296E-2</v>
      </c>
      <c r="AS15" s="220">
        <v>0.11754237283329305</v>
      </c>
      <c r="AT15" s="220">
        <v>0.11550000000000001</v>
      </c>
      <c r="AU15" s="220">
        <v>9.9000000000000005E-2</v>
      </c>
      <c r="AV15" s="220">
        <v>0.13</v>
      </c>
      <c r="AW15" s="220">
        <v>6.8500000000000005E-2</v>
      </c>
      <c r="AX15" s="220">
        <v>0.05</v>
      </c>
      <c r="AY15" s="220">
        <v>4.1900000000000007E-2</v>
      </c>
      <c r="AZ15" s="220">
        <v>3.78E-2</v>
      </c>
      <c r="BA15" s="220">
        <v>1.6299999999999999E-2</v>
      </c>
    </row>
    <row r="17" spans="1:16360">
      <c r="AY17" s="50"/>
      <c r="AZ17" s="50"/>
      <c r="BA17" s="50"/>
      <c r="BB17" s="50"/>
      <c r="BC17" s="50"/>
      <c r="BD17" s="50"/>
      <c r="BE17" s="50"/>
      <c r="BF17" s="50"/>
      <c r="BG17" s="50"/>
      <c r="BH17" s="50"/>
      <c r="BI17" s="50"/>
      <c r="BJ17" s="50"/>
      <c r="BK17" s="50"/>
      <c r="BL17" s="50"/>
      <c r="BM17" s="50"/>
      <c r="BN17" s="50"/>
      <c r="BO17" s="50"/>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row>
    <row r="18" spans="1:16360">
      <c r="A18" s="80" t="s">
        <v>217</v>
      </c>
      <c r="B18" s="81"/>
      <c r="C18" s="81" t="str">
        <f t="shared" ref="C18:BA18" si="0">_xlfn.CONCAT(YEAR(C1),"Q",ROUNDUP(MONTH(C1)/3,0))</f>
        <v>2014Q2</v>
      </c>
      <c r="D18" s="81" t="str">
        <f t="shared" si="0"/>
        <v>2014Q2</v>
      </c>
      <c r="E18" s="81" t="str">
        <f t="shared" si="0"/>
        <v>2014Q2</v>
      </c>
      <c r="F18" s="81" t="str">
        <f t="shared" si="0"/>
        <v>2014Q3</v>
      </c>
      <c r="G18" s="81" t="str">
        <f t="shared" si="0"/>
        <v>2014Q3</v>
      </c>
      <c r="H18" s="81" t="str">
        <f t="shared" si="0"/>
        <v>2014Q3</v>
      </c>
      <c r="I18" s="81" t="str">
        <f t="shared" si="0"/>
        <v>2014Q4</v>
      </c>
      <c r="J18" s="81" t="str">
        <f t="shared" si="0"/>
        <v>2014Q4</v>
      </c>
      <c r="K18" s="81" t="str">
        <f t="shared" si="0"/>
        <v>2014Q4</v>
      </c>
      <c r="L18" s="81" t="str">
        <f t="shared" si="0"/>
        <v>2015Q1</v>
      </c>
      <c r="M18" s="81" t="str">
        <f t="shared" si="0"/>
        <v>2015Q1</v>
      </c>
      <c r="N18" s="81" t="str">
        <f t="shared" si="0"/>
        <v>2015Q1</v>
      </c>
      <c r="O18" s="81" t="str">
        <f t="shared" si="0"/>
        <v>2015Q2</v>
      </c>
      <c r="P18" s="81" t="str">
        <f t="shared" si="0"/>
        <v>2015Q2</v>
      </c>
      <c r="Q18" s="81" t="str">
        <f t="shared" si="0"/>
        <v>2015Q2</v>
      </c>
      <c r="R18" s="81" t="str">
        <f t="shared" si="0"/>
        <v>2015Q3</v>
      </c>
      <c r="S18" s="81" t="str">
        <f t="shared" si="0"/>
        <v>2015Q3</v>
      </c>
      <c r="T18" s="81" t="str">
        <f t="shared" si="0"/>
        <v>2015Q3</v>
      </c>
      <c r="U18" s="81" t="str">
        <f t="shared" si="0"/>
        <v>2015Q4</v>
      </c>
      <c r="V18" s="81" t="str">
        <f t="shared" si="0"/>
        <v>2015Q4</v>
      </c>
      <c r="W18" s="81" t="str">
        <f t="shared" si="0"/>
        <v>2015Q4</v>
      </c>
      <c r="X18" s="81" t="str">
        <f t="shared" si="0"/>
        <v>2016Q1</v>
      </c>
      <c r="Y18" s="81" t="str">
        <f t="shared" si="0"/>
        <v>2016Q1</v>
      </c>
      <c r="Z18" s="81" t="str">
        <f t="shared" si="0"/>
        <v>2016Q1</v>
      </c>
      <c r="AA18" s="81" t="str">
        <f t="shared" si="0"/>
        <v>2016Q2</v>
      </c>
      <c r="AB18" s="81" t="str">
        <f t="shared" si="0"/>
        <v>2016Q2</v>
      </c>
      <c r="AC18" s="81" t="str">
        <f t="shared" si="0"/>
        <v>2016Q2</v>
      </c>
      <c r="AD18" s="81" t="str">
        <f t="shared" si="0"/>
        <v>2016Q3</v>
      </c>
      <c r="AE18" s="81" t="str">
        <f t="shared" si="0"/>
        <v>2016Q3</v>
      </c>
      <c r="AF18" s="81" t="str">
        <f t="shared" si="0"/>
        <v>2016Q3</v>
      </c>
      <c r="AG18" s="81" t="str">
        <f t="shared" si="0"/>
        <v>2016Q4</v>
      </c>
      <c r="AH18" s="81" t="str">
        <f t="shared" si="0"/>
        <v>2016Q4</v>
      </c>
      <c r="AI18" s="81" t="str">
        <f t="shared" si="0"/>
        <v>2016Q4</v>
      </c>
      <c r="AJ18" s="81" t="str">
        <f t="shared" si="0"/>
        <v>2017Q1</v>
      </c>
      <c r="AK18" s="81" t="str">
        <f t="shared" si="0"/>
        <v>2017Q1</v>
      </c>
      <c r="AL18" s="81" t="str">
        <f t="shared" si="0"/>
        <v>2017Q1</v>
      </c>
      <c r="AM18" s="81" t="str">
        <f t="shared" si="0"/>
        <v>2017Q2</v>
      </c>
      <c r="AN18" s="81" t="str">
        <f t="shared" si="0"/>
        <v>2017Q2</v>
      </c>
      <c r="AO18" s="81" t="str">
        <f t="shared" si="0"/>
        <v>2017Q2</v>
      </c>
      <c r="AP18" s="81" t="str">
        <f t="shared" si="0"/>
        <v>2017Q3</v>
      </c>
      <c r="AQ18" s="81" t="str">
        <f t="shared" si="0"/>
        <v>2017Q3</v>
      </c>
      <c r="AR18" s="81" t="str">
        <f t="shared" si="0"/>
        <v>2017Q3</v>
      </c>
      <c r="AS18" s="81" t="str">
        <f t="shared" si="0"/>
        <v>2017Q4</v>
      </c>
      <c r="AT18" s="81" t="str">
        <f t="shared" si="0"/>
        <v>2017Q4</v>
      </c>
      <c r="AU18" s="81" t="str">
        <f t="shared" si="0"/>
        <v>2017Q4</v>
      </c>
      <c r="AV18" s="81" t="str">
        <f t="shared" si="0"/>
        <v>2018Q1</v>
      </c>
      <c r="AW18" s="81" t="str">
        <f t="shared" si="0"/>
        <v>2018Q1</v>
      </c>
      <c r="AX18" s="81" t="str">
        <f t="shared" si="0"/>
        <v>2018Q1</v>
      </c>
      <c r="AY18" s="81" t="str">
        <f t="shared" si="0"/>
        <v>2018Q2</v>
      </c>
      <c r="AZ18" s="81" t="str">
        <f t="shared" si="0"/>
        <v>2018Q2</v>
      </c>
      <c r="BA18" s="81" t="str">
        <f t="shared" si="0"/>
        <v>2018Q2</v>
      </c>
    </row>
    <row r="19" spans="1:16360">
      <c r="A19" s="82">
        <v>1</v>
      </c>
      <c r="B19" s="83">
        <v>2</v>
      </c>
      <c r="C19" s="83">
        <v>3</v>
      </c>
      <c r="D19" s="82">
        <v>4</v>
      </c>
      <c r="E19" s="83">
        <v>5</v>
      </c>
      <c r="F19" s="83">
        <v>6</v>
      </c>
      <c r="G19" s="82">
        <v>7</v>
      </c>
      <c r="H19" s="83">
        <v>8</v>
      </c>
      <c r="I19" s="83">
        <v>9</v>
      </c>
      <c r="J19" s="82">
        <v>10</v>
      </c>
      <c r="K19" s="83">
        <v>11</v>
      </c>
      <c r="L19" s="83">
        <v>12</v>
      </c>
      <c r="M19" s="82">
        <v>13</v>
      </c>
      <c r="N19" s="83">
        <v>14</v>
      </c>
      <c r="O19" s="83">
        <v>15</v>
      </c>
      <c r="P19" s="82">
        <v>16</v>
      </c>
      <c r="Q19" s="83">
        <v>17</v>
      </c>
      <c r="R19" s="83">
        <v>18</v>
      </c>
      <c r="S19" s="82">
        <v>19</v>
      </c>
      <c r="T19" s="83">
        <v>20</v>
      </c>
      <c r="U19" s="83">
        <v>21</v>
      </c>
      <c r="V19" s="82">
        <v>22</v>
      </c>
      <c r="W19" s="83">
        <v>23</v>
      </c>
      <c r="X19" s="83">
        <v>24</v>
      </c>
      <c r="Y19" s="82">
        <v>25</v>
      </c>
      <c r="Z19" s="83">
        <v>26</v>
      </c>
      <c r="AA19" s="83">
        <v>27</v>
      </c>
      <c r="AB19" s="82">
        <v>28</v>
      </c>
      <c r="AC19" s="83">
        <v>29</v>
      </c>
      <c r="AD19" s="83">
        <v>30</v>
      </c>
      <c r="AE19" s="82">
        <v>31</v>
      </c>
      <c r="AF19" s="83">
        <v>32</v>
      </c>
      <c r="AG19" s="83">
        <v>33</v>
      </c>
      <c r="AH19" s="82">
        <v>34</v>
      </c>
      <c r="AI19" s="83">
        <v>35</v>
      </c>
      <c r="AJ19" s="83">
        <v>36</v>
      </c>
      <c r="AK19" s="82">
        <v>37</v>
      </c>
      <c r="AL19" s="83">
        <v>38</v>
      </c>
      <c r="AM19" s="83">
        <v>39</v>
      </c>
      <c r="AN19" s="82">
        <v>40</v>
      </c>
      <c r="AO19" s="83">
        <v>41</v>
      </c>
      <c r="AP19" s="83">
        <v>42</v>
      </c>
      <c r="AQ19" s="82">
        <v>43</v>
      </c>
      <c r="AR19" s="83">
        <v>44</v>
      </c>
      <c r="AS19" s="83">
        <v>45</v>
      </c>
      <c r="AT19" s="82">
        <v>46</v>
      </c>
      <c r="AU19" s="83">
        <v>47</v>
      </c>
      <c r="AV19" s="83">
        <v>48</v>
      </c>
      <c r="AW19" s="83">
        <v>49</v>
      </c>
      <c r="AX19" s="83">
        <v>50</v>
      </c>
      <c r="AY19" s="83">
        <v>51</v>
      </c>
      <c r="AZ19" s="83">
        <v>52</v>
      </c>
      <c r="BA19" s="83">
        <v>53</v>
      </c>
    </row>
    <row r="20" spans="1:16360">
      <c r="A20" s="84"/>
      <c r="B20" s="85" t="s">
        <v>210</v>
      </c>
      <c r="C20" s="85">
        <v>5</v>
      </c>
      <c r="D20" s="85">
        <v>6</v>
      </c>
      <c r="E20" s="85">
        <v>7</v>
      </c>
      <c r="F20" s="85">
        <v>8</v>
      </c>
      <c r="G20" s="85">
        <v>9</v>
      </c>
      <c r="H20" s="85">
        <v>10</v>
      </c>
      <c r="I20" s="85">
        <v>11</v>
      </c>
      <c r="J20" s="85">
        <v>12</v>
      </c>
      <c r="K20" s="85">
        <v>13</v>
      </c>
      <c r="L20" s="85">
        <v>14</v>
      </c>
      <c r="M20" s="85">
        <v>15</v>
      </c>
      <c r="N20" s="85">
        <v>16</v>
      </c>
      <c r="O20" s="85">
        <v>17</v>
      </c>
      <c r="P20" s="85">
        <v>18</v>
      </c>
      <c r="Q20" s="85">
        <v>19</v>
      </c>
      <c r="R20" s="85">
        <v>20</v>
      </c>
      <c r="S20" s="85">
        <v>21</v>
      </c>
      <c r="T20" s="85">
        <v>22</v>
      </c>
      <c r="U20" s="85">
        <v>23</v>
      </c>
      <c r="V20" s="85">
        <v>24</v>
      </c>
      <c r="W20" s="85">
        <v>25</v>
      </c>
      <c r="X20" s="85">
        <v>26</v>
      </c>
      <c r="Y20" s="85">
        <v>27</v>
      </c>
      <c r="Z20" s="85">
        <v>28</v>
      </c>
      <c r="AA20" s="85">
        <v>29</v>
      </c>
      <c r="AB20" s="85">
        <v>30</v>
      </c>
      <c r="AC20" s="85">
        <v>31</v>
      </c>
      <c r="AD20" s="85">
        <v>32</v>
      </c>
      <c r="AE20" s="85">
        <v>33</v>
      </c>
      <c r="AF20" s="85">
        <v>34</v>
      </c>
      <c r="AG20" s="85">
        <v>35</v>
      </c>
      <c r="AH20" s="85">
        <v>36</v>
      </c>
      <c r="AI20" s="85">
        <v>37</v>
      </c>
      <c r="AJ20" s="85">
        <v>38</v>
      </c>
      <c r="AK20" s="85">
        <v>39</v>
      </c>
      <c r="AL20" s="85">
        <v>40</v>
      </c>
      <c r="AM20" s="85">
        <v>41</v>
      </c>
      <c r="AN20" s="85">
        <v>42</v>
      </c>
      <c r="AO20" s="85">
        <v>43</v>
      </c>
      <c r="AP20" s="85">
        <v>44</v>
      </c>
      <c r="AQ20" s="85">
        <v>45</v>
      </c>
      <c r="AR20" s="85">
        <v>46</v>
      </c>
      <c r="AS20" s="85">
        <v>47</v>
      </c>
      <c r="AT20" s="85">
        <v>48</v>
      </c>
      <c r="AU20" s="85">
        <v>49</v>
      </c>
      <c r="AV20" s="83">
        <v>50</v>
      </c>
      <c r="AW20" s="83">
        <v>51</v>
      </c>
      <c r="AX20" s="83">
        <v>52</v>
      </c>
      <c r="AY20" s="83">
        <v>53</v>
      </c>
      <c r="AZ20" s="83">
        <v>54</v>
      </c>
      <c r="BA20" s="83">
        <v>55</v>
      </c>
    </row>
    <row r="21" spans="1:16360">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X21" s="51"/>
      <c r="CY21" s="51"/>
      <c r="CZ21" s="53"/>
    </row>
    <row r="22" spans="1:16360">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X22" s="52"/>
      <c r="CY22" s="52"/>
    </row>
    <row r="23" spans="1:16360">
      <c r="A23" s="91" t="s">
        <v>211</v>
      </c>
      <c r="B23" s="91" t="s">
        <v>212</v>
      </c>
      <c r="C23" s="118">
        <v>41730</v>
      </c>
      <c r="D23" s="118">
        <v>41760</v>
      </c>
      <c r="E23" s="118">
        <v>41791</v>
      </c>
      <c r="F23" s="118">
        <v>41821</v>
      </c>
      <c r="G23" s="118">
        <v>41852</v>
      </c>
      <c r="H23" s="118">
        <v>41883</v>
      </c>
      <c r="I23" s="118">
        <v>41913</v>
      </c>
      <c r="J23" s="118">
        <v>41944</v>
      </c>
      <c r="K23" s="118">
        <v>41974</v>
      </c>
      <c r="L23" s="118">
        <v>42005</v>
      </c>
      <c r="M23" s="118">
        <v>42036</v>
      </c>
      <c r="N23" s="118">
        <v>42064</v>
      </c>
      <c r="O23" s="118">
        <v>42095</v>
      </c>
      <c r="P23" s="118">
        <v>42125</v>
      </c>
      <c r="Q23" s="118">
        <v>42156</v>
      </c>
      <c r="R23" s="118">
        <v>42186</v>
      </c>
      <c r="S23" s="118">
        <v>42217</v>
      </c>
      <c r="T23" s="118">
        <v>42248</v>
      </c>
      <c r="U23" s="118">
        <v>42278</v>
      </c>
      <c r="V23" s="118">
        <v>42309</v>
      </c>
      <c r="W23" s="118">
        <v>42339</v>
      </c>
      <c r="X23" s="118">
        <v>42370</v>
      </c>
      <c r="Y23" s="118">
        <v>42401</v>
      </c>
      <c r="Z23" s="118">
        <v>42430</v>
      </c>
      <c r="AA23" s="118">
        <v>42461</v>
      </c>
      <c r="AB23" s="118">
        <v>42491</v>
      </c>
      <c r="AC23" s="118">
        <v>42522</v>
      </c>
      <c r="AD23" s="118">
        <v>42552</v>
      </c>
      <c r="AE23" s="118">
        <v>42583</v>
      </c>
      <c r="AF23" s="118">
        <v>42614</v>
      </c>
      <c r="AG23" s="118">
        <v>42644</v>
      </c>
      <c r="AH23" s="118">
        <v>42675</v>
      </c>
      <c r="AI23" s="118">
        <v>42705</v>
      </c>
      <c r="AJ23" s="118">
        <v>42736</v>
      </c>
      <c r="AK23" s="118">
        <v>42767</v>
      </c>
      <c r="AL23" s="118">
        <v>42795</v>
      </c>
      <c r="AM23" s="118">
        <v>42826</v>
      </c>
      <c r="AN23" s="118">
        <v>42856</v>
      </c>
      <c r="AO23" s="118">
        <v>42887</v>
      </c>
      <c r="AP23" s="118">
        <v>42917</v>
      </c>
      <c r="AQ23" s="118">
        <v>42948</v>
      </c>
      <c r="AR23" s="118">
        <v>42979</v>
      </c>
      <c r="AS23" s="117">
        <v>43009</v>
      </c>
      <c r="AT23" s="117">
        <v>43040</v>
      </c>
      <c r="AU23" s="117">
        <v>43070</v>
      </c>
      <c r="AV23" s="117">
        <v>43101</v>
      </c>
      <c r="AW23" s="117">
        <v>43132</v>
      </c>
      <c r="AX23" s="117">
        <v>43160</v>
      </c>
      <c r="AY23" s="117">
        <v>43191</v>
      </c>
      <c r="AZ23" s="117">
        <v>43221</v>
      </c>
      <c r="BA23" s="117">
        <v>43252</v>
      </c>
    </row>
    <row r="24" spans="1:16360">
      <c r="A24">
        <v>1</v>
      </c>
      <c r="B24" s="56" t="s">
        <v>35</v>
      </c>
      <c r="C24" s="218"/>
      <c r="D24" s="218"/>
      <c r="E24" s="218"/>
      <c r="F24" s="218"/>
      <c r="G24" s="218"/>
      <c r="H24" s="218"/>
      <c r="I24" s="218"/>
      <c r="J24" s="218"/>
      <c r="K24" s="218"/>
      <c r="L24" s="218"/>
      <c r="M24" s="218"/>
      <c r="N24" s="218"/>
      <c r="O24" s="218"/>
      <c r="P24" s="218"/>
      <c r="Q24" s="218"/>
      <c r="R24" s="218"/>
      <c r="S24" s="218"/>
      <c r="T24" s="218"/>
      <c r="U24" s="218"/>
      <c r="V24" s="218"/>
      <c r="W24" s="218"/>
      <c r="X24" s="218"/>
      <c r="Y24" s="218"/>
      <c r="Z24" s="218"/>
      <c r="AA24" s="217"/>
      <c r="AB24" s="217"/>
      <c r="AC24" s="217"/>
      <c r="AD24" s="217"/>
      <c r="AE24" s="218"/>
      <c r="AF24" s="217"/>
      <c r="AG24" s="217"/>
      <c r="AH24" s="217"/>
      <c r="AI24" s="217"/>
      <c r="AJ24" s="218"/>
      <c r="AK24" s="218"/>
      <c r="AL24" s="218"/>
      <c r="AM24" s="218"/>
      <c r="AN24" s="218"/>
      <c r="AO24" s="218"/>
      <c r="AP24" s="218"/>
      <c r="AQ24" s="218"/>
      <c r="AR24" s="218"/>
      <c r="AY24" s="218"/>
      <c r="AZ24" s="218"/>
      <c r="BA24" s="218"/>
      <c r="BB24" s="218"/>
      <c r="BC24" s="218"/>
      <c r="BD24" s="218"/>
      <c r="BE24" s="218"/>
      <c r="BF24" s="218"/>
      <c r="BG24" s="218"/>
      <c r="BH24" s="218"/>
      <c r="BI24" s="218"/>
      <c r="BJ24" s="218"/>
      <c r="BK24" s="218"/>
      <c r="BL24" s="218"/>
      <c r="BM24" s="218"/>
      <c r="BN24" s="218"/>
      <c r="BO24" s="218"/>
      <c r="BP24" s="218"/>
      <c r="BQ24" s="218"/>
      <c r="BR24" s="218"/>
      <c r="BS24" s="218"/>
      <c r="BT24" s="218"/>
      <c r="BU24" s="218"/>
      <c r="BV24" s="218"/>
      <c r="BW24" s="218"/>
      <c r="BX24" s="218"/>
      <c r="BY24" s="218"/>
      <c r="BZ24" s="218"/>
      <c r="CA24" s="218"/>
      <c r="CB24" s="218"/>
      <c r="CC24" s="218"/>
      <c r="CD24" s="218"/>
      <c r="CE24" s="218"/>
      <c r="CF24" s="218"/>
      <c r="CG24" s="218"/>
      <c r="CH24" s="218"/>
      <c r="CI24" s="218"/>
      <c r="CJ24" s="218"/>
      <c r="CK24" s="218"/>
      <c r="CL24" s="218"/>
      <c r="CM24" s="218"/>
      <c r="CN24" s="218"/>
      <c r="CO24" s="218"/>
      <c r="CP24" s="218"/>
      <c r="CQ24" s="218"/>
      <c r="CR24" s="218"/>
      <c r="CS24" s="218"/>
      <c r="CT24" s="218"/>
      <c r="CU24" s="218"/>
      <c r="CV24" s="218"/>
      <c r="CW24" s="218"/>
      <c r="CX24" s="218"/>
      <c r="CY24" s="218"/>
      <c r="CZ24" s="218"/>
      <c r="DA24" s="218"/>
      <c r="DB24" s="218"/>
      <c r="DC24" s="218"/>
      <c r="DD24" s="218"/>
      <c r="DE24" s="218"/>
      <c r="DF24" s="218"/>
      <c r="DG24" s="218"/>
      <c r="DH24" s="218"/>
      <c r="DI24" s="218"/>
      <c r="DJ24" s="218"/>
      <c r="DK24" s="218"/>
      <c r="DL24" s="218"/>
      <c r="DM24" s="218"/>
      <c r="DN24" s="218"/>
      <c r="DO24" s="218"/>
      <c r="DP24" s="218"/>
      <c r="DQ24" s="218"/>
      <c r="DR24" s="218"/>
      <c r="DS24" s="218"/>
      <c r="DT24" s="218"/>
      <c r="DU24" s="218"/>
      <c r="DV24" s="218"/>
      <c r="DW24" s="218"/>
      <c r="DX24" s="218"/>
      <c r="DY24" s="218"/>
      <c r="DZ24" s="218"/>
      <c r="EA24" s="218"/>
      <c r="EB24" s="218"/>
      <c r="EC24" s="218"/>
      <c r="ED24" s="218"/>
      <c r="EE24" s="218"/>
      <c r="EF24" s="218"/>
      <c r="EG24" s="218"/>
      <c r="EH24" s="218"/>
      <c r="EI24" s="218"/>
      <c r="EJ24" s="218"/>
      <c r="EK24" s="218"/>
      <c r="EL24" s="218"/>
      <c r="EM24" s="218"/>
      <c r="EN24" s="218"/>
      <c r="EO24" s="218"/>
      <c r="EP24" s="218"/>
      <c r="EQ24" s="218"/>
      <c r="ER24" s="218"/>
      <c r="ES24" s="218"/>
      <c r="ET24" s="218"/>
      <c r="EU24" s="218"/>
      <c r="EV24" s="218"/>
      <c r="EW24" s="218"/>
      <c r="EX24" s="218"/>
      <c r="EY24" s="218"/>
      <c r="EZ24" s="218"/>
      <c r="FA24" s="218"/>
      <c r="FB24" s="218"/>
      <c r="FC24" s="218"/>
      <c r="FD24" s="218"/>
      <c r="FE24" s="218"/>
      <c r="FF24" s="218"/>
      <c r="FG24" s="218"/>
      <c r="FH24" s="218"/>
      <c r="FI24" s="218"/>
      <c r="FJ24" s="218"/>
      <c r="FK24" s="218"/>
      <c r="FL24" s="218"/>
      <c r="FM24" s="218"/>
      <c r="FN24" s="218"/>
      <c r="FO24" s="218"/>
      <c r="FP24" s="218"/>
      <c r="FQ24" s="218"/>
      <c r="FR24" s="218"/>
      <c r="FS24" s="218"/>
      <c r="FT24" s="218"/>
      <c r="FU24" s="218"/>
      <c r="FV24" s="218"/>
      <c r="FW24" s="218"/>
      <c r="FX24" s="218"/>
      <c r="FY24" s="218"/>
      <c r="FZ24" s="218"/>
      <c r="GA24" s="218"/>
      <c r="GB24" s="218"/>
      <c r="GC24" s="218"/>
      <c r="GD24" s="218"/>
      <c r="GE24" s="218"/>
      <c r="GF24" s="218"/>
      <c r="GG24" s="218"/>
      <c r="GH24" s="218"/>
      <c r="GI24" s="218"/>
      <c r="GJ24" s="218"/>
      <c r="GK24" s="218"/>
      <c r="GL24" s="218"/>
      <c r="GM24" s="218"/>
      <c r="GN24" s="218"/>
      <c r="GO24" s="218"/>
      <c r="GP24" s="218"/>
      <c r="GQ24" s="218"/>
      <c r="GR24" s="218"/>
      <c r="GS24" s="218"/>
      <c r="GT24" s="218"/>
      <c r="GU24" s="218"/>
      <c r="GV24" s="218"/>
      <c r="GW24" s="218"/>
      <c r="GX24" s="218"/>
      <c r="GY24" s="218"/>
      <c r="GZ24" s="218"/>
      <c r="HA24" s="218"/>
      <c r="HB24" s="218"/>
      <c r="HC24" s="218"/>
      <c r="HD24" s="218"/>
      <c r="HE24" s="218"/>
      <c r="HF24" s="218"/>
      <c r="HG24" s="218"/>
      <c r="HH24" s="218"/>
      <c r="HI24" s="218"/>
      <c r="HJ24" s="218"/>
      <c r="HK24" s="218"/>
      <c r="HL24" s="218"/>
      <c r="HM24" s="218"/>
      <c r="HN24" s="218"/>
      <c r="HO24" s="218"/>
      <c r="HP24" s="218"/>
      <c r="HQ24" s="218"/>
      <c r="HR24" s="218"/>
      <c r="HS24" s="218"/>
      <c r="HT24" s="218"/>
      <c r="HU24" s="218"/>
      <c r="HV24" s="218"/>
      <c r="HW24" s="218"/>
      <c r="HX24" s="218"/>
      <c r="HY24" s="218"/>
      <c r="HZ24" s="218"/>
      <c r="IA24" s="218"/>
      <c r="IB24" s="218"/>
      <c r="IC24" s="218"/>
      <c r="ID24" s="218"/>
      <c r="IE24" s="218"/>
      <c r="IF24" s="218"/>
      <c r="IG24" s="218"/>
      <c r="IH24" s="218"/>
      <c r="II24" s="218"/>
      <c r="IJ24" s="218"/>
      <c r="IK24" s="218"/>
      <c r="IL24" s="218"/>
      <c r="IM24" s="218"/>
      <c r="IN24" s="218"/>
      <c r="IO24" s="218"/>
      <c r="IP24" s="218"/>
      <c r="IQ24" s="218"/>
      <c r="IR24" s="218"/>
      <c r="IS24" s="218"/>
      <c r="IT24" s="218"/>
      <c r="IU24" s="218"/>
      <c r="IV24" s="218"/>
      <c r="IW24" s="218"/>
      <c r="IX24" s="218"/>
      <c r="IY24" s="218"/>
      <c r="IZ24" s="218"/>
      <c r="JA24" s="218"/>
      <c r="JB24" s="218"/>
      <c r="JC24" s="218"/>
      <c r="JD24" s="218"/>
      <c r="JE24" s="218"/>
      <c r="JF24" s="218"/>
      <c r="JG24" s="218"/>
      <c r="JH24" s="218"/>
      <c r="JI24" s="218"/>
      <c r="JJ24" s="218"/>
      <c r="JK24" s="218"/>
      <c r="JL24" s="218"/>
      <c r="JM24" s="218"/>
      <c r="JN24" s="218"/>
      <c r="JO24" s="218"/>
      <c r="JP24" s="218"/>
      <c r="JQ24" s="218"/>
      <c r="JR24" s="218"/>
      <c r="JS24" s="218"/>
      <c r="JT24" s="218"/>
      <c r="JU24" s="218"/>
      <c r="JV24" s="218"/>
      <c r="JW24" s="218"/>
      <c r="JX24" s="218"/>
      <c r="JY24" s="218"/>
      <c r="JZ24" s="218"/>
      <c r="KA24" s="218"/>
      <c r="KB24" s="218"/>
      <c r="KC24" s="218"/>
      <c r="KD24" s="218"/>
      <c r="KE24" s="218"/>
      <c r="KF24" s="218"/>
      <c r="KG24" s="218"/>
      <c r="KH24" s="218"/>
      <c r="KI24" s="218"/>
      <c r="KJ24" s="218"/>
      <c r="KK24" s="218"/>
      <c r="KL24" s="218"/>
      <c r="KM24" s="218"/>
      <c r="KN24" s="218"/>
      <c r="KO24" s="218"/>
      <c r="KP24" s="218"/>
      <c r="KQ24" s="218"/>
      <c r="KR24" s="218"/>
      <c r="KS24" s="218"/>
      <c r="KT24" s="218"/>
      <c r="KU24" s="218"/>
      <c r="KV24" s="218"/>
      <c r="KW24" s="218"/>
      <c r="KX24" s="218"/>
      <c r="KY24" s="218"/>
      <c r="KZ24" s="218"/>
      <c r="LA24" s="218"/>
      <c r="LB24" s="218"/>
      <c r="LC24" s="218"/>
      <c r="LD24" s="218"/>
      <c r="LE24" s="218"/>
      <c r="LF24" s="218"/>
      <c r="LG24" s="218"/>
      <c r="LH24" s="218"/>
      <c r="LI24" s="218"/>
      <c r="LJ24" s="218"/>
      <c r="LK24" s="218"/>
      <c r="LL24" s="218"/>
      <c r="LM24" s="218"/>
      <c r="LN24" s="218"/>
      <c r="LO24" s="218"/>
      <c r="LP24" s="218"/>
      <c r="LQ24" s="218"/>
      <c r="LR24" s="218"/>
      <c r="LS24" s="218"/>
      <c r="LT24" s="218"/>
      <c r="LU24" s="218"/>
      <c r="LV24" s="218"/>
      <c r="LW24" s="218"/>
      <c r="LX24" s="218"/>
      <c r="LY24" s="218"/>
      <c r="LZ24" s="218"/>
      <c r="MA24" s="218"/>
      <c r="MB24" s="218"/>
      <c r="MC24" s="218"/>
      <c r="MD24" s="218"/>
      <c r="ME24" s="218"/>
      <c r="MF24" s="218"/>
      <c r="MG24" s="218"/>
      <c r="MH24" s="218"/>
      <c r="MI24" s="218"/>
      <c r="MJ24" s="218"/>
      <c r="MK24" s="218"/>
      <c r="ML24" s="218"/>
      <c r="MM24" s="218"/>
      <c r="MN24" s="218"/>
      <c r="MO24" s="218"/>
      <c r="MP24" s="218"/>
      <c r="MQ24" s="218"/>
      <c r="MR24" s="218"/>
      <c r="MS24" s="218"/>
      <c r="MT24" s="218"/>
      <c r="MU24" s="218"/>
      <c r="MV24" s="218"/>
      <c r="MW24" s="218"/>
      <c r="MX24" s="218"/>
      <c r="MY24" s="218"/>
      <c r="MZ24" s="218"/>
      <c r="NA24" s="218"/>
      <c r="NB24" s="218"/>
      <c r="NC24" s="218"/>
      <c r="ND24" s="218"/>
      <c r="NE24" s="218"/>
      <c r="NF24" s="218"/>
      <c r="NG24" s="218"/>
      <c r="NH24" s="218"/>
      <c r="NI24" s="218"/>
      <c r="NJ24" s="218"/>
      <c r="NK24" s="218"/>
      <c r="NL24" s="218"/>
      <c r="NM24" s="218"/>
      <c r="NN24" s="218"/>
      <c r="NO24" s="218"/>
      <c r="NP24" s="218"/>
      <c r="NQ24" s="218"/>
      <c r="NR24" s="218"/>
      <c r="NS24" s="218"/>
      <c r="NT24" s="218"/>
      <c r="NU24" s="218"/>
      <c r="NV24" s="218"/>
      <c r="NW24" s="218"/>
      <c r="NX24" s="218"/>
      <c r="NY24" s="218"/>
      <c r="NZ24" s="218"/>
      <c r="OA24" s="218"/>
      <c r="OB24" s="218"/>
      <c r="OC24" s="218"/>
      <c r="OD24" s="218"/>
      <c r="OE24" s="218"/>
      <c r="OF24" s="218"/>
      <c r="OG24" s="218"/>
      <c r="OH24" s="218"/>
      <c r="OI24" s="218"/>
      <c r="OJ24" s="218"/>
      <c r="OK24" s="218"/>
      <c r="OL24" s="218"/>
      <c r="OM24" s="218"/>
      <c r="ON24" s="218"/>
      <c r="OO24" s="218"/>
      <c r="OP24" s="218"/>
      <c r="OQ24" s="218"/>
      <c r="OR24" s="218"/>
      <c r="OS24" s="218"/>
      <c r="OT24" s="218"/>
      <c r="OU24" s="218"/>
      <c r="OV24" s="218"/>
      <c r="OW24" s="218"/>
      <c r="OX24" s="218"/>
      <c r="OY24" s="218"/>
      <c r="OZ24" s="218"/>
      <c r="PA24" s="218"/>
      <c r="PB24" s="218"/>
      <c r="PC24" s="218"/>
      <c r="PD24" s="218"/>
      <c r="PE24" s="218"/>
      <c r="PF24" s="218"/>
      <c r="PG24" s="218"/>
      <c r="PH24" s="218"/>
      <c r="PI24" s="218"/>
      <c r="PJ24" s="218"/>
      <c r="PK24" s="218"/>
      <c r="PL24" s="218"/>
      <c r="PM24" s="218"/>
      <c r="PN24" s="218"/>
      <c r="PO24" s="218"/>
      <c r="PP24" s="218"/>
      <c r="PQ24" s="218"/>
      <c r="PR24" s="218"/>
      <c r="PS24" s="218"/>
      <c r="PT24" s="218"/>
      <c r="PU24" s="218"/>
      <c r="PV24" s="218"/>
      <c r="PW24" s="218"/>
      <c r="PX24" s="218"/>
      <c r="PY24" s="218"/>
      <c r="PZ24" s="218"/>
      <c r="QA24" s="218"/>
      <c r="QB24" s="218"/>
      <c r="QC24" s="218"/>
      <c r="QD24" s="218"/>
      <c r="QE24" s="218"/>
      <c r="QF24" s="218"/>
      <c r="QG24" s="218"/>
      <c r="QH24" s="218"/>
      <c r="QI24" s="218"/>
      <c r="QJ24" s="218"/>
      <c r="QK24" s="218"/>
      <c r="QL24" s="218"/>
      <c r="QM24" s="218"/>
      <c r="QN24" s="218"/>
      <c r="QO24" s="218"/>
      <c r="QP24" s="218"/>
      <c r="QQ24" s="218"/>
      <c r="QR24" s="218"/>
      <c r="QS24" s="218"/>
      <c r="QT24" s="218"/>
      <c r="QU24" s="218"/>
      <c r="QV24" s="218"/>
      <c r="QW24" s="218"/>
      <c r="QX24" s="218"/>
      <c r="QY24" s="218"/>
      <c r="QZ24" s="218"/>
      <c r="RA24" s="218"/>
      <c r="RB24" s="218"/>
      <c r="RC24" s="218"/>
      <c r="RD24" s="218"/>
      <c r="RE24" s="218"/>
      <c r="RF24" s="218"/>
      <c r="RG24" s="218"/>
      <c r="RH24" s="218"/>
      <c r="RI24" s="218"/>
      <c r="RJ24" s="218"/>
      <c r="RK24" s="218"/>
      <c r="RL24" s="218"/>
      <c r="RM24" s="218"/>
      <c r="RN24" s="218"/>
      <c r="RO24" s="218"/>
      <c r="RP24" s="218"/>
      <c r="RQ24" s="218"/>
      <c r="RR24" s="218"/>
      <c r="RS24" s="218"/>
      <c r="RT24" s="218"/>
      <c r="RU24" s="218"/>
      <c r="RV24" s="218"/>
      <c r="RW24" s="218"/>
      <c r="RX24" s="218"/>
      <c r="RY24" s="218"/>
      <c r="RZ24" s="218"/>
      <c r="SA24" s="218"/>
      <c r="SB24" s="218"/>
      <c r="SC24" s="218"/>
      <c r="SD24" s="218"/>
      <c r="SE24" s="218"/>
      <c r="SF24" s="218"/>
      <c r="SG24" s="218"/>
      <c r="SH24" s="218"/>
      <c r="SI24" s="218"/>
      <c r="SJ24" s="218"/>
      <c r="SK24" s="218"/>
      <c r="SL24" s="218"/>
      <c r="SM24" s="218"/>
      <c r="SN24" s="218"/>
      <c r="SO24" s="218"/>
      <c r="SP24" s="218"/>
      <c r="SQ24" s="218"/>
      <c r="SR24" s="218"/>
      <c r="SS24" s="218"/>
      <c r="ST24" s="218"/>
      <c r="SU24" s="218"/>
      <c r="SV24" s="218"/>
      <c r="SW24" s="218"/>
      <c r="SX24" s="218"/>
      <c r="SY24" s="218"/>
      <c r="SZ24" s="218"/>
      <c r="TA24" s="218"/>
      <c r="TB24" s="218"/>
      <c r="TC24" s="218"/>
      <c r="TD24" s="218"/>
      <c r="TE24" s="218"/>
      <c r="TF24" s="218"/>
      <c r="TG24" s="218"/>
      <c r="TH24" s="218"/>
      <c r="TI24" s="218"/>
      <c r="TJ24" s="218"/>
      <c r="TK24" s="218"/>
      <c r="TL24" s="218"/>
      <c r="TM24" s="218"/>
      <c r="TN24" s="218"/>
      <c r="TO24" s="218"/>
      <c r="TP24" s="218"/>
      <c r="TQ24" s="218"/>
      <c r="TR24" s="218"/>
      <c r="TS24" s="218"/>
      <c r="TT24" s="218"/>
      <c r="TU24" s="218"/>
      <c r="TV24" s="218"/>
      <c r="TW24" s="218"/>
      <c r="TX24" s="218"/>
      <c r="TY24" s="218"/>
      <c r="TZ24" s="218"/>
      <c r="UA24" s="218"/>
      <c r="UB24" s="218"/>
      <c r="UC24" s="218"/>
      <c r="UD24" s="218"/>
      <c r="UE24" s="218"/>
      <c r="UF24" s="218"/>
      <c r="UG24" s="218"/>
      <c r="UH24" s="218"/>
      <c r="UI24" s="218"/>
      <c r="UJ24" s="218"/>
      <c r="UK24" s="218"/>
      <c r="UL24" s="218"/>
      <c r="UM24" s="218"/>
      <c r="UN24" s="218"/>
      <c r="UO24" s="218"/>
      <c r="UP24" s="218"/>
      <c r="UQ24" s="218"/>
      <c r="UR24" s="218"/>
      <c r="US24" s="218"/>
      <c r="UT24" s="218"/>
      <c r="UU24" s="218"/>
      <c r="UV24" s="218"/>
      <c r="UW24" s="218"/>
      <c r="UX24" s="218"/>
      <c r="UY24" s="218"/>
      <c r="UZ24" s="218"/>
      <c r="VA24" s="218"/>
      <c r="VB24" s="218"/>
      <c r="VC24" s="218"/>
      <c r="VD24" s="218"/>
      <c r="VE24" s="218"/>
      <c r="VF24" s="218"/>
      <c r="VG24" s="218"/>
      <c r="VH24" s="218"/>
      <c r="VI24" s="218"/>
      <c r="VJ24" s="218"/>
      <c r="VK24" s="218"/>
      <c r="VL24" s="218"/>
      <c r="VM24" s="218"/>
      <c r="VN24" s="218"/>
      <c r="VO24" s="218"/>
      <c r="VP24" s="218"/>
      <c r="VQ24" s="218"/>
      <c r="VR24" s="218"/>
      <c r="VS24" s="218"/>
      <c r="VT24" s="218"/>
      <c r="VU24" s="218"/>
      <c r="VV24" s="218"/>
      <c r="VW24" s="218"/>
      <c r="VX24" s="218"/>
      <c r="VY24" s="218"/>
      <c r="VZ24" s="218"/>
      <c r="WA24" s="218"/>
      <c r="WB24" s="218"/>
      <c r="WC24" s="218"/>
      <c r="WD24" s="218"/>
      <c r="WE24" s="218"/>
      <c r="WF24" s="218"/>
      <c r="WG24" s="218"/>
      <c r="WH24" s="218"/>
      <c r="WI24" s="218"/>
      <c r="WJ24" s="218"/>
      <c r="WK24" s="218"/>
      <c r="WL24" s="218"/>
      <c r="WM24" s="218"/>
      <c r="WN24" s="218"/>
      <c r="WO24" s="218"/>
      <c r="WP24" s="218"/>
      <c r="WQ24" s="218"/>
      <c r="WR24" s="218"/>
      <c r="WS24" s="218"/>
      <c r="WT24" s="218"/>
      <c r="WU24" s="218"/>
      <c r="WV24" s="218"/>
      <c r="WW24" s="218"/>
      <c r="WX24" s="218"/>
      <c r="WY24" s="218"/>
      <c r="WZ24" s="218"/>
      <c r="XA24" s="218"/>
      <c r="XB24" s="218"/>
      <c r="XC24" s="218"/>
      <c r="XD24" s="218"/>
      <c r="XE24" s="218"/>
      <c r="XF24" s="218"/>
      <c r="XG24" s="218"/>
      <c r="XH24" s="218"/>
      <c r="XI24" s="218"/>
      <c r="XJ24" s="218"/>
      <c r="XK24" s="218"/>
      <c r="XL24" s="218"/>
      <c r="XM24" s="218"/>
      <c r="XN24" s="218"/>
      <c r="XO24" s="218"/>
      <c r="XP24" s="218"/>
      <c r="XQ24" s="218"/>
      <c r="XR24" s="218"/>
      <c r="XS24" s="218"/>
      <c r="XT24" s="218"/>
      <c r="XU24" s="218"/>
      <c r="XV24" s="218"/>
      <c r="XW24" s="218"/>
      <c r="XX24" s="218"/>
      <c r="XY24" s="218"/>
      <c r="XZ24" s="218"/>
      <c r="YA24" s="218"/>
      <c r="YB24" s="218"/>
      <c r="YC24" s="218"/>
      <c r="YD24" s="218"/>
      <c r="YE24" s="218"/>
      <c r="YF24" s="218"/>
      <c r="YG24" s="218"/>
      <c r="YH24" s="218"/>
      <c r="YI24" s="218"/>
      <c r="YJ24" s="218"/>
      <c r="YK24" s="218"/>
      <c r="YL24" s="218"/>
      <c r="YM24" s="218"/>
      <c r="YN24" s="218"/>
      <c r="YO24" s="218"/>
      <c r="YP24" s="218"/>
      <c r="YQ24" s="218"/>
      <c r="YR24" s="218"/>
      <c r="YS24" s="218"/>
      <c r="YT24" s="218"/>
      <c r="YU24" s="218"/>
      <c r="YV24" s="218"/>
      <c r="YW24" s="218"/>
      <c r="YX24" s="218"/>
      <c r="YY24" s="218"/>
      <c r="YZ24" s="218"/>
      <c r="ZA24" s="218"/>
      <c r="ZB24" s="218"/>
      <c r="ZC24" s="218"/>
      <c r="ZD24" s="218"/>
      <c r="ZE24" s="218"/>
      <c r="ZF24" s="218"/>
      <c r="ZG24" s="218"/>
      <c r="ZH24" s="218"/>
      <c r="ZI24" s="218"/>
      <c r="ZJ24" s="218"/>
      <c r="ZK24" s="218"/>
      <c r="ZL24" s="218"/>
      <c r="ZM24" s="218"/>
      <c r="ZN24" s="218"/>
      <c r="ZO24" s="218"/>
      <c r="ZP24" s="218"/>
      <c r="ZQ24" s="218"/>
      <c r="ZR24" s="218"/>
      <c r="ZS24" s="218"/>
      <c r="ZT24" s="218"/>
      <c r="ZU24" s="218"/>
      <c r="ZV24" s="218"/>
      <c r="ZW24" s="218"/>
      <c r="ZX24" s="218"/>
      <c r="ZY24" s="218"/>
      <c r="ZZ24" s="218"/>
      <c r="AAA24" s="218"/>
      <c r="AAB24" s="218"/>
      <c r="AAC24" s="218"/>
      <c r="AAD24" s="218"/>
      <c r="AAE24" s="218"/>
      <c r="AAF24" s="218"/>
      <c r="AAG24" s="218"/>
      <c r="AAH24" s="218"/>
      <c r="AAI24" s="218"/>
      <c r="AAJ24" s="218"/>
      <c r="AAK24" s="218"/>
      <c r="AAL24" s="218"/>
      <c r="AAM24" s="218"/>
      <c r="AAN24" s="218"/>
      <c r="AAO24" s="218"/>
      <c r="AAP24" s="218"/>
      <c r="AAQ24" s="218"/>
      <c r="AAR24" s="218"/>
      <c r="AAS24" s="218"/>
      <c r="AAT24" s="218"/>
      <c r="AAU24" s="218"/>
      <c r="AAV24" s="218"/>
      <c r="AAW24" s="218"/>
      <c r="AAX24" s="218"/>
      <c r="AAY24" s="218"/>
      <c r="AAZ24" s="218"/>
      <c r="ABA24" s="218"/>
      <c r="ABB24" s="218"/>
      <c r="ABC24" s="218"/>
      <c r="ABD24" s="218"/>
      <c r="ABE24" s="218"/>
      <c r="ABF24" s="218"/>
      <c r="ABG24" s="218"/>
      <c r="ABH24" s="218"/>
      <c r="ABI24" s="218"/>
      <c r="ABJ24" s="218"/>
      <c r="ABK24" s="218"/>
      <c r="ABL24" s="218"/>
      <c r="ABM24" s="218"/>
      <c r="ABN24" s="218"/>
      <c r="ABO24" s="218"/>
      <c r="ABP24" s="218"/>
      <c r="ABQ24" s="218"/>
      <c r="ABR24" s="218"/>
      <c r="ABS24" s="218"/>
      <c r="ABT24" s="218"/>
      <c r="ABU24" s="218"/>
      <c r="ABV24" s="218"/>
      <c r="ABW24" s="218"/>
      <c r="ABX24" s="218"/>
      <c r="ABY24" s="218"/>
      <c r="ABZ24" s="218"/>
      <c r="ACA24" s="218"/>
      <c r="ACB24" s="218"/>
      <c r="ACC24" s="218"/>
      <c r="ACD24" s="218"/>
      <c r="ACE24" s="218"/>
      <c r="ACF24" s="218"/>
      <c r="ACG24" s="218"/>
      <c r="ACH24" s="218"/>
      <c r="ACI24" s="218"/>
      <c r="ACJ24" s="218"/>
      <c r="ACK24" s="218"/>
      <c r="ACL24" s="218"/>
      <c r="ACM24" s="218"/>
      <c r="ACN24" s="218"/>
      <c r="ACO24" s="218"/>
      <c r="ACP24" s="218"/>
      <c r="ACQ24" s="218"/>
      <c r="ACR24" s="218"/>
      <c r="ACS24" s="218"/>
      <c r="ACT24" s="218"/>
      <c r="ACU24" s="218"/>
      <c r="ACV24" s="218"/>
      <c r="ACW24" s="218"/>
      <c r="ACX24" s="218"/>
      <c r="ACY24" s="218"/>
      <c r="ACZ24" s="218"/>
      <c r="ADA24" s="218"/>
      <c r="ADB24" s="218"/>
      <c r="ADC24" s="218"/>
      <c r="ADD24" s="218"/>
      <c r="ADE24" s="218"/>
      <c r="ADF24" s="218"/>
      <c r="ADG24" s="218"/>
      <c r="ADH24" s="218"/>
      <c r="ADI24" s="218"/>
      <c r="ADJ24" s="218"/>
      <c r="ADK24" s="218"/>
      <c r="ADL24" s="218"/>
      <c r="ADM24" s="218"/>
      <c r="ADN24" s="218"/>
      <c r="ADO24" s="218"/>
      <c r="ADP24" s="218"/>
      <c r="ADQ24" s="218"/>
      <c r="ADR24" s="218"/>
      <c r="ADS24" s="218"/>
      <c r="ADT24" s="218"/>
      <c r="ADU24" s="218"/>
      <c r="ADV24" s="218"/>
      <c r="ADW24" s="218"/>
      <c r="ADX24" s="218"/>
      <c r="ADY24" s="218"/>
      <c r="ADZ24" s="218"/>
      <c r="AEA24" s="218"/>
      <c r="AEB24" s="218"/>
      <c r="AEC24" s="218"/>
      <c r="AED24" s="218"/>
      <c r="AEE24" s="218"/>
      <c r="AEF24" s="218"/>
      <c r="AEG24" s="218"/>
      <c r="AEH24" s="218"/>
      <c r="AEI24" s="218"/>
      <c r="AEJ24" s="218"/>
      <c r="AEK24" s="218"/>
      <c r="AEL24" s="218"/>
      <c r="AEM24" s="218"/>
      <c r="AEN24" s="218"/>
      <c r="AEO24" s="218"/>
      <c r="AEP24" s="218"/>
      <c r="AEQ24" s="218"/>
      <c r="AER24" s="218"/>
      <c r="AES24" s="218"/>
      <c r="AET24" s="218"/>
      <c r="AEU24" s="218"/>
      <c r="AEV24" s="218"/>
      <c r="AEW24" s="218"/>
      <c r="AEX24" s="218"/>
      <c r="AEY24" s="218"/>
      <c r="AEZ24" s="218"/>
      <c r="AFA24" s="218"/>
      <c r="AFB24" s="218"/>
      <c r="AFC24" s="218"/>
      <c r="AFD24" s="218"/>
      <c r="AFE24" s="218"/>
      <c r="AFF24" s="218"/>
      <c r="AFG24" s="218"/>
      <c r="AFH24" s="218"/>
      <c r="AFI24" s="218"/>
      <c r="AFJ24" s="218"/>
      <c r="AFK24" s="218"/>
      <c r="AFL24" s="218"/>
      <c r="AFM24" s="218"/>
      <c r="AFN24" s="218"/>
      <c r="AFO24" s="218"/>
      <c r="AFP24" s="218"/>
      <c r="AFQ24" s="218"/>
      <c r="AFR24" s="218"/>
      <c r="AFS24" s="218"/>
      <c r="AFT24" s="218"/>
      <c r="AFU24" s="218"/>
      <c r="AFV24" s="218"/>
      <c r="AFW24" s="218"/>
      <c r="AFX24" s="218"/>
      <c r="AFY24" s="218"/>
      <c r="AFZ24" s="218"/>
      <c r="AGA24" s="218"/>
      <c r="AGB24" s="218"/>
      <c r="AGC24" s="218"/>
      <c r="AGD24" s="218"/>
      <c r="AGE24" s="218"/>
      <c r="AGF24" s="218"/>
      <c r="AGG24" s="218"/>
      <c r="AGH24" s="218"/>
      <c r="AGI24" s="218"/>
      <c r="AGJ24" s="218"/>
      <c r="AGK24" s="218"/>
      <c r="AGL24" s="218"/>
      <c r="AGM24" s="218"/>
      <c r="AGN24" s="218"/>
      <c r="AGO24" s="218"/>
      <c r="AGP24" s="218"/>
      <c r="AGQ24" s="218"/>
      <c r="AGR24" s="218"/>
      <c r="AGS24" s="218"/>
      <c r="AGT24" s="218"/>
      <c r="AGU24" s="218"/>
      <c r="AGV24" s="218"/>
      <c r="AGW24" s="218"/>
      <c r="AGX24" s="218"/>
      <c r="AGY24" s="218"/>
      <c r="AGZ24" s="218"/>
      <c r="AHA24" s="218"/>
      <c r="AHB24" s="218"/>
      <c r="AHC24" s="218"/>
      <c r="AHD24" s="218"/>
      <c r="AHE24" s="218"/>
      <c r="AHF24" s="218"/>
      <c r="AHG24" s="218"/>
      <c r="AHH24" s="218"/>
      <c r="AHI24" s="218"/>
      <c r="AHJ24" s="218"/>
      <c r="AHK24" s="218"/>
      <c r="AHL24" s="218"/>
      <c r="AHM24" s="218"/>
      <c r="AHN24" s="218"/>
      <c r="AHO24" s="218"/>
      <c r="AHP24" s="218"/>
      <c r="AHQ24" s="218"/>
      <c r="AHR24" s="218"/>
      <c r="AHS24" s="218"/>
      <c r="AHT24" s="218"/>
      <c r="AHU24" s="218"/>
      <c r="AHV24" s="218"/>
      <c r="AHW24" s="218"/>
      <c r="AHX24" s="218"/>
      <c r="AHY24" s="218"/>
      <c r="AHZ24" s="218"/>
      <c r="AIA24" s="218"/>
      <c r="AIB24" s="218"/>
      <c r="AIC24" s="218"/>
      <c r="AID24" s="218"/>
      <c r="AIE24" s="218"/>
      <c r="AIF24" s="218"/>
      <c r="AIG24" s="218"/>
      <c r="AIH24" s="218"/>
      <c r="AII24" s="218"/>
      <c r="AIJ24" s="218"/>
      <c r="AIK24" s="218"/>
      <c r="AIL24" s="218"/>
      <c r="AIM24" s="218"/>
      <c r="AIN24" s="218"/>
      <c r="AIO24" s="218"/>
      <c r="AIP24" s="218"/>
      <c r="AIQ24" s="218"/>
      <c r="AIR24" s="218"/>
      <c r="AIS24" s="218"/>
      <c r="AIT24" s="218"/>
      <c r="AIU24" s="218"/>
      <c r="AIV24" s="218"/>
      <c r="AIW24" s="218"/>
      <c r="AIX24" s="218"/>
      <c r="AIY24" s="218"/>
      <c r="AIZ24" s="218"/>
      <c r="AJA24" s="218"/>
      <c r="AJB24" s="218"/>
      <c r="AJC24" s="218"/>
      <c r="AJD24" s="218"/>
      <c r="AJE24" s="218"/>
      <c r="AJF24" s="218"/>
      <c r="AJG24" s="218"/>
      <c r="AJH24" s="218"/>
      <c r="AJI24" s="218"/>
      <c r="AJJ24" s="218"/>
      <c r="AJK24" s="218"/>
      <c r="AJL24" s="218"/>
      <c r="AJM24" s="218"/>
      <c r="AJN24" s="218"/>
      <c r="AJO24" s="218"/>
      <c r="AJP24" s="218"/>
      <c r="AJQ24" s="218"/>
      <c r="AJR24" s="218"/>
      <c r="AJS24" s="218"/>
      <c r="AJT24" s="218"/>
      <c r="AJU24" s="218"/>
      <c r="AJV24" s="218"/>
      <c r="AJW24" s="218"/>
      <c r="AJX24" s="218"/>
      <c r="AJY24" s="218"/>
      <c r="AJZ24" s="218"/>
      <c r="AKA24" s="218"/>
      <c r="AKB24" s="218"/>
      <c r="AKC24" s="218"/>
      <c r="AKD24" s="218"/>
      <c r="AKE24" s="218"/>
      <c r="AKF24" s="218"/>
      <c r="AKG24" s="218"/>
      <c r="AKH24" s="218"/>
      <c r="AKI24" s="218"/>
      <c r="AKJ24" s="218"/>
      <c r="AKK24" s="218"/>
      <c r="AKL24" s="218"/>
      <c r="AKM24" s="218"/>
      <c r="AKN24" s="218"/>
      <c r="AKO24" s="218"/>
      <c r="AKP24" s="218"/>
      <c r="AKQ24" s="218"/>
      <c r="AKR24" s="218"/>
      <c r="AKS24" s="218"/>
      <c r="AKT24" s="218"/>
      <c r="AKU24" s="218"/>
      <c r="AKV24" s="218"/>
      <c r="AKW24" s="218"/>
      <c r="AKX24" s="218"/>
      <c r="AKY24" s="218"/>
      <c r="AKZ24" s="218"/>
      <c r="ALA24" s="218"/>
      <c r="ALB24" s="218"/>
      <c r="ALC24" s="218"/>
      <c r="ALD24" s="218"/>
      <c r="ALE24" s="218"/>
      <c r="ALF24" s="218"/>
      <c r="ALG24" s="218"/>
      <c r="ALH24" s="218"/>
      <c r="ALI24" s="218"/>
      <c r="ALJ24" s="218"/>
      <c r="ALK24" s="218"/>
      <c r="ALL24" s="218"/>
      <c r="ALM24" s="218"/>
      <c r="ALN24" s="218"/>
      <c r="ALO24" s="218"/>
      <c r="ALP24" s="218"/>
      <c r="ALQ24" s="218"/>
      <c r="ALR24" s="218"/>
      <c r="ALS24" s="218"/>
      <c r="ALT24" s="218"/>
      <c r="ALU24" s="218"/>
      <c r="ALV24" s="218"/>
      <c r="ALW24" s="218"/>
      <c r="ALX24" s="218"/>
      <c r="ALY24" s="218"/>
      <c r="ALZ24" s="218"/>
      <c r="AMA24" s="218"/>
      <c r="AMB24" s="218"/>
      <c r="AMC24" s="218"/>
      <c r="AMD24" s="218"/>
      <c r="AME24" s="218"/>
      <c r="AMF24" s="218"/>
      <c r="AMG24" s="218"/>
      <c r="AMH24" s="218"/>
      <c r="AMI24" s="218"/>
      <c r="AMJ24" s="218"/>
      <c r="AMK24" s="218"/>
      <c r="AML24" s="218"/>
      <c r="AMM24" s="218"/>
      <c r="AMN24" s="218"/>
      <c r="AMO24" s="218"/>
      <c r="AMP24" s="218"/>
      <c r="AMQ24" s="218"/>
      <c r="AMR24" s="218"/>
      <c r="AMS24" s="218"/>
      <c r="AMT24" s="218"/>
      <c r="AMU24" s="218"/>
      <c r="AMV24" s="218"/>
      <c r="AMW24" s="218"/>
      <c r="AMX24" s="218"/>
      <c r="AMY24" s="218"/>
      <c r="AMZ24" s="218"/>
      <c r="ANA24" s="218"/>
      <c r="ANB24" s="218"/>
      <c r="ANC24" s="218"/>
      <c r="AND24" s="218"/>
      <c r="ANE24" s="218"/>
      <c r="ANF24" s="218"/>
      <c r="ANG24" s="218"/>
      <c r="ANH24" s="218"/>
      <c r="ANI24" s="218"/>
      <c r="ANJ24" s="218"/>
      <c r="ANK24" s="218"/>
      <c r="ANL24" s="218"/>
      <c r="ANM24" s="218"/>
      <c r="ANN24" s="218"/>
      <c r="ANO24" s="218"/>
      <c r="ANP24" s="218"/>
      <c r="ANQ24" s="218"/>
      <c r="ANR24" s="218"/>
      <c r="ANS24" s="218"/>
      <c r="ANT24" s="218"/>
      <c r="ANU24" s="218"/>
      <c r="ANV24" s="218"/>
      <c r="ANW24" s="218"/>
      <c r="ANX24" s="218"/>
      <c r="ANY24" s="218"/>
      <c r="ANZ24" s="218"/>
      <c r="AOA24" s="218"/>
      <c r="AOB24" s="218"/>
      <c r="AOC24" s="218"/>
      <c r="AOD24" s="218"/>
      <c r="AOE24" s="218"/>
      <c r="AOF24" s="218"/>
      <c r="AOG24" s="218"/>
      <c r="AOH24" s="218"/>
      <c r="AOI24" s="218"/>
      <c r="AOJ24" s="218"/>
      <c r="AOK24" s="218"/>
      <c r="AOL24" s="218"/>
      <c r="AOM24" s="218"/>
      <c r="AON24" s="218"/>
      <c r="AOO24" s="218"/>
      <c r="AOP24" s="218"/>
      <c r="AOQ24" s="218"/>
      <c r="AOR24" s="218"/>
      <c r="AOS24" s="218"/>
      <c r="AOT24" s="218"/>
      <c r="AOU24" s="218"/>
      <c r="AOV24" s="218"/>
      <c r="AOW24" s="218"/>
      <c r="AOX24" s="218"/>
      <c r="AOY24" s="218"/>
      <c r="AOZ24" s="218"/>
      <c r="APA24" s="218"/>
      <c r="APB24" s="218"/>
      <c r="APC24" s="218"/>
      <c r="APD24" s="218"/>
      <c r="APE24" s="218"/>
      <c r="APF24" s="218"/>
      <c r="APG24" s="218"/>
      <c r="APH24" s="218"/>
      <c r="API24" s="218"/>
      <c r="APJ24" s="218"/>
      <c r="APK24" s="218"/>
      <c r="APL24" s="218"/>
      <c r="APM24" s="218"/>
      <c r="APN24" s="218"/>
      <c r="APO24" s="218"/>
      <c r="APP24" s="218"/>
      <c r="APQ24" s="218"/>
      <c r="APR24" s="218"/>
      <c r="APS24" s="218"/>
      <c r="APT24" s="218"/>
      <c r="APU24" s="218"/>
      <c r="APV24" s="218"/>
      <c r="APW24" s="218"/>
      <c r="APX24" s="218"/>
      <c r="APY24" s="218"/>
      <c r="APZ24" s="218"/>
      <c r="AQA24" s="218"/>
      <c r="AQB24" s="218"/>
      <c r="AQC24" s="218"/>
      <c r="AQD24" s="218"/>
      <c r="AQE24" s="218"/>
      <c r="AQF24" s="218"/>
      <c r="AQG24" s="218"/>
      <c r="AQH24" s="218"/>
      <c r="AQI24" s="218"/>
      <c r="AQJ24" s="218"/>
      <c r="AQK24" s="218"/>
      <c r="AQL24" s="218"/>
      <c r="AQM24" s="218"/>
      <c r="AQN24" s="218"/>
      <c r="AQO24" s="218"/>
      <c r="AQP24" s="218"/>
      <c r="AQQ24" s="218"/>
      <c r="AQR24" s="218"/>
      <c r="AQS24" s="218"/>
      <c r="AQT24" s="218"/>
      <c r="AQU24" s="218"/>
      <c r="AQV24" s="218"/>
      <c r="AQW24" s="218"/>
      <c r="AQX24" s="218"/>
      <c r="AQY24" s="218"/>
      <c r="AQZ24" s="218"/>
      <c r="ARA24" s="218"/>
      <c r="ARB24" s="218"/>
      <c r="ARC24" s="218"/>
      <c r="ARD24" s="218"/>
      <c r="ARE24" s="218"/>
      <c r="ARF24" s="218"/>
      <c r="ARG24" s="218"/>
      <c r="ARH24" s="218"/>
      <c r="ARI24" s="218"/>
      <c r="ARJ24" s="218"/>
      <c r="ARK24" s="218"/>
      <c r="ARL24" s="218"/>
      <c r="ARM24" s="218"/>
      <c r="ARN24" s="218"/>
      <c r="ARO24" s="218"/>
      <c r="ARP24" s="218"/>
      <c r="ARQ24" s="218"/>
      <c r="ARR24" s="218"/>
      <c r="ARS24" s="218"/>
      <c r="ART24" s="218"/>
      <c r="ARU24" s="218"/>
      <c r="ARV24" s="218"/>
      <c r="ARW24" s="218"/>
      <c r="ARX24" s="218"/>
      <c r="ARY24" s="218"/>
      <c r="ARZ24" s="218"/>
      <c r="ASA24" s="218"/>
      <c r="ASB24" s="218"/>
      <c r="ASC24" s="218"/>
      <c r="ASD24" s="218"/>
      <c r="ASE24" s="218"/>
      <c r="ASF24" s="218"/>
      <c r="ASG24" s="218"/>
      <c r="ASH24" s="218"/>
      <c r="ASI24" s="218"/>
      <c r="ASJ24" s="218"/>
      <c r="ASK24" s="218"/>
      <c r="ASL24" s="218"/>
      <c r="ASM24" s="218"/>
      <c r="ASN24" s="218"/>
      <c r="ASO24" s="218"/>
      <c r="ASP24" s="218"/>
      <c r="ASQ24" s="218"/>
      <c r="ASR24" s="218"/>
      <c r="ASS24" s="218"/>
      <c r="AST24" s="218"/>
      <c r="ASU24" s="218"/>
      <c r="ASV24" s="218"/>
      <c r="ASW24" s="218"/>
      <c r="ASX24" s="218"/>
      <c r="ASY24" s="218"/>
      <c r="ASZ24" s="218"/>
      <c r="ATA24" s="218"/>
      <c r="ATB24" s="218"/>
      <c r="ATC24" s="218"/>
      <c r="ATD24" s="218"/>
      <c r="ATE24" s="218"/>
      <c r="ATF24" s="218"/>
      <c r="ATG24" s="218"/>
      <c r="ATH24" s="218"/>
      <c r="ATI24" s="218"/>
      <c r="ATJ24" s="218"/>
      <c r="ATK24" s="218"/>
      <c r="ATL24" s="218"/>
      <c r="ATM24" s="218"/>
      <c r="ATN24" s="218"/>
      <c r="ATO24" s="218"/>
      <c r="ATP24" s="218"/>
      <c r="ATQ24" s="218"/>
      <c r="ATR24" s="218"/>
      <c r="ATS24" s="218"/>
      <c r="ATT24" s="218"/>
      <c r="ATU24" s="218"/>
      <c r="ATV24" s="218"/>
      <c r="ATW24" s="218"/>
      <c r="ATX24" s="218"/>
      <c r="ATY24" s="218"/>
      <c r="ATZ24" s="218"/>
      <c r="AUA24" s="218"/>
      <c r="AUB24" s="218"/>
      <c r="AUC24" s="218"/>
      <c r="AUD24" s="218"/>
      <c r="AUE24" s="218"/>
      <c r="AUF24" s="218"/>
      <c r="AUG24" s="218"/>
      <c r="AUH24" s="218"/>
      <c r="AUI24" s="218"/>
      <c r="AUJ24" s="218"/>
      <c r="AUK24" s="218"/>
      <c r="AUL24" s="218"/>
      <c r="AUM24" s="218"/>
      <c r="AUN24" s="218"/>
      <c r="AUO24" s="218"/>
      <c r="AUP24" s="218"/>
      <c r="AUQ24" s="218"/>
      <c r="AUR24" s="218"/>
      <c r="AUS24" s="218"/>
      <c r="AUT24" s="218"/>
      <c r="AUU24" s="218"/>
      <c r="AUV24" s="218"/>
      <c r="AUW24" s="218"/>
      <c r="AUX24" s="218"/>
      <c r="AUY24" s="218"/>
      <c r="AUZ24" s="218"/>
      <c r="AVA24" s="218"/>
      <c r="AVB24" s="218"/>
      <c r="AVC24" s="218"/>
      <c r="AVD24" s="218"/>
      <c r="AVE24" s="218"/>
      <c r="AVF24" s="218"/>
      <c r="AVG24" s="218"/>
      <c r="AVH24" s="218"/>
      <c r="AVI24" s="218"/>
      <c r="AVJ24" s="218"/>
      <c r="AVK24" s="218"/>
      <c r="AVL24" s="218"/>
      <c r="AVM24" s="218"/>
      <c r="AVN24" s="218"/>
      <c r="AVO24" s="218"/>
      <c r="AVP24" s="218"/>
      <c r="AVQ24" s="218"/>
      <c r="AVR24" s="218"/>
      <c r="AVS24" s="218"/>
      <c r="AVT24" s="218"/>
      <c r="AVU24" s="218"/>
      <c r="AVV24" s="218"/>
      <c r="AVW24" s="218"/>
      <c r="AVX24" s="218"/>
      <c r="AVY24" s="218"/>
      <c r="AVZ24" s="218"/>
      <c r="AWA24" s="218"/>
      <c r="AWB24" s="218"/>
      <c r="AWC24" s="218"/>
      <c r="AWD24" s="218"/>
      <c r="AWE24" s="218"/>
      <c r="AWF24" s="218"/>
      <c r="AWG24" s="218"/>
      <c r="AWH24" s="218"/>
      <c r="AWI24" s="218"/>
      <c r="AWJ24" s="218"/>
      <c r="AWK24" s="218"/>
      <c r="AWL24" s="218"/>
      <c r="AWM24" s="218"/>
      <c r="AWN24" s="218"/>
      <c r="AWO24" s="218"/>
      <c r="AWP24" s="218"/>
      <c r="AWQ24" s="218"/>
      <c r="AWR24" s="218"/>
      <c r="AWS24" s="218"/>
      <c r="AWT24" s="218"/>
      <c r="AWU24" s="218"/>
      <c r="AWV24" s="218"/>
      <c r="AWW24" s="218"/>
      <c r="AWX24" s="218"/>
      <c r="AWY24" s="218"/>
      <c r="AWZ24" s="218"/>
      <c r="AXA24" s="218"/>
      <c r="AXB24" s="218"/>
      <c r="AXC24" s="218"/>
      <c r="AXD24" s="218"/>
      <c r="AXE24" s="218"/>
      <c r="AXF24" s="218"/>
      <c r="AXG24" s="218"/>
      <c r="AXH24" s="218"/>
      <c r="AXI24" s="218"/>
      <c r="AXJ24" s="218"/>
      <c r="AXK24" s="218"/>
      <c r="AXL24" s="218"/>
      <c r="AXM24" s="218"/>
      <c r="AXN24" s="218"/>
      <c r="AXO24" s="218"/>
      <c r="AXP24" s="218"/>
      <c r="AXQ24" s="218"/>
      <c r="AXR24" s="218"/>
      <c r="AXS24" s="218"/>
      <c r="AXT24" s="218"/>
      <c r="AXU24" s="218"/>
      <c r="AXV24" s="218"/>
      <c r="AXW24" s="218"/>
      <c r="AXX24" s="218"/>
      <c r="AXY24" s="218"/>
      <c r="AXZ24" s="218"/>
      <c r="AYA24" s="218"/>
      <c r="AYB24" s="218"/>
      <c r="AYC24" s="218"/>
      <c r="AYD24" s="218"/>
      <c r="AYE24" s="218"/>
      <c r="AYF24" s="218"/>
      <c r="AYG24" s="218"/>
      <c r="AYH24" s="218"/>
      <c r="AYI24" s="218"/>
      <c r="AYJ24" s="218"/>
      <c r="AYK24" s="218"/>
      <c r="AYL24" s="218"/>
      <c r="AYM24" s="218"/>
      <c r="AYN24" s="218"/>
      <c r="AYO24" s="218"/>
      <c r="AYP24" s="218"/>
      <c r="AYQ24" s="218"/>
      <c r="AYR24" s="218"/>
      <c r="AYS24" s="218"/>
      <c r="AYT24" s="218"/>
      <c r="AYU24" s="218"/>
      <c r="AYV24" s="218"/>
      <c r="AYW24" s="218"/>
      <c r="AYX24" s="218"/>
      <c r="AYY24" s="218"/>
      <c r="AYZ24" s="218"/>
      <c r="AZA24" s="218"/>
      <c r="AZB24" s="218"/>
      <c r="AZC24" s="218"/>
      <c r="AZD24" s="218"/>
      <c r="AZE24" s="218"/>
      <c r="AZF24" s="218"/>
      <c r="AZG24" s="218"/>
      <c r="AZH24" s="218"/>
      <c r="AZI24" s="218"/>
      <c r="AZJ24" s="218"/>
      <c r="AZK24" s="218"/>
      <c r="AZL24" s="218"/>
      <c r="AZM24" s="218"/>
      <c r="AZN24" s="218"/>
      <c r="AZO24" s="218"/>
      <c r="AZP24" s="218"/>
      <c r="AZQ24" s="218"/>
      <c r="AZR24" s="218"/>
      <c r="AZS24" s="218"/>
      <c r="AZT24" s="218"/>
      <c r="AZU24" s="218"/>
      <c r="AZV24" s="218"/>
      <c r="AZW24" s="218"/>
      <c r="AZX24" s="218"/>
      <c r="AZY24" s="218"/>
      <c r="AZZ24" s="218"/>
      <c r="BAA24" s="218"/>
      <c r="BAB24" s="218"/>
      <c r="BAC24" s="218"/>
      <c r="BAD24" s="218"/>
      <c r="BAE24" s="218"/>
      <c r="BAF24" s="218"/>
      <c r="BAG24" s="218"/>
      <c r="BAH24" s="218"/>
      <c r="BAI24" s="218"/>
      <c r="BAJ24" s="218"/>
      <c r="BAK24" s="218"/>
      <c r="BAL24" s="218"/>
      <c r="BAM24" s="218"/>
      <c r="BAN24" s="218"/>
      <c r="BAO24" s="218"/>
      <c r="BAP24" s="218"/>
      <c r="BAQ24" s="218"/>
      <c r="BAR24" s="218"/>
      <c r="BAS24" s="218"/>
      <c r="BAT24" s="218"/>
      <c r="BAU24" s="218"/>
      <c r="BAV24" s="218"/>
      <c r="BAW24" s="218"/>
      <c r="BAX24" s="218"/>
      <c r="BAY24" s="218"/>
      <c r="BAZ24" s="218"/>
      <c r="BBA24" s="218"/>
      <c r="BBB24" s="218"/>
      <c r="BBC24" s="218"/>
      <c r="BBD24" s="218"/>
      <c r="BBE24" s="218"/>
      <c r="BBF24" s="218"/>
      <c r="BBG24" s="218"/>
      <c r="BBH24" s="218"/>
      <c r="BBI24" s="218"/>
      <c r="BBJ24" s="218"/>
      <c r="BBK24" s="218"/>
      <c r="BBL24" s="218"/>
      <c r="BBM24" s="218"/>
      <c r="BBN24" s="218"/>
      <c r="BBO24" s="218"/>
      <c r="BBP24" s="218"/>
      <c r="BBQ24" s="218"/>
      <c r="BBR24" s="218"/>
      <c r="BBS24" s="218"/>
      <c r="BBT24" s="218"/>
      <c r="BBU24" s="218"/>
      <c r="BBV24" s="218"/>
      <c r="BBW24" s="218"/>
      <c r="BBX24" s="218"/>
      <c r="BBY24" s="218"/>
      <c r="BBZ24" s="218"/>
      <c r="BCA24" s="218"/>
      <c r="BCB24" s="218"/>
      <c r="BCC24" s="218"/>
      <c r="BCD24" s="218"/>
      <c r="BCE24" s="218"/>
      <c r="BCF24" s="218"/>
      <c r="BCG24" s="218"/>
      <c r="BCH24" s="218"/>
      <c r="BCI24" s="218"/>
      <c r="BCJ24" s="218"/>
      <c r="BCK24" s="218"/>
      <c r="BCL24" s="218"/>
      <c r="BCM24" s="218"/>
      <c r="BCN24" s="218"/>
      <c r="BCO24" s="218"/>
      <c r="BCP24" s="218"/>
      <c r="BCQ24" s="218"/>
      <c r="BCR24" s="218"/>
      <c r="BCS24" s="218"/>
      <c r="BCT24" s="218"/>
      <c r="BCU24" s="218"/>
      <c r="BCV24" s="218"/>
      <c r="BCW24" s="218"/>
      <c r="BCX24" s="218"/>
      <c r="BCY24" s="218"/>
      <c r="BCZ24" s="218"/>
      <c r="BDA24" s="218"/>
      <c r="BDB24" s="218"/>
      <c r="BDC24" s="218"/>
      <c r="BDD24" s="218"/>
      <c r="BDE24" s="218"/>
      <c r="BDF24" s="218"/>
      <c r="BDG24" s="218"/>
      <c r="BDH24" s="218"/>
      <c r="BDI24" s="218"/>
      <c r="BDJ24" s="218"/>
      <c r="BDK24" s="218"/>
      <c r="BDL24" s="218"/>
      <c r="BDM24" s="218"/>
      <c r="BDN24" s="218"/>
      <c r="BDO24" s="218"/>
      <c r="BDP24" s="218"/>
      <c r="BDQ24" s="218"/>
      <c r="BDR24" s="218"/>
      <c r="BDS24" s="218"/>
      <c r="BDT24" s="218"/>
      <c r="BDU24" s="218"/>
      <c r="BDV24" s="218"/>
      <c r="BDW24" s="218"/>
      <c r="BDX24" s="218"/>
      <c r="BDY24" s="218"/>
      <c r="BDZ24" s="218"/>
      <c r="BEA24" s="218"/>
      <c r="BEB24" s="218"/>
      <c r="BEC24" s="218"/>
      <c r="BED24" s="218"/>
      <c r="BEE24" s="218"/>
      <c r="BEF24" s="218"/>
      <c r="BEG24" s="218"/>
      <c r="BEH24" s="218"/>
      <c r="BEI24" s="218"/>
      <c r="BEJ24" s="218"/>
      <c r="BEK24" s="218"/>
      <c r="BEL24" s="218"/>
      <c r="BEM24" s="218"/>
      <c r="BEN24" s="218"/>
      <c r="BEO24" s="218"/>
      <c r="BEP24" s="218"/>
      <c r="BEQ24" s="218"/>
      <c r="BER24" s="218"/>
      <c r="BES24" s="218"/>
      <c r="BET24" s="218"/>
      <c r="BEU24" s="218"/>
      <c r="BEV24" s="218"/>
      <c r="BEW24" s="218"/>
      <c r="BEX24" s="218"/>
      <c r="BEY24" s="218"/>
      <c r="BEZ24" s="218"/>
      <c r="BFA24" s="218"/>
      <c r="BFB24" s="218"/>
      <c r="BFC24" s="218"/>
      <c r="BFD24" s="218"/>
      <c r="BFE24" s="218"/>
      <c r="BFF24" s="218"/>
      <c r="BFG24" s="218"/>
      <c r="BFH24" s="218"/>
      <c r="BFI24" s="218"/>
      <c r="BFJ24" s="218"/>
      <c r="BFK24" s="218"/>
      <c r="BFL24" s="218"/>
      <c r="BFM24" s="218"/>
      <c r="BFN24" s="218"/>
      <c r="BFO24" s="218"/>
      <c r="BFP24" s="218"/>
      <c r="BFQ24" s="218"/>
      <c r="BFR24" s="218"/>
      <c r="BFS24" s="218"/>
      <c r="BFT24" s="218"/>
      <c r="BFU24" s="218"/>
      <c r="BFV24" s="218"/>
      <c r="BFW24" s="218"/>
      <c r="BFX24" s="218"/>
      <c r="BFY24" s="218"/>
      <c r="BFZ24" s="218"/>
      <c r="BGA24" s="218"/>
      <c r="BGB24" s="218"/>
      <c r="BGC24" s="218"/>
      <c r="BGD24" s="218"/>
      <c r="BGE24" s="218"/>
      <c r="BGF24" s="218"/>
      <c r="BGG24" s="218"/>
      <c r="BGH24" s="218"/>
      <c r="BGI24" s="218"/>
      <c r="BGJ24" s="218"/>
      <c r="BGK24" s="218"/>
      <c r="BGL24" s="218"/>
      <c r="BGM24" s="218"/>
      <c r="BGN24" s="218"/>
      <c r="BGO24" s="218"/>
      <c r="BGP24" s="218"/>
      <c r="BGQ24" s="218"/>
      <c r="BGR24" s="218"/>
      <c r="BGS24" s="218"/>
      <c r="BGT24" s="218"/>
      <c r="BGU24" s="218"/>
      <c r="BGV24" s="218"/>
      <c r="BGW24" s="218"/>
      <c r="BGX24" s="218"/>
      <c r="BGY24" s="218"/>
      <c r="BGZ24" s="218"/>
      <c r="BHA24" s="218"/>
      <c r="BHB24" s="218"/>
      <c r="BHC24" s="218"/>
      <c r="BHD24" s="218"/>
      <c r="BHE24" s="218"/>
      <c r="BHF24" s="218"/>
      <c r="BHG24" s="218"/>
      <c r="BHH24" s="218"/>
      <c r="BHI24" s="218"/>
      <c r="BHJ24" s="218"/>
      <c r="BHK24" s="218"/>
      <c r="BHL24" s="218"/>
      <c r="BHM24" s="218"/>
      <c r="BHN24" s="218"/>
      <c r="BHO24" s="218"/>
      <c r="BHP24" s="218"/>
      <c r="BHQ24" s="218"/>
      <c r="BHR24" s="218"/>
      <c r="BHS24" s="218"/>
      <c r="BHT24" s="218"/>
      <c r="BHU24" s="218"/>
      <c r="BHV24" s="218"/>
      <c r="BHW24" s="218"/>
      <c r="BHX24" s="218"/>
      <c r="BHY24" s="218"/>
      <c r="BHZ24" s="218"/>
      <c r="BIA24" s="218"/>
      <c r="BIB24" s="218"/>
      <c r="BIC24" s="218"/>
      <c r="BID24" s="218"/>
      <c r="BIE24" s="218"/>
      <c r="BIF24" s="218"/>
      <c r="BIG24" s="218"/>
      <c r="BIH24" s="218"/>
      <c r="BII24" s="218"/>
      <c r="BIJ24" s="218"/>
      <c r="BIK24" s="218"/>
      <c r="BIL24" s="218"/>
      <c r="BIM24" s="218"/>
      <c r="BIN24" s="218"/>
      <c r="BIO24" s="218"/>
      <c r="BIP24" s="218"/>
      <c r="BIQ24" s="218"/>
      <c r="BIR24" s="218"/>
      <c r="BIS24" s="218"/>
      <c r="BIT24" s="218"/>
      <c r="BIU24" s="218"/>
      <c r="BIV24" s="218"/>
      <c r="BIW24" s="218"/>
      <c r="BIX24" s="218"/>
      <c r="BIY24" s="218"/>
      <c r="BIZ24" s="218"/>
      <c r="BJA24" s="218"/>
      <c r="BJB24" s="218"/>
      <c r="BJC24" s="218"/>
      <c r="BJD24" s="218"/>
      <c r="BJE24" s="218"/>
      <c r="BJF24" s="218"/>
      <c r="BJG24" s="218"/>
      <c r="BJH24" s="218"/>
      <c r="BJI24" s="218"/>
      <c r="BJJ24" s="218"/>
      <c r="BJK24" s="218"/>
      <c r="BJL24" s="218"/>
      <c r="BJM24" s="218"/>
      <c r="BJN24" s="218"/>
      <c r="BJO24" s="218"/>
      <c r="BJP24" s="218"/>
      <c r="BJQ24" s="218"/>
      <c r="BJR24" s="218"/>
      <c r="BJS24" s="218"/>
      <c r="BJT24" s="218"/>
      <c r="BJU24" s="218"/>
      <c r="BJV24" s="218"/>
      <c r="BJW24" s="218"/>
      <c r="BJX24" s="218"/>
      <c r="BJY24" s="218"/>
      <c r="BJZ24" s="218"/>
      <c r="BKA24" s="218"/>
      <c r="BKB24" s="218"/>
      <c r="BKC24" s="218"/>
      <c r="BKD24" s="218"/>
      <c r="BKE24" s="218"/>
      <c r="BKF24" s="218"/>
      <c r="BKG24" s="218"/>
      <c r="BKH24" s="218"/>
      <c r="BKI24" s="218"/>
      <c r="BKJ24" s="218"/>
      <c r="BKK24" s="218"/>
      <c r="BKL24" s="218"/>
      <c r="BKM24" s="218"/>
      <c r="BKN24" s="218"/>
      <c r="BKO24" s="218"/>
      <c r="BKP24" s="218"/>
      <c r="BKQ24" s="218"/>
      <c r="BKR24" s="218"/>
      <c r="BKS24" s="218"/>
      <c r="BKT24" s="218"/>
      <c r="BKU24" s="218"/>
      <c r="BKV24" s="218"/>
      <c r="BKW24" s="218"/>
      <c r="BKX24" s="218"/>
      <c r="BKY24" s="218"/>
      <c r="BKZ24" s="218"/>
      <c r="BLA24" s="218"/>
      <c r="BLB24" s="218"/>
      <c r="BLC24" s="218"/>
      <c r="BLD24" s="218"/>
      <c r="BLE24" s="218"/>
      <c r="BLF24" s="218"/>
      <c r="BLG24" s="218"/>
      <c r="BLH24" s="218"/>
      <c r="BLI24" s="218"/>
      <c r="BLJ24" s="218"/>
      <c r="BLK24" s="218"/>
      <c r="BLL24" s="218"/>
      <c r="BLM24" s="218"/>
      <c r="BLN24" s="218"/>
      <c r="BLO24" s="218"/>
      <c r="BLP24" s="218"/>
      <c r="BLQ24" s="218"/>
      <c r="BLR24" s="218"/>
      <c r="BLS24" s="218"/>
      <c r="BLT24" s="218"/>
      <c r="BLU24" s="218"/>
      <c r="BLV24" s="218"/>
      <c r="BLW24" s="218"/>
      <c r="BLX24" s="218"/>
      <c r="BLY24" s="218"/>
      <c r="BLZ24" s="218"/>
      <c r="BMA24" s="218"/>
      <c r="BMB24" s="218"/>
      <c r="BMC24" s="218"/>
      <c r="BMD24" s="218"/>
      <c r="BME24" s="218"/>
      <c r="BMF24" s="218"/>
      <c r="BMG24" s="218"/>
      <c r="BMH24" s="218"/>
      <c r="BMI24" s="218"/>
      <c r="BMJ24" s="218"/>
      <c r="BMK24" s="218"/>
      <c r="BML24" s="218"/>
      <c r="BMM24" s="218"/>
      <c r="BMN24" s="218"/>
      <c r="BMO24" s="218"/>
      <c r="BMP24" s="218"/>
      <c r="BMQ24" s="218"/>
      <c r="BMR24" s="218"/>
      <c r="BMS24" s="218"/>
      <c r="BMT24" s="218"/>
      <c r="BMU24" s="218"/>
      <c r="BMV24" s="218"/>
      <c r="BMW24" s="218"/>
      <c r="BMX24" s="218"/>
      <c r="BMY24" s="218"/>
      <c r="BMZ24" s="218"/>
      <c r="BNA24" s="218"/>
      <c r="BNB24" s="218"/>
      <c r="BNC24" s="218"/>
      <c r="BND24" s="218"/>
      <c r="BNE24" s="218"/>
      <c r="BNF24" s="218"/>
      <c r="BNG24" s="218"/>
      <c r="BNH24" s="218"/>
      <c r="BNI24" s="218"/>
      <c r="BNJ24" s="218"/>
      <c r="BNK24" s="218"/>
      <c r="BNL24" s="218"/>
      <c r="BNM24" s="218"/>
      <c r="BNN24" s="218"/>
      <c r="BNO24" s="218"/>
      <c r="BNP24" s="218"/>
      <c r="BNQ24" s="218"/>
      <c r="BNR24" s="218"/>
      <c r="BNS24" s="218"/>
      <c r="BNT24" s="218"/>
      <c r="BNU24" s="218"/>
      <c r="BNV24" s="218"/>
      <c r="BNW24" s="218"/>
      <c r="BNX24" s="218"/>
      <c r="BNY24" s="218"/>
      <c r="BNZ24" s="218"/>
      <c r="BOA24" s="218"/>
      <c r="BOB24" s="218"/>
      <c r="BOC24" s="218"/>
      <c r="BOD24" s="218"/>
      <c r="BOE24" s="218"/>
      <c r="BOF24" s="218"/>
      <c r="BOG24" s="218"/>
      <c r="BOH24" s="218"/>
      <c r="BOI24" s="218"/>
      <c r="BOJ24" s="218"/>
      <c r="BOK24" s="218"/>
      <c r="BOL24" s="218"/>
      <c r="BOM24" s="218"/>
      <c r="BON24" s="218"/>
      <c r="BOO24" s="218"/>
      <c r="BOP24" s="218"/>
      <c r="BOQ24" s="218"/>
      <c r="BOR24" s="218"/>
      <c r="BOS24" s="218"/>
      <c r="BOT24" s="218"/>
      <c r="BOU24" s="218"/>
      <c r="BOV24" s="218"/>
      <c r="BOW24" s="218"/>
      <c r="BOX24" s="218"/>
      <c r="BOY24" s="218"/>
      <c r="BOZ24" s="218"/>
      <c r="BPA24" s="218"/>
      <c r="BPB24" s="218"/>
      <c r="BPC24" s="218"/>
      <c r="BPD24" s="218"/>
      <c r="BPE24" s="218"/>
      <c r="BPF24" s="218"/>
      <c r="BPG24" s="218"/>
      <c r="BPH24" s="218"/>
      <c r="BPI24" s="218"/>
      <c r="BPJ24" s="218"/>
      <c r="BPK24" s="218"/>
      <c r="BPL24" s="218"/>
      <c r="BPM24" s="218"/>
      <c r="BPN24" s="218"/>
      <c r="BPO24" s="218"/>
      <c r="BPP24" s="218"/>
      <c r="BPQ24" s="218"/>
      <c r="BPR24" s="218"/>
      <c r="BPS24" s="218"/>
      <c r="BPT24" s="218"/>
      <c r="BPU24" s="218"/>
      <c r="BPV24" s="218"/>
      <c r="BPW24" s="218"/>
      <c r="BPX24" s="218"/>
      <c r="BPY24" s="218"/>
      <c r="BPZ24" s="218"/>
      <c r="BQA24" s="218"/>
      <c r="BQB24" s="218"/>
      <c r="BQC24" s="218"/>
      <c r="BQD24" s="218"/>
      <c r="BQE24" s="218"/>
      <c r="BQF24" s="218"/>
      <c r="BQG24" s="218"/>
      <c r="BQH24" s="218"/>
      <c r="BQI24" s="218"/>
      <c r="BQJ24" s="218"/>
      <c r="BQK24" s="218"/>
      <c r="BQL24" s="218"/>
      <c r="BQM24" s="218"/>
      <c r="BQN24" s="218"/>
      <c r="BQO24" s="218"/>
      <c r="BQP24" s="218"/>
      <c r="BQQ24" s="218"/>
      <c r="BQR24" s="218"/>
      <c r="BQS24" s="218"/>
      <c r="BQT24" s="218"/>
      <c r="BQU24" s="218"/>
      <c r="BQV24" s="218"/>
      <c r="BQW24" s="218"/>
      <c r="BQX24" s="218"/>
      <c r="BQY24" s="218"/>
      <c r="BQZ24" s="218"/>
      <c r="BRA24" s="218"/>
      <c r="BRB24" s="218"/>
      <c r="BRC24" s="218"/>
      <c r="BRD24" s="218"/>
      <c r="BRE24" s="218"/>
      <c r="BRF24" s="218"/>
      <c r="BRG24" s="218"/>
      <c r="BRH24" s="218"/>
      <c r="BRI24" s="218"/>
      <c r="BRJ24" s="218"/>
      <c r="BRK24" s="218"/>
      <c r="BRL24" s="218"/>
      <c r="BRM24" s="218"/>
      <c r="BRN24" s="218"/>
      <c r="BRO24" s="218"/>
      <c r="BRP24" s="218"/>
      <c r="BRQ24" s="218"/>
      <c r="BRR24" s="218"/>
      <c r="BRS24" s="218"/>
      <c r="BRT24" s="218"/>
      <c r="BRU24" s="218"/>
      <c r="BRV24" s="218"/>
      <c r="BRW24" s="218"/>
      <c r="BRX24" s="218"/>
      <c r="BRY24" s="218"/>
      <c r="BRZ24" s="218"/>
      <c r="BSA24" s="218"/>
      <c r="BSB24" s="218"/>
      <c r="BSC24" s="218"/>
      <c r="BSD24" s="218"/>
      <c r="BSE24" s="218"/>
      <c r="BSF24" s="218"/>
      <c r="BSG24" s="218"/>
      <c r="BSH24" s="218"/>
      <c r="BSI24" s="218"/>
      <c r="BSJ24" s="218"/>
      <c r="BSK24" s="218"/>
      <c r="BSL24" s="218"/>
      <c r="BSM24" s="218"/>
      <c r="BSN24" s="218"/>
      <c r="BSO24" s="218"/>
      <c r="BSP24" s="218"/>
      <c r="BSQ24" s="218"/>
      <c r="BSR24" s="218"/>
      <c r="BSS24" s="218"/>
      <c r="BST24" s="218"/>
      <c r="BSU24" s="218"/>
      <c r="BSV24" s="218"/>
      <c r="BSW24" s="218"/>
      <c r="BSX24" s="218"/>
      <c r="BSY24" s="218"/>
      <c r="BSZ24" s="218"/>
      <c r="BTA24" s="218"/>
      <c r="BTB24" s="218"/>
      <c r="BTC24" s="218"/>
      <c r="BTD24" s="218"/>
      <c r="BTE24" s="218"/>
      <c r="BTF24" s="218"/>
      <c r="BTG24" s="218"/>
      <c r="BTH24" s="218"/>
      <c r="BTI24" s="218"/>
      <c r="BTJ24" s="218"/>
      <c r="BTK24" s="218"/>
      <c r="BTL24" s="218"/>
      <c r="BTM24" s="218"/>
      <c r="BTN24" s="218"/>
      <c r="BTO24" s="218"/>
      <c r="BTP24" s="218"/>
      <c r="BTQ24" s="218"/>
      <c r="BTR24" s="218"/>
      <c r="BTS24" s="218"/>
      <c r="BTT24" s="218"/>
      <c r="BTU24" s="218"/>
      <c r="BTV24" s="218"/>
      <c r="BTW24" s="218"/>
      <c r="BTX24" s="218"/>
      <c r="BTY24" s="218"/>
      <c r="BTZ24" s="218"/>
      <c r="BUA24" s="218"/>
      <c r="BUB24" s="218"/>
      <c r="BUC24" s="218"/>
      <c r="BUD24" s="218"/>
      <c r="BUE24" s="218"/>
      <c r="BUF24" s="218"/>
      <c r="BUG24" s="218"/>
      <c r="BUH24" s="218"/>
      <c r="BUI24" s="218"/>
      <c r="BUJ24" s="218"/>
      <c r="BUK24" s="218"/>
      <c r="BUL24" s="218"/>
      <c r="BUM24" s="218"/>
      <c r="BUN24" s="218"/>
      <c r="BUO24" s="218"/>
      <c r="BUP24" s="218"/>
      <c r="BUQ24" s="218"/>
      <c r="BUR24" s="218"/>
      <c r="BUS24" s="218"/>
      <c r="BUT24" s="218"/>
      <c r="BUU24" s="218"/>
      <c r="BUV24" s="218"/>
      <c r="BUW24" s="218"/>
      <c r="BUX24" s="218"/>
      <c r="BUY24" s="218"/>
      <c r="BUZ24" s="218"/>
      <c r="BVA24" s="218"/>
      <c r="BVB24" s="218"/>
      <c r="BVC24" s="218"/>
      <c r="BVD24" s="218"/>
      <c r="BVE24" s="218"/>
      <c r="BVF24" s="218"/>
      <c r="BVG24" s="218"/>
      <c r="BVH24" s="218"/>
      <c r="BVI24" s="218"/>
      <c r="BVJ24" s="218"/>
      <c r="BVK24" s="218"/>
      <c r="BVL24" s="218"/>
      <c r="BVM24" s="218"/>
      <c r="BVN24" s="218"/>
      <c r="BVO24" s="218"/>
      <c r="BVP24" s="218"/>
      <c r="BVQ24" s="218"/>
      <c r="BVR24" s="218"/>
      <c r="BVS24" s="218"/>
      <c r="BVT24" s="218"/>
      <c r="BVU24" s="218"/>
      <c r="BVV24" s="218"/>
      <c r="BVW24" s="218"/>
      <c r="BVX24" s="218"/>
      <c r="BVY24" s="218"/>
      <c r="BVZ24" s="218"/>
      <c r="BWA24" s="218"/>
      <c r="BWB24" s="218"/>
      <c r="BWC24" s="218"/>
      <c r="BWD24" s="218"/>
      <c r="BWE24" s="218"/>
      <c r="BWF24" s="218"/>
      <c r="BWG24" s="218"/>
      <c r="BWH24" s="218"/>
      <c r="BWI24" s="218"/>
      <c r="BWJ24" s="218"/>
      <c r="BWK24" s="218"/>
      <c r="BWL24" s="218"/>
      <c r="BWM24" s="218"/>
      <c r="BWN24" s="218"/>
      <c r="BWO24" s="218"/>
      <c r="BWP24" s="218"/>
      <c r="BWQ24" s="218"/>
      <c r="BWR24" s="218"/>
      <c r="BWS24" s="218"/>
      <c r="BWT24" s="218"/>
      <c r="BWU24" s="218"/>
      <c r="BWV24" s="218"/>
      <c r="BWW24" s="218"/>
      <c r="BWX24" s="218"/>
      <c r="BWY24" s="218"/>
      <c r="BWZ24" s="218"/>
      <c r="BXA24" s="218"/>
      <c r="BXB24" s="218"/>
      <c r="BXC24" s="218"/>
      <c r="BXD24" s="218"/>
      <c r="BXE24" s="218"/>
      <c r="BXF24" s="218"/>
      <c r="BXG24" s="218"/>
      <c r="BXH24" s="218"/>
      <c r="BXI24" s="218"/>
      <c r="BXJ24" s="218"/>
      <c r="BXK24" s="218"/>
      <c r="BXL24" s="218"/>
      <c r="BXM24" s="218"/>
      <c r="BXN24" s="218"/>
      <c r="BXO24" s="218"/>
      <c r="BXP24" s="218"/>
      <c r="BXQ24" s="218"/>
      <c r="BXR24" s="218"/>
      <c r="BXS24" s="218"/>
      <c r="BXT24" s="218"/>
      <c r="BXU24" s="218"/>
      <c r="BXV24" s="218"/>
      <c r="BXW24" s="218"/>
      <c r="BXX24" s="218"/>
      <c r="BXY24" s="218"/>
      <c r="BXZ24" s="218"/>
      <c r="BYA24" s="218"/>
      <c r="BYB24" s="218"/>
      <c r="BYC24" s="218"/>
      <c r="BYD24" s="218"/>
      <c r="BYE24" s="218"/>
      <c r="BYF24" s="218"/>
      <c r="BYG24" s="218"/>
      <c r="BYH24" s="218"/>
      <c r="BYI24" s="218"/>
      <c r="BYJ24" s="218"/>
      <c r="BYK24" s="218"/>
      <c r="BYL24" s="218"/>
      <c r="BYM24" s="218"/>
      <c r="BYN24" s="218"/>
      <c r="BYO24" s="218"/>
      <c r="BYP24" s="218"/>
      <c r="BYQ24" s="218"/>
      <c r="BYR24" s="218"/>
      <c r="BYS24" s="218"/>
      <c r="BYT24" s="218"/>
      <c r="BYU24" s="218"/>
      <c r="BYV24" s="218"/>
      <c r="BYW24" s="218"/>
      <c r="BYX24" s="218"/>
      <c r="BYY24" s="218"/>
      <c r="BYZ24" s="218"/>
      <c r="BZA24" s="218"/>
      <c r="BZB24" s="218"/>
      <c r="BZC24" s="218"/>
      <c r="BZD24" s="218"/>
      <c r="BZE24" s="218"/>
      <c r="BZF24" s="218"/>
      <c r="BZG24" s="218"/>
      <c r="BZH24" s="218"/>
      <c r="BZI24" s="218"/>
      <c r="BZJ24" s="218"/>
      <c r="BZK24" s="218"/>
      <c r="BZL24" s="218"/>
      <c r="BZM24" s="218"/>
      <c r="BZN24" s="218"/>
      <c r="BZO24" s="218"/>
      <c r="BZP24" s="218"/>
      <c r="BZQ24" s="218"/>
      <c r="BZR24" s="218"/>
      <c r="BZS24" s="218"/>
      <c r="BZT24" s="218"/>
      <c r="BZU24" s="218"/>
      <c r="BZV24" s="218"/>
      <c r="BZW24" s="218"/>
      <c r="BZX24" s="218"/>
      <c r="BZY24" s="218"/>
      <c r="BZZ24" s="218"/>
      <c r="CAA24" s="218"/>
      <c r="CAB24" s="218"/>
      <c r="CAC24" s="218"/>
      <c r="CAD24" s="218"/>
      <c r="CAE24" s="218"/>
      <c r="CAF24" s="218"/>
      <c r="CAG24" s="218"/>
      <c r="CAH24" s="218"/>
      <c r="CAI24" s="218"/>
      <c r="CAJ24" s="218"/>
      <c r="CAK24" s="218"/>
      <c r="CAL24" s="218"/>
      <c r="CAM24" s="218"/>
      <c r="CAN24" s="218"/>
      <c r="CAO24" s="218"/>
      <c r="CAP24" s="218"/>
      <c r="CAQ24" s="218"/>
      <c r="CAR24" s="218"/>
      <c r="CAS24" s="218"/>
      <c r="CAT24" s="218"/>
      <c r="CAU24" s="218"/>
      <c r="CAV24" s="218"/>
      <c r="CAW24" s="218"/>
      <c r="CAX24" s="218"/>
      <c r="CAY24" s="218"/>
      <c r="CAZ24" s="218"/>
      <c r="CBA24" s="218"/>
      <c r="CBB24" s="218"/>
      <c r="CBC24" s="218"/>
      <c r="CBD24" s="218"/>
      <c r="CBE24" s="218"/>
      <c r="CBF24" s="218"/>
      <c r="CBG24" s="218"/>
      <c r="CBH24" s="218"/>
      <c r="CBI24" s="218"/>
      <c r="CBJ24" s="218"/>
      <c r="CBK24" s="218"/>
      <c r="CBL24" s="218"/>
      <c r="CBM24" s="218"/>
      <c r="CBN24" s="218"/>
      <c r="CBO24" s="218"/>
      <c r="CBP24" s="218"/>
      <c r="CBQ24" s="218"/>
      <c r="CBR24" s="218"/>
      <c r="CBS24" s="218"/>
      <c r="CBT24" s="218"/>
      <c r="CBU24" s="218"/>
      <c r="CBV24" s="218"/>
      <c r="CBW24" s="218"/>
      <c r="CBX24" s="218"/>
      <c r="CBY24" s="218"/>
      <c r="CBZ24" s="218"/>
      <c r="CCA24" s="218"/>
      <c r="CCB24" s="218"/>
      <c r="CCC24" s="218"/>
      <c r="CCD24" s="218"/>
      <c r="CCE24" s="218"/>
      <c r="CCF24" s="218"/>
      <c r="CCG24" s="218"/>
      <c r="CCH24" s="218"/>
      <c r="CCI24" s="218"/>
      <c r="CCJ24" s="218"/>
      <c r="CCK24" s="218"/>
      <c r="CCL24" s="218"/>
      <c r="CCM24" s="218"/>
      <c r="CCN24" s="218"/>
      <c r="CCO24" s="218"/>
      <c r="CCP24" s="218"/>
      <c r="CCQ24" s="218"/>
      <c r="CCR24" s="218"/>
      <c r="CCS24" s="218"/>
      <c r="CCT24" s="218"/>
      <c r="CCU24" s="218"/>
      <c r="CCV24" s="218"/>
      <c r="CCW24" s="218"/>
      <c r="CCX24" s="218"/>
      <c r="CCY24" s="218"/>
      <c r="CCZ24" s="218"/>
      <c r="CDA24" s="218"/>
      <c r="CDB24" s="218"/>
      <c r="CDC24" s="218"/>
      <c r="CDD24" s="218"/>
      <c r="CDE24" s="218"/>
      <c r="CDF24" s="218"/>
      <c r="CDG24" s="218"/>
      <c r="CDH24" s="218"/>
      <c r="CDI24" s="218"/>
      <c r="CDJ24" s="218"/>
      <c r="CDK24" s="218"/>
      <c r="CDL24" s="218"/>
      <c r="CDM24" s="218"/>
      <c r="CDN24" s="218"/>
      <c r="CDO24" s="218"/>
      <c r="CDP24" s="218"/>
      <c r="CDQ24" s="218"/>
      <c r="CDR24" s="218"/>
      <c r="CDS24" s="218"/>
      <c r="CDT24" s="218"/>
      <c r="CDU24" s="218"/>
      <c r="CDV24" s="218"/>
      <c r="CDW24" s="218"/>
      <c r="CDX24" s="218"/>
      <c r="CDY24" s="218"/>
      <c r="CDZ24" s="218"/>
      <c r="CEA24" s="218"/>
      <c r="CEB24" s="218"/>
      <c r="CEC24" s="218"/>
      <c r="CED24" s="218"/>
      <c r="CEE24" s="218"/>
      <c r="CEF24" s="218"/>
      <c r="CEG24" s="218"/>
      <c r="CEH24" s="218"/>
      <c r="CEI24" s="218"/>
      <c r="CEJ24" s="218"/>
      <c r="CEK24" s="218"/>
      <c r="CEL24" s="218"/>
      <c r="CEM24" s="218"/>
      <c r="CEN24" s="218"/>
      <c r="CEO24" s="218"/>
      <c r="CEP24" s="218"/>
      <c r="CEQ24" s="218"/>
      <c r="CER24" s="218"/>
      <c r="CES24" s="218"/>
      <c r="CET24" s="218"/>
      <c r="CEU24" s="218"/>
      <c r="CEV24" s="218"/>
      <c r="CEW24" s="218"/>
      <c r="CEX24" s="218"/>
      <c r="CEY24" s="218"/>
      <c r="CEZ24" s="218"/>
      <c r="CFA24" s="218"/>
      <c r="CFB24" s="218"/>
      <c r="CFC24" s="218"/>
      <c r="CFD24" s="218"/>
      <c r="CFE24" s="218"/>
      <c r="CFF24" s="218"/>
      <c r="CFG24" s="218"/>
      <c r="CFH24" s="218"/>
      <c r="CFI24" s="218"/>
      <c r="CFJ24" s="218"/>
      <c r="CFK24" s="218"/>
      <c r="CFL24" s="218"/>
      <c r="CFM24" s="218"/>
      <c r="CFN24" s="218"/>
      <c r="CFO24" s="218"/>
      <c r="CFP24" s="218"/>
      <c r="CFQ24" s="218"/>
      <c r="CFR24" s="218"/>
      <c r="CFS24" s="218"/>
      <c r="CFT24" s="218"/>
      <c r="CFU24" s="218"/>
      <c r="CFV24" s="218"/>
      <c r="CFW24" s="218"/>
      <c r="CFX24" s="218"/>
      <c r="CFY24" s="218"/>
      <c r="CFZ24" s="218"/>
      <c r="CGA24" s="218"/>
      <c r="CGB24" s="218"/>
      <c r="CGC24" s="218"/>
      <c r="CGD24" s="218"/>
      <c r="CGE24" s="218"/>
      <c r="CGF24" s="218"/>
      <c r="CGG24" s="218"/>
      <c r="CGH24" s="218"/>
      <c r="CGI24" s="218"/>
      <c r="CGJ24" s="218"/>
      <c r="CGK24" s="218"/>
      <c r="CGL24" s="218"/>
      <c r="CGM24" s="218"/>
      <c r="CGN24" s="218"/>
      <c r="CGO24" s="218"/>
      <c r="CGP24" s="218"/>
      <c r="CGQ24" s="218"/>
      <c r="CGR24" s="218"/>
      <c r="CGS24" s="218"/>
      <c r="CGT24" s="218"/>
      <c r="CGU24" s="218"/>
      <c r="CGV24" s="218"/>
      <c r="CGW24" s="218"/>
      <c r="CGX24" s="218"/>
      <c r="CGY24" s="218"/>
      <c r="CGZ24" s="218"/>
      <c r="CHA24" s="218"/>
      <c r="CHB24" s="218"/>
      <c r="CHC24" s="218"/>
      <c r="CHD24" s="218"/>
      <c r="CHE24" s="218"/>
      <c r="CHF24" s="218"/>
      <c r="CHG24" s="218"/>
      <c r="CHH24" s="218"/>
      <c r="CHI24" s="218"/>
      <c r="CHJ24" s="218"/>
      <c r="CHK24" s="218"/>
      <c r="CHL24" s="218"/>
      <c r="CHM24" s="218"/>
      <c r="CHN24" s="218"/>
      <c r="CHO24" s="218"/>
      <c r="CHP24" s="218"/>
      <c r="CHQ24" s="218"/>
      <c r="CHR24" s="218"/>
      <c r="CHS24" s="218"/>
      <c r="CHT24" s="218"/>
      <c r="CHU24" s="218"/>
      <c r="CHV24" s="218"/>
      <c r="CHW24" s="218"/>
      <c r="CHX24" s="218"/>
      <c r="CHY24" s="218"/>
      <c r="CHZ24" s="218"/>
      <c r="CIA24" s="218"/>
      <c r="CIB24" s="218"/>
      <c r="CIC24" s="218"/>
      <c r="CID24" s="218"/>
      <c r="CIE24" s="218"/>
      <c r="CIF24" s="218"/>
      <c r="CIG24" s="218"/>
      <c r="CIH24" s="218"/>
      <c r="CII24" s="218"/>
      <c r="CIJ24" s="218"/>
      <c r="CIK24" s="218"/>
      <c r="CIL24" s="218"/>
      <c r="CIM24" s="218"/>
      <c r="CIN24" s="218"/>
      <c r="CIO24" s="218"/>
      <c r="CIP24" s="218"/>
      <c r="CIQ24" s="218"/>
      <c r="CIR24" s="218"/>
      <c r="CIS24" s="218"/>
      <c r="CIT24" s="218"/>
      <c r="CIU24" s="218"/>
      <c r="CIV24" s="218"/>
      <c r="CIW24" s="218"/>
      <c r="CIX24" s="218"/>
      <c r="CIY24" s="218"/>
      <c r="CIZ24" s="218"/>
      <c r="CJA24" s="218"/>
      <c r="CJB24" s="218"/>
      <c r="CJC24" s="218"/>
      <c r="CJD24" s="218"/>
      <c r="CJE24" s="218"/>
      <c r="CJF24" s="218"/>
      <c r="CJG24" s="218"/>
      <c r="CJH24" s="218"/>
      <c r="CJI24" s="218"/>
      <c r="CJJ24" s="218"/>
      <c r="CJK24" s="218"/>
      <c r="CJL24" s="218"/>
      <c r="CJM24" s="218"/>
      <c r="CJN24" s="218"/>
      <c r="CJO24" s="218"/>
      <c r="CJP24" s="218"/>
      <c r="CJQ24" s="218"/>
      <c r="CJR24" s="218"/>
      <c r="CJS24" s="218"/>
      <c r="CJT24" s="218"/>
      <c r="CJU24" s="218"/>
      <c r="CJV24" s="218"/>
      <c r="CJW24" s="218"/>
      <c r="CJX24" s="218"/>
      <c r="CJY24" s="218"/>
      <c r="CJZ24" s="218"/>
      <c r="CKA24" s="218"/>
      <c r="CKB24" s="218"/>
      <c r="CKC24" s="218"/>
      <c r="CKD24" s="218"/>
      <c r="CKE24" s="218"/>
      <c r="CKF24" s="218"/>
      <c r="CKG24" s="218"/>
      <c r="CKH24" s="218"/>
      <c r="CKI24" s="218"/>
      <c r="CKJ24" s="218"/>
      <c r="CKK24" s="218"/>
      <c r="CKL24" s="218"/>
      <c r="CKM24" s="218"/>
      <c r="CKN24" s="218"/>
      <c r="CKO24" s="218"/>
      <c r="CKP24" s="218"/>
      <c r="CKQ24" s="218"/>
      <c r="CKR24" s="218"/>
      <c r="CKS24" s="218"/>
      <c r="CKT24" s="218"/>
      <c r="CKU24" s="218"/>
      <c r="CKV24" s="218"/>
      <c r="CKW24" s="218"/>
      <c r="CKX24" s="218"/>
      <c r="CKY24" s="218"/>
      <c r="CKZ24" s="218"/>
      <c r="CLA24" s="218"/>
      <c r="CLB24" s="218"/>
      <c r="CLC24" s="218"/>
      <c r="CLD24" s="218"/>
      <c r="CLE24" s="218"/>
      <c r="CLF24" s="218"/>
      <c r="CLG24" s="218"/>
      <c r="CLH24" s="218"/>
      <c r="CLI24" s="218"/>
      <c r="CLJ24" s="218"/>
      <c r="CLK24" s="218"/>
      <c r="CLL24" s="218"/>
      <c r="CLM24" s="218"/>
      <c r="CLN24" s="218"/>
      <c r="CLO24" s="218"/>
      <c r="CLP24" s="218"/>
      <c r="CLQ24" s="218"/>
      <c r="CLR24" s="218"/>
      <c r="CLS24" s="218"/>
      <c r="CLT24" s="218"/>
      <c r="CLU24" s="218"/>
      <c r="CLV24" s="218"/>
      <c r="CLW24" s="218"/>
      <c r="CLX24" s="218"/>
      <c r="CLY24" s="218"/>
      <c r="CLZ24" s="218"/>
      <c r="CMA24" s="218"/>
      <c r="CMB24" s="218"/>
      <c r="CMC24" s="218"/>
      <c r="CMD24" s="218"/>
      <c r="CME24" s="218"/>
      <c r="CMF24" s="218"/>
      <c r="CMG24" s="218"/>
      <c r="CMH24" s="218"/>
      <c r="CMI24" s="218"/>
      <c r="CMJ24" s="218"/>
      <c r="CMK24" s="218"/>
      <c r="CML24" s="218"/>
      <c r="CMM24" s="218"/>
      <c r="CMN24" s="218"/>
      <c r="CMO24" s="218"/>
      <c r="CMP24" s="218"/>
      <c r="CMQ24" s="218"/>
      <c r="CMR24" s="218"/>
      <c r="CMS24" s="218"/>
      <c r="CMT24" s="218"/>
      <c r="CMU24" s="218"/>
      <c r="CMV24" s="218"/>
      <c r="CMW24" s="218"/>
      <c r="CMX24" s="218"/>
      <c r="CMY24" s="218"/>
      <c r="CMZ24" s="218"/>
      <c r="CNA24" s="218"/>
      <c r="CNB24" s="218"/>
      <c r="CNC24" s="218"/>
      <c r="CND24" s="218"/>
      <c r="CNE24" s="218"/>
      <c r="CNF24" s="218"/>
      <c r="CNG24" s="218"/>
      <c r="CNH24" s="218"/>
      <c r="CNI24" s="218"/>
      <c r="CNJ24" s="218"/>
      <c r="CNK24" s="218"/>
      <c r="CNL24" s="218"/>
      <c r="CNM24" s="218"/>
      <c r="CNN24" s="218"/>
      <c r="CNO24" s="218"/>
      <c r="CNP24" s="218"/>
      <c r="CNQ24" s="218"/>
      <c r="CNR24" s="218"/>
      <c r="CNS24" s="218"/>
      <c r="CNT24" s="218"/>
      <c r="CNU24" s="218"/>
      <c r="CNV24" s="218"/>
      <c r="CNW24" s="218"/>
      <c r="CNX24" s="218"/>
      <c r="CNY24" s="218"/>
      <c r="CNZ24" s="218"/>
      <c r="COA24" s="218"/>
      <c r="COB24" s="218"/>
      <c r="COC24" s="218"/>
      <c r="COD24" s="218"/>
      <c r="COE24" s="218"/>
      <c r="COF24" s="218"/>
      <c r="COG24" s="218"/>
      <c r="COH24" s="218"/>
      <c r="COI24" s="218"/>
      <c r="COJ24" s="218"/>
      <c r="COK24" s="218"/>
      <c r="COL24" s="218"/>
      <c r="COM24" s="218"/>
      <c r="CON24" s="218"/>
      <c r="COO24" s="218"/>
      <c r="COP24" s="218"/>
      <c r="COQ24" s="218"/>
      <c r="COR24" s="218"/>
      <c r="COS24" s="218"/>
      <c r="COT24" s="218"/>
      <c r="COU24" s="218"/>
      <c r="COV24" s="218"/>
      <c r="COW24" s="218"/>
      <c r="COX24" s="218"/>
      <c r="COY24" s="218"/>
      <c r="COZ24" s="218"/>
      <c r="CPA24" s="218"/>
      <c r="CPB24" s="218"/>
      <c r="CPC24" s="218"/>
      <c r="CPD24" s="218"/>
      <c r="CPE24" s="218"/>
      <c r="CPF24" s="218"/>
      <c r="CPG24" s="218"/>
      <c r="CPH24" s="218"/>
      <c r="CPI24" s="218"/>
      <c r="CPJ24" s="218"/>
      <c r="CPK24" s="218"/>
      <c r="CPL24" s="218"/>
      <c r="CPM24" s="218"/>
      <c r="CPN24" s="218"/>
      <c r="CPO24" s="218"/>
      <c r="CPP24" s="218"/>
      <c r="CPQ24" s="218"/>
      <c r="CPR24" s="218"/>
      <c r="CPS24" s="218"/>
      <c r="CPT24" s="218"/>
      <c r="CPU24" s="218"/>
      <c r="CPV24" s="218"/>
      <c r="CPW24" s="218"/>
      <c r="CPX24" s="218"/>
      <c r="CPY24" s="218"/>
      <c r="CPZ24" s="218"/>
      <c r="CQA24" s="218"/>
      <c r="CQB24" s="218"/>
      <c r="CQC24" s="218"/>
      <c r="CQD24" s="218"/>
      <c r="CQE24" s="218"/>
      <c r="CQF24" s="218"/>
      <c r="CQG24" s="218"/>
      <c r="CQH24" s="218"/>
      <c r="CQI24" s="218"/>
      <c r="CQJ24" s="218"/>
      <c r="CQK24" s="218"/>
      <c r="CQL24" s="218"/>
      <c r="CQM24" s="218"/>
      <c r="CQN24" s="218"/>
      <c r="CQO24" s="218"/>
      <c r="CQP24" s="218"/>
      <c r="CQQ24" s="218"/>
      <c r="CQR24" s="218"/>
      <c r="CQS24" s="218"/>
      <c r="CQT24" s="218"/>
      <c r="CQU24" s="218"/>
      <c r="CQV24" s="218"/>
      <c r="CQW24" s="218"/>
      <c r="CQX24" s="218"/>
      <c r="CQY24" s="218"/>
      <c r="CQZ24" s="218"/>
      <c r="CRA24" s="218"/>
      <c r="CRB24" s="218"/>
      <c r="CRC24" s="218"/>
      <c r="CRD24" s="218"/>
      <c r="CRE24" s="218"/>
      <c r="CRF24" s="218"/>
      <c r="CRG24" s="218"/>
      <c r="CRH24" s="218"/>
      <c r="CRI24" s="218"/>
      <c r="CRJ24" s="218"/>
      <c r="CRK24" s="218"/>
      <c r="CRL24" s="218"/>
      <c r="CRM24" s="218"/>
      <c r="CRN24" s="218"/>
      <c r="CRO24" s="218"/>
      <c r="CRP24" s="218"/>
      <c r="CRQ24" s="218"/>
      <c r="CRR24" s="218"/>
      <c r="CRS24" s="218"/>
      <c r="CRT24" s="218"/>
      <c r="CRU24" s="218"/>
      <c r="CRV24" s="218"/>
      <c r="CRW24" s="218"/>
      <c r="CRX24" s="218"/>
      <c r="CRY24" s="218"/>
      <c r="CRZ24" s="218"/>
      <c r="CSA24" s="218"/>
      <c r="CSB24" s="218"/>
      <c r="CSC24" s="218"/>
      <c r="CSD24" s="218"/>
      <c r="CSE24" s="218"/>
      <c r="CSF24" s="218"/>
      <c r="CSG24" s="218"/>
      <c r="CSH24" s="218"/>
      <c r="CSI24" s="218"/>
      <c r="CSJ24" s="218"/>
      <c r="CSK24" s="218"/>
      <c r="CSL24" s="218"/>
      <c r="CSM24" s="218"/>
      <c r="CSN24" s="218"/>
      <c r="CSO24" s="218"/>
      <c r="CSP24" s="218"/>
      <c r="CSQ24" s="218"/>
      <c r="CSR24" s="218"/>
      <c r="CSS24" s="218"/>
      <c r="CST24" s="218"/>
      <c r="CSU24" s="218"/>
      <c r="CSV24" s="218"/>
      <c r="CSW24" s="218"/>
      <c r="CSX24" s="218"/>
      <c r="CSY24" s="218"/>
      <c r="CSZ24" s="218"/>
      <c r="CTA24" s="218"/>
      <c r="CTB24" s="218"/>
      <c r="CTC24" s="218"/>
      <c r="CTD24" s="218"/>
      <c r="CTE24" s="218"/>
      <c r="CTF24" s="218"/>
      <c r="CTG24" s="218"/>
      <c r="CTH24" s="218"/>
      <c r="CTI24" s="218"/>
      <c r="CTJ24" s="218"/>
      <c r="CTK24" s="218"/>
      <c r="CTL24" s="218"/>
      <c r="CTM24" s="218"/>
      <c r="CTN24" s="218"/>
      <c r="CTO24" s="218"/>
      <c r="CTP24" s="218"/>
      <c r="CTQ24" s="218"/>
      <c r="CTR24" s="218"/>
      <c r="CTS24" s="218"/>
      <c r="CTT24" s="218"/>
      <c r="CTU24" s="218"/>
      <c r="CTV24" s="218"/>
      <c r="CTW24" s="218"/>
      <c r="CTX24" s="218"/>
      <c r="CTY24" s="218"/>
      <c r="CTZ24" s="218"/>
      <c r="CUA24" s="218"/>
      <c r="CUB24" s="218"/>
      <c r="CUC24" s="218"/>
      <c r="CUD24" s="218"/>
      <c r="CUE24" s="218"/>
      <c r="CUF24" s="218"/>
      <c r="CUG24" s="218"/>
      <c r="CUH24" s="218"/>
      <c r="CUI24" s="218"/>
      <c r="CUJ24" s="218"/>
      <c r="CUK24" s="218"/>
      <c r="CUL24" s="218"/>
      <c r="CUM24" s="218"/>
      <c r="CUN24" s="218"/>
      <c r="CUO24" s="218"/>
      <c r="CUP24" s="218"/>
      <c r="CUQ24" s="218"/>
      <c r="CUR24" s="218"/>
      <c r="CUS24" s="218"/>
      <c r="CUT24" s="218"/>
      <c r="CUU24" s="218"/>
      <c r="CUV24" s="218"/>
      <c r="CUW24" s="218"/>
      <c r="CUX24" s="218"/>
      <c r="CUY24" s="218"/>
      <c r="CUZ24" s="218"/>
      <c r="CVA24" s="218"/>
      <c r="CVB24" s="218"/>
      <c r="CVC24" s="218"/>
      <c r="CVD24" s="218"/>
      <c r="CVE24" s="218"/>
      <c r="CVF24" s="218"/>
      <c r="CVG24" s="218"/>
      <c r="CVH24" s="218"/>
      <c r="CVI24" s="218"/>
      <c r="CVJ24" s="218"/>
      <c r="CVK24" s="218"/>
      <c r="CVL24" s="218"/>
      <c r="CVM24" s="218"/>
      <c r="CVN24" s="218"/>
      <c r="CVO24" s="218"/>
      <c r="CVP24" s="218"/>
      <c r="CVQ24" s="218"/>
      <c r="CVR24" s="218"/>
      <c r="CVS24" s="218"/>
      <c r="CVT24" s="218"/>
      <c r="CVU24" s="218"/>
      <c r="CVV24" s="218"/>
      <c r="CVW24" s="218"/>
      <c r="CVX24" s="218"/>
      <c r="CVY24" s="218"/>
      <c r="CVZ24" s="218"/>
      <c r="CWA24" s="218"/>
      <c r="CWB24" s="218"/>
      <c r="CWC24" s="218"/>
      <c r="CWD24" s="218"/>
      <c r="CWE24" s="218"/>
      <c r="CWF24" s="218"/>
      <c r="CWG24" s="218"/>
      <c r="CWH24" s="218"/>
      <c r="CWI24" s="218"/>
      <c r="CWJ24" s="218"/>
      <c r="CWK24" s="218"/>
      <c r="CWL24" s="218"/>
      <c r="CWM24" s="218"/>
      <c r="CWN24" s="218"/>
      <c r="CWO24" s="218"/>
      <c r="CWP24" s="218"/>
      <c r="CWQ24" s="218"/>
      <c r="CWR24" s="218"/>
      <c r="CWS24" s="218"/>
      <c r="CWT24" s="218"/>
      <c r="CWU24" s="218"/>
      <c r="CWV24" s="218"/>
      <c r="CWW24" s="218"/>
      <c r="CWX24" s="218"/>
      <c r="CWY24" s="218"/>
      <c r="CWZ24" s="218"/>
      <c r="CXA24" s="218"/>
      <c r="CXB24" s="218"/>
      <c r="CXC24" s="218"/>
      <c r="CXD24" s="218"/>
      <c r="CXE24" s="218"/>
      <c r="CXF24" s="218"/>
      <c r="CXG24" s="218"/>
      <c r="CXH24" s="218"/>
      <c r="CXI24" s="218"/>
      <c r="CXJ24" s="218"/>
      <c r="CXK24" s="218"/>
      <c r="CXL24" s="218"/>
      <c r="CXM24" s="218"/>
      <c r="CXN24" s="218"/>
      <c r="CXO24" s="218"/>
      <c r="CXP24" s="218"/>
      <c r="CXQ24" s="218"/>
      <c r="CXR24" s="218"/>
      <c r="CXS24" s="218"/>
      <c r="CXT24" s="218"/>
      <c r="CXU24" s="218"/>
      <c r="CXV24" s="218"/>
      <c r="CXW24" s="218"/>
      <c r="CXX24" s="218"/>
      <c r="CXY24" s="218"/>
      <c r="CXZ24" s="218"/>
      <c r="CYA24" s="218"/>
      <c r="CYB24" s="218"/>
      <c r="CYC24" s="218"/>
      <c r="CYD24" s="218"/>
      <c r="CYE24" s="218"/>
      <c r="CYF24" s="218"/>
      <c r="CYG24" s="218"/>
      <c r="CYH24" s="218"/>
      <c r="CYI24" s="218"/>
      <c r="CYJ24" s="218"/>
      <c r="CYK24" s="218"/>
      <c r="CYL24" s="218"/>
      <c r="CYM24" s="218"/>
      <c r="CYN24" s="218"/>
      <c r="CYO24" s="218"/>
      <c r="CYP24" s="218"/>
      <c r="CYQ24" s="218"/>
      <c r="CYR24" s="218"/>
      <c r="CYS24" s="218"/>
      <c r="CYT24" s="218"/>
      <c r="CYU24" s="218"/>
      <c r="CYV24" s="218"/>
      <c r="CYW24" s="218"/>
      <c r="CYX24" s="218"/>
      <c r="CYY24" s="218"/>
      <c r="CYZ24" s="218"/>
      <c r="CZA24" s="218"/>
      <c r="CZB24" s="218"/>
      <c r="CZC24" s="218"/>
      <c r="CZD24" s="218"/>
      <c r="CZE24" s="218"/>
      <c r="CZF24" s="218"/>
      <c r="CZG24" s="218"/>
      <c r="CZH24" s="218"/>
      <c r="CZI24" s="218"/>
      <c r="CZJ24" s="218"/>
      <c r="CZK24" s="218"/>
      <c r="CZL24" s="218"/>
      <c r="CZM24" s="218"/>
      <c r="CZN24" s="218"/>
      <c r="CZO24" s="218"/>
      <c r="CZP24" s="218"/>
      <c r="CZQ24" s="218"/>
      <c r="CZR24" s="218"/>
      <c r="CZS24" s="218"/>
      <c r="CZT24" s="218"/>
      <c r="CZU24" s="218"/>
      <c r="CZV24" s="218"/>
      <c r="CZW24" s="218"/>
      <c r="CZX24" s="218"/>
      <c r="CZY24" s="218"/>
      <c r="CZZ24" s="218"/>
      <c r="DAA24" s="218"/>
      <c r="DAB24" s="218"/>
      <c r="DAC24" s="218"/>
      <c r="DAD24" s="218"/>
      <c r="DAE24" s="218"/>
      <c r="DAF24" s="218"/>
      <c r="DAG24" s="218"/>
      <c r="DAH24" s="218"/>
      <c r="DAI24" s="218"/>
      <c r="DAJ24" s="218"/>
      <c r="DAK24" s="218"/>
      <c r="DAL24" s="218"/>
      <c r="DAM24" s="218"/>
      <c r="DAN24" s="218"/>
      <c r="DAO24" s="218"/>
      <c r="DAP24" s="218"/>
      <c r="DAQ24" s="218"/>
      <c r="DAR24" s="218"/>
      <c r="DAS24" s="218"/>
      <c r="DAT24" s="218"/>
      <c r="DAU24" s="218"/>
      <c r="DAV24" s="218"/>
      <c r="DAW24" s="218"/>
      <c r="DAX24" s="218"/>
      <c r="DAY24" s="218"/>
      <c r="DAZ24" s="218"/>
      <c r="DBA24" s="218"/>
      <c r="DBB24" s="218"/>
      <c r="DBC24" s="218"/>
      <c r="DBD24" s="218"/>
      <c r="DBE24" s="218"/>
      <c r="DBF24" s="218"/>
      <c r="DBG24" s="218"/>
      <c r="DBH24" s="218"/>
      <c r="DBI24" s="218"/>
      <c r="DBJ24" s="218"/>
      <c r="DBK24" s="218"/>
      <c r="DBL24" s="218"/>
      <c r="DBM24" s="218"/>
      <c r="DBN24" s="218"/>
      <c r="DBO24" s="218"/>
      <c r="DBP24" s="218"/>
      <c r="DBQ24" s="218"/>
      <c r="DBR24" s="218"/>
      <c r="DBS24" s="218"/>
      <c r="DBT24" s="218"/>
      <c r="DBU24" s="218"/>
      <c r="DBV24" s="218"/>
      <c r="DBW24" s="218"/>
      <c r="DBX24" s="218"/>
      <c r="DBY24" s="218"/>
      <c r="DBZ24" s="218"/>
      <c r="DCA24" s="218"/>
      <c r="DCB24" s="218"/>
      <c r="DCC24" s="218"/>
      <c r="DCD24" s="218"/>
      <c r="DCE24" s="218"/>
      <c r="DCF24" s="218"/>
      <c r="DCG24" s="218"/>
      <c r="DCH24" s="218"/>
      <c r="DCI24" s="218"/>
      <c r="DCJ24" s="218"/>
      <c r="DCK24" s="218"/>
      <c r="DCL24" s="218"/>
      <c r="DCM24" s="218"/>
      <c r="DCN24" s="218"/>
      <c r="DCO24" s="218"/>
      <c r="DCP24" s="218"/>
      <c r="DCQ24" s="218"/>
      <c r="DCR24" s="218"/>
      <c r="DCS24" s="218"/>
      <c r="DCT24" s="218"/>
      <c r="DCU24" s="218"/>
      <c r="DCV24" s="218"/>
      <c r="DCW24" s="218"/>
      <c r="DCX24" s="218"/>
      <c r="DCY24" s="218"/>
      <c r="DCZ24" s="218"/>
      <c r="DDA24" s="218"/>
      <c r="DDB24" s="218"/>
      <c r="DDC24" s="218"/>
      <c r="DDD24" s="218"/>
      <c r="DDE24" s="218"/>
      <c r="DDF24" s="218"/>
      <c r="DDG24" s="218"/>
      <c r="DDH24" s="218"/>
      <c r="DDI24" s="218"/>
      <c r="DDJ24" s="218"/>
      <c r="DDK24" s="218"/>
      <c r="DDL24" s="218"/>
      <c r="DDM24" s="218"/>
      <c r="DDN24" s="218"/>
      <c r="DDO24" s="218"/>
      <c r="DDP24" s="218"/>
      <c r="DDQ24" s="218"/>
      <c r="DDR24" s="218"/>
      <c r="DDS24" s="218"/>
      <c r="DDT24" s="218"/>
      <c r="DDU24" s="218"/>
      <c r="DDV24" s="218"/>
      <c r="DDW24" s="218"/>
      <c r="DDX24" s="218"/>
      <c r="DDY24" s="218"/>
      <c r="DDZ24" s="218"/>
      <c r="DEA24" s="218"/>
      <c r="DEB24" s="218"/>
      <c r="DEC24" s="218"/>
      <c r="DED24" s="218"/>
      <c r="DEE24" s="218"/>
      <c r="DEF24" s="218"/>
      <c r="DEG24" s="218"/>
      <c r="DEH24" s="218"/>
      <c r="DEI24" s="218"/>
      <c r="DEJ24" s="218"/>
      <c r="DEK24" s="218"/>
      <c r="DEL24" s="218"/>
      <c r="DEM24" s="218"/>
      <c r="DEN24" s="218"/>
      <c r="DEO24" s="218"/>
      <c r="DEP24" s="218"/>
      <c r="DEQ24" s="218"/>
      <c r="DER24" s="218"/>
      <c r="DES24" s="218"/>
      <c r="DET24" s="218"/>
      <c r="DEU24" s="218"/>
      <c r="DEV24" s="218"/>
      <c r="DEW24" s="218"/>
      <c r="DEX24" s="218"/>
      <c r="DEY24" s="218"/>
      <c r="DEZ24" s="218"/>
      <c r="DFA24" s="218"/>
      <c r="DFB24" s="218"/>
      <c r="DFC24" s="218"/>
      <c r="DFD24" s="218"/>
      <c r="DFE24" s="218"/>
      <c r="DFF24" s="218"/>
      <c r="DFG24" s="218"/>
      <c r="DFH24" s="218"/>
      <c r="DFI24" s="218"/>
      <c r="DFJ24" s="218"/>
      <c r="DFK24" s="218"/>
      <c r="DFL24" s="218"/>
      <c r="DFM24" s="218"/>
      <c r="DFN24" s="218"/>
      <c r="DFO24" s="218"/>
      <c r="DFP24" s="218"/>
      <c r="DFQ24" s="218"/>
      <c r="DFR24" s="218"/>
      <c r="DFS24" s="218"/>
      <c r="DFT24" s="218"/>
      <c r="DFU24" s="218"/>
      <c r="DFV24" s="218"/>
      <c r="DFW24" s="218"/>
      <c r="DFX24" s="218"/>
      <c r="DFY24" s="218"/>
      <c r="DFZ24" s="218"/>
      <c r="DGA24" s="218"/>
      <c r="DGB24" s="218"/>
      <c r="DGC24" s="218"/>
      <c r="DGD24" s="218"/>
      <c r="DGE24" s="218"/>
      <c r="DGF24" s="218"/>
      <c r="DGG24" s="218"/>
      <c r="DGH24" s="218"/>
      <c r="DGI24" s="218"/>
      <c r="DGJ24" s="218"/>
      <c r="DGK24" s="218"/>
      <c r="DGL24" s="218"/>
      <c r="DGM24" s="218"/>
      <c r="DGN24" s="218"/>
      <c r="DGO24" s="218"/>
      <c r="DGP24" s="218"/>
      <c r="DGQ24" s="218"/>
      <c r="DGR24" s="218"/>
      <c r="DGS24" s="218"/>
      <c r="DGT24" s="218"/>
      <c r="DGU24" s="218"/>
      <c r="DGV24" s="218"/>
      <c r="DGW24" s="218"/>
      <c r="DGX24" s="218"/>
      <c r="DGY24" s="218"/>
      <c r="DGZ24" s="218"/>
      <c r="DHA24" s="218"/>
      <c r="DHB24" s="218"/>
      <c r="DHC24" s="218"/>
      <c r="DHD24" s="218"/>
      <c r="DHE24" s="218"/>
      <c r="DHF24" s="218"/>
      <c r="DHG24" s="218"/>
      <c r="DHH24" s="218"/>
      <c r="DHI24" s="218"/>
      <c r="DHJ24" s="218"/>
      <c r="DHK24" s="218"/>
      <c r="DHL24" s="218"/>
      <c r="DHM24" s="218"/>
      <c r="DHN24" s="218"/>
      <c r="DHO24" s="218"/>
      <c r="DHP24" s="218"/>
      <c r="DHQ24" s="218"/>
      <c r="DHR24" s="218"/>
      <c r="DHS24" s="218"/>
      <c r="DHT24" s="218"/>
      <c r="DHU24" s="218"/>
      <c r="DHV24" s="218"/>
      <c r="DHW24" s="218"/>
      <c r="DHX24" s="218"/>
      <c r="DHY24" s="218"/>
      <c r="DHZ24" s="218"/>
      <c r="DIA24" s="218"/>
      <c r="DIB24" s="218"/>
      <c r="DIC24" s="218"/>
      <c r="DID24" s="218"/>
      <c r="DIE24" s="218"/>
      <c r="DIF24" s="218"/>
      <c r="DIG24" s="218"/>
      <c r="DIH24" s="218"/>
      <c r="DII24" s="218"/>
      <c r="DIJ24" s="218"/>
      <c r="DIK24" s="218"/>
      <c r="DIL24" s="218"/>
      <c r="DIM24" s="218"/>
      <c r="DIN24" s="218"/>
      <c r="DIO24" s="218"/>
      <c r="DIP24" s="218"/>
      <c r="DIQ24" s="218"/>
      <c r="DIR24" s="218"/>
      <c r="DIS24" s="218"/>
      <c r="DIT24" s="218"/>
      <c r="DIU24" s="218"/>
      <c r="DIV24" s="218"/>
      <c r="DIW24" s="218"/>
      <c r="DIX24" s="218"/>
      <c r="DIY24" s="218"/>
      <c r="DIZ24" s="218"/>
      <c r="DJA24" s="218"/>
      <c r="DJB24" s="218"/>
      <c r="DJC24" s="218"/>
      <c r="DJD24" s="218"/>
      <c r="DJE24" s="218"/>
      <c r="DJF24" s="218"/>
      <c r="DJG24" s="218"/>
      <c r="DJH24" s="218"/>
      <c r="DJI24" s="218"/>
      <c r="DJJ24" s="218"/>
      <c r="DJK24" s="218"/>
      <c r="DJL24" s="218"/>
      <c r="DJM24" s="218"/>
      <c r="DJN24" s="218"/>
      <c r="DJO24" s="218"/>
      <c r="DJP24" s="218"/>
      <c r="DJQ24" s="218"/>
      <c r="DJR24" s="218"/>
      <c r="DJS24" s="218"/>
      <c r="DJT24" s="218"/>
      <c r="DJU24" s="218"/>
      <c r="DJV24" s="218"/>
      <c r="DJW24" s="218"/>
      <c r="DJX24" s="218"/>
      <c r="DJY24" s="218"/>
      <c r="DJZ24" s="218"/>
      <c r="DKA24" s="218"/>
      <c r="DKB24" s="218"/>
      <c r="DKC24" s="218"/>
      <c r="DKD24" s="218"/>
      <c r="DKE24" s="218"/>
      <c r="DKF24" s="218"/>
      <c r="DKG24" s="218"/>
      <c r="DKH24" s="218"/>
      <c r="DKI24" s="218"/>
      <c r="DKJ24" s="218"/>
      <c r="DKK24" s="218"/>
      <c r="DKL24" s="218"/>
      <c r="DKM24" s="218"/>
      <c r="DKN24" s="218"/>
      <c r="DKO24" s="218"/>
      <c r="DKP24" s="218"/>
      <c r="DKQ24" s="218"/>
      <c r="DKR24" s="218"/>
      <c r="DKS24" s="218"/>
      <c r="DKT24" s="218"/>
      <c r="DKU24" s="218"/>
      <c r="DKV24" s="218"/>
      <c r="DKW24" s="218"/>
      <c r="DKX24" s="218"/>
      <c r="DKY24" s="218"/>
      <c r="DKZ24" s="218"/>
      <c r="DLA24" s="218"/>
      <c r="DLB24" s="218"/>
      <c r="DLC24" s="218"/>
      <c r="DLD24" s="218"/>
      <c r="DLE24" s="218"/>
      <c r="DLF24" s="218"/>
      <c r="DLG24" s="218"/>
      <c r="DLH24" s="218"/>
      <c r="DLI24" s="218"/>
      <c r="DLJ24" s="218"/>
      <c r="DLK24" s="218"/>
      <c r="DLL24" s="218"/>
      <c r="DLM24" s="218"/>
      <c r="DLN24" s="218"/>
      <c r="DLO24" s="218"/>
      <c r="DLP24" s="218"/>
      <c r="DLQ24" s="218"/>
      <c r="DLR24" s="218"/>
      <c r="DLS24" s="218"/>
      <c r="DLT24" s="218"/>
      <c r="DLU24" s="218"/>
      <c r="DLV24" s="218"/>
      <c r="DLW24" s="218"/>
      <c r="DLX24" s="218"/>
      <c r="DLY24" s="218"/>
      <c r="DLZ24" s="218"/>
      <c r="DMA24" s="218"/>
      <c r="DMB24" s="218"/>
      <c r="DMC24" s="218"/>
      <c r="DMD24" s="218"/>
      <c r="DME24" s="218"/>
      <c r="DMF24" s="218"/>
      <c r="DMG24" s="218"/>
      <c r="DMH24" s="218"/>
      <c r="DMI24" s="218"/>
      <c r="DMJ24" s="218"/>
      <c r="DMK24" s="218"/>
      <c r="DML24" s="218"/>
      <c r="DMM24" s="218"/>
      <c r="DMN24" s="218"/>
      <c r="DMO24" s="218"/>
      <c r="DMP24" s="218"/>
      <c r="DMQ24" s="218"/>
      <c r="DMR24" s="218"/>
      <c r="DMS24" s="218"/>
      <c r="DMT24" s="218"/>
      <c r="DMU24" s="218"/>
      <c r="DMV24" s="218"/>
      <c r="DMW24" s="218"/>
      <c r="DMX24" s="218"/>
      <c r="DMY24" s="218"/>
      <c r="DMZ24" s="218"/>
      <c r="DNA24" s="218"/>
      <c r="DNB24" s="218"/>
      <c r="DNC24" s="218"/>
      <c r="DND24" s="218"/>
      <c r="DNE24" s="218"/>
      <c r="DNF24" s="218"/>
      <c r="DNG24" s="218"/>
      <c r="DNH24" s="218"/>
      <c r="DNI24" s="218"/>
      <c r="DNJ24" s="218"/>
      <c r="DNK24" s="218"/>
      <c r="DNL24" s="218"/>
      <c r="DNM24" s="218"/>
      <c r="DNN24" s="218"/>
      <c r="DNO24" s="218"/>
      <c r="DNP24" s="218"/>
      <c r="DNQ24" s="218"/>
      <c r="DNR24" s="218"/>
      <c r="DNS24" s="218"/>
      <c r="DNT24" s="218"/>
      <c r="DNU24" s="218"/>
      <c r="DNV24" s="218"/>
      <c r="DNW24" s="218"/>
      <c r="DNX24" s="218"/>
      <c r="DNY24" s="218"/>
      <c r="DNZ24" s="218"/>
      <c r="DOA24" s="218"/>
      <c r="DOB24" s="218"/>
      <c r="DOC24" s="218"/>
      <c r="DOD24" s="218"/>
      <c r="DOE24" s="218"/>
      <c r="DOF24" s="218"/>
      <c r="DOG24" s="218"/>
      <c r="DOH24" s="218"/>
      <c r="DOI24" s="218"/>
      <c r="DOJ24" s="218"/>
      <c r="DOK24" s="218"/>
      <c r="DOL24" s="218"/>
      <c r="DOM24" s="218"/>
      <c r="DON24" s="218"/>
      <c r="DOO24" s="218"/>
      <c r="DOP24" s="218"/>
      <c r="DOQ24" s="218"/>
      <c r="DOR24" s="218"/>
      <c r="DOS24" s="218"/>
      <c r="DOT24" s="218"/>
      <c r="DOU24" s="218"/>
      <c r="DOV24" s="218"/>
      <c r="DOW24" s="218"/>
      <c r="DOX24" s="218"/>
      <c r="DOY24" s="218"/>
      <c r="DOZ24" s="218"/>
      <c r="DPA24" s="218"/>
      <c r="DPB24" s="218"/>
      <c r="DPC24" s="218"/>
      <c r="DPD24" s="218"/>
      <c r="DPE24" s="218"/>
      <c r="DPF24" s="218"/>
      <c r="DPG24" s="218"/>
      <c r="DPH24" s="218"/>
      <c r="DPI24" s="218"/>
      <c r="DPJ24" s="218"/>
      <c r="DPK24" s="218"/>
      <c r="DPL24" s="218"/>
      <c r="DPM24" s="218"/>
      <c r="DPN24" s="218"/>
      <c r="DPO24" s="218"/>
      <c r="DPP24" s="218"/>
      <c r="DPQ24" s="218"/>
      <c r="DPR24" s="218"/>
      <c r="DPS24" s="218"/>
      <c r="DPT24" s="218"/>
      <c r="DPU24" s="218"/>
      <c r="DPV24" s="218"/>
      <c r="DPW24" s="218"/>
      <c r="DPX24" s="218"/>
      <c r="DPY24" s="218"/>
      <c r="DPZ24" s="218"/>
      <c r="DQA24" s="218"/>
      <c r="DQB24" s="218"/>
      <c r="DQC24" s="218"/>
      <c r="DQD24" s="218"/>
      <c r="DQE24" s="218"/>
      <c r="DQF24" s="218"/>
      <c r="DQG24" s="218"/>
      <c r="DQH24" s="218"/>
      <c r="DQI24" s="218"/>
      <c r="DQJ24" s="218"/>
      <c r="DQK24" s="218"/>
      <c r="DQL24" s="218"/>
      <c r="DQM24" s="218"/>
      <c r="DQN24" s="218"/>
      <c r="DQO24" s="218"/>
      <c r="DQP24" s="218"/>
      <c r="DQQ24" s="218"/>
      <c r="DQR24" s="218"/>
      <c r="DQS24" s="218"/>
      <c r="DQT24" s="218"/>
      <c r="DQU24" s="218"/>
      <c r="DQV24" s="218"/>
      <c r="DQW24" s="218"/>
      <c r="DQX24" s="218"/>
      <c r="DQY24" s="218"/>
      <c r="DQZ24" s="218"/>
      <c r="DRA24" s="218"/>
      <c r="DRB24" s="218"/>
      <c r="DRC24" s="218"/>
      <c r="DRD24" s="218"/>
      <c r="DRE24" s="218"/>
      <c r="DRF24" s="218"/>
      <c r="DRG24" s="218"/>
      <c r="DRH24" s="218"/>
      <c r="DRI24" s="218"/>
      <c r="DRJ24" s="218"/>
      <c r="DRK24" s="218"/>
      <c r="DRL24" s="218"/>
      <c r="DRM24" s="218"/>
      <c r="DRN24" s="218"/>
      <c r="DRO24" s="218"/>
      <c r="DRP24" s="218"/>
      <c r="DRQ24" s="218"/>
      <c r="DRR24" s="218"/>
      <c r="DRS24" s="218"/>
      <c r="DRT24" s="218"/>
      <c r="DRU24" s="218"/>
      <c r="DRV24" s="218"/>
      <c r="DRW24" s="218"/>
      <c r="DRX24" s="218"/>
      <c r="DRY24" s="218"/>
      <c r="DRZ24" s="218"/>
      <c r="DSA24" s="218"/>
      <c r="DSB24" s="218"/>
      <c r="DSC24" s="218"/>
      <c r="DSD24" s="218"/>
      <c r="DSE24" s="218"/>
      <c r="DSF24" s="218"/>
      <c r="DSG24" s="218"/>
      <c r="DSH24" s="218"/>
      <c r="DSI24" s="218"/>
      <c r="DSJ24" s="218"/>
      <c r="DSK24" s="218"/>
      <c r="DSL24" s="218"/>
      <c r="DSM24" s="218"/>
      <c r="DSN24" s="218"/>
      <c r="DSO24" s="218"/>
      <c r="DSP24" s="218"/>
      <c r="DSQ24" s="218"/>
      <c r="DSR24" s="218"/>
      <c r="DSS24" s="218"/>
      <c r="DST24" s="218"/>
      <c r="DSU24" s="218"/>
      <c r="DSV24" s="218"/>
      <c r="DSW24" s="218"/>
      <c r="DSX24" s="218"/>
      <c r="DSY24" s="218"/>
      <c r="DSZ24" s="218"/>
      <c r="DTA24" s="218"/>
      <c r="DTB24" s="218"/>
      <c r="DTC24" s="218"/>
      <c r="DTD24" s="218"/>
      <c r="DTE24" s="218"/>
      <c r="DTF24" s="218"/>
      <c r="DTG24" s="218"/>
      <c r="DTH24" s="218"/>
      <c r="DTI24" s="218"/>
      <c r="DTJ24" s="218"/>
      <c r="DTK24" s="218"/>
      <c r="DTL24" s="218"/>
      <c r="DTM24" s="218"/>
      <c r="DTN24" s="218"/>
      <c r="DTO24" s="218"/>
      <c r="DTP24" s="218"/>
      <c r="DTQ24" s="218"/>
      <c r="DTR24" s="218"/>
      <c r="DTS24" s="218"/>
      <c r="DTT24" s="218"/>
      <c r="DTU24" s="218"/>
      <c r="DTV24" s="218"/>
      <c r="DTW24" s="218"/>
      <c r="DTX24" s="218"/>
      <c r="DTY24" s="218"/>
      <c r="DTZ24" s="218"/>
      <c r="DUA24" s="218"/>
      <c r="DUB24" s="218"/>
      <c r="DUC24" s="218"/>
      <c r="DUD24" s="218"/>
      <c r="DUE24" s="218"/>
      <c r="DUF24" s="218"/>
      <c r="DUG24" s="218"/>
      <c r="DUH24" s="218"/>
      <c r="DUI24" s="218"/>
      <c r="DUJ24" s="218"/>
      <c r="DUK24" s="218"/>
      <c r="DUL24" s="218"/>
      <c r="DUM24" s="218"/>
      <c r="DUN24" s="218"/>
      <c r="DUO24" s="218"/>
      <c r="DUP24" s="218"/>
      <c r="DUQ24" s="218"/>
      <c r="DUR24" s="218"/>
      <c r="DUS24" s="218"/>
      <c r="DUT24" s="218"/>
      <c r="DUU24" s="218"/>
      <c r="DUV24" s="218"/>
      <c r="DUW24" s="218"/>
      <c r="DUX24" s="218"/>
      <c r="DUY24" s="218"/>
      <c r="DUZ24" s="218"/>
      <c r="DVA24" s="218"/>
      <c r="DVB24" s="218"/>
      <c r="DVC24" s="218"/>
      <c r="DVD24" s="218"/>
      <c r="DVE24" s="218"/>
      <c r="DVF24" s="218"/>
      <c r="DVG24" s="218"/>
      <c r="DVH24" s="218"/>
      <c r="DVI24" s="218"/>
      <c r="DVJ24" s="218"/>
      <c r="DVK24" s="218"/>
      <c r="DVL24" s="218"/>
      <c r="DVM24" s="218"/>
      <c r="DVN24" s="218"/>
      <c r="DVO24" s="218"/>
      <c r="DVP24" s="218"/>
      <c r="DVQ24" s="218"/>
      <c r="DVR24" s="218"/>
      <c r="DVS24" s="218"/>
      <c r="DVT24" s="218"/>
      <c r="DVU24" s="218"/>
      <c r="DVV24" s="218"/>
      <c r="DVW24" s="218"/>
      <c r="DVX24" s="218"/>
      <c r="DVY24" s="218"/>
      <c r="DVZ24" s="218"/>
      <c r="DWA24" s="218"/>
      <c r="DWB24" s="218"/>
      <c r="DWC24" s="218"/>
      <c r="DWD24" s="218"/>
      <c r="DWE24" s="218"/>
      <c r="DWF24" s="218"/>
      <c r="DWG24" s="218"/>
      <c r="DWH24" s="218"/>
      <c r="DWI24" s="218"/>
      <c r="DWJ24" s="218"/>
      <c r="DWK24" s="218"/>
      <c r="DWL24" s="218"/>
      <c r="DWM24" s="218"/>
      <c r="DWN24" s="218"/>
      <c r="DWO24" s="218"/>
      <c r="DWP24" s="218"/>
      <c r="DWQ24" s="218"/>
      <c r="DWR24" s="218"/>
      <c r="DWS24" s="218"/>
      <c r="DWT24" s="218"/>
      <c r="DWU24" s="218"/>
      <c r="DWV24" s="218"/>
      <c r="DWW24" s="218"/>
      <c r="DWX24" s="218"/>
      <c r="DWY24" s="218"/>
      <c r="DWZ24" s="218"/>
      <c r="DXA24" s="218"/>
      <c r="DXB24" s="218"/>
      <c r="DXC24" s="218"/>
      <c r="DXD24" s="218"/>
      <c r="DXE24" s="218"/>
      <c r="DXF24" s="218"/>
      <c r="DXG24" s="218"/>
      <c r="DXH24" s="218"/>
      <c r="DXI24" s="218"/>
      <c r="DXJ24" s="218"/>
      <c r="DXK24" s="218"/>
      <c r="DXL24" s="218"/>
      <c r="DXM24" s="218"/>
      <c r="DXN24" s="218"/>
      <c r="DXO24" s="218"/>
      <c r="DXP24" s="218"/>
      <c r="DXQ24" s="218"/>
      <c r="DXR24" s="218"/>
      <c r="DXS24" s="218"/>
      <c r="DXT24" s="218"/>
      <c r="DXU24" s="218"/>
      <c r="DXV24" s="218"/>
      <c r="DXW24" s="218"/>
      <c r="DXX24" s="218"/>
      <c r="DXY24" s="218"/>
      <c r="DXZ24" s="218"/>
      <c r="DYA24" s="218"/>
      <c r="DYB24" s="218"/>
      <c r="DYC24" s="218"/>
      <c r="DYD24" s="218"/>
      <c r="DYE24" s="218"/>
      <c r="DYF24" s="218"/>
      <c r="DYG24" s="218"/>
      <c r="DYH24" s="218"/>
      <c r="DYI24" s="218"/>
      <c r="DYJ24" s="218"/>
      <c r="DYK24" s="218"/>
      <c r="DYL24" s="218"/>
      <c r="DYM24" s="218"/>
      <c r="DYN24" s="218"/>
      <c r="DYO24" s="218"/>
      <c r="DYP24" s="218"/>
      <c r="DYQ24" s="218"/>
      <c r="DYR24" s="218"/>
      <c r="DYS24" s="218"/>
      <c r="DYT24" s="218"/>
      <c r="DYU24" s="218"/>
      <c r="DYV24" s="218"/>
      <c r="DYW24" s="218"/>
      <c r="DYX24" s="218"/>
      <c r="DYY24" s="218"/>
      <c r="DYZ24" s="218"/>
      <c r="DZA24" s="218"/>
      <c r="DZB24" s="218"/>
      <c r="DZC24" s="218"/>
      <c r="DZD24" s="218"/>
      <c r="DZE24" s="218"/>
      <c r="DZF24" s="218"/>
      <c r="DZG24" s="218"/>
      <c r="DZH24" s="218"/>
      <c r="DZI24" s="218"/>
      <c r="DZJ24" s="218"/>
      <c r="DZK24" s="218"/>
      <c r="DZL24" s="218"/>
      <c r="DZM24" s="218"/>
      <c r="DZN24" s="218"/>
      <c r="DZO24" s="218"/>
      <c r="DZP24" s="218"/>
      <c r="DZQ24" s="218"/>
      <c r="DZR24" s="218"/>
      <c r="DZS24" s="218"/>
      <c r="DZT24" s="218"/>
      <c r="DZU24" s="218"/>
      <c r="DZV24" s="218"/>
      <c r="DZW24" s="218"/>
      <c r="DZX24" s="218"/>
      <c r="DZY24" s="218"/>
      <c r="DZZ24" s="218"/>
      <c r="EAA24" s="218"/>
      <c r="EAB24" s="218"/>
      <c r="EAC24" s="218"/>
      <c r="EAD24" s="218"/>
      <c r="EAE24" s="218"/>
      <c r="EAF24" s="218"/>
      <c r="EAG24" s="218"/>
      <c r="EAH24" s="218"/>
      <c r="EAI24" s="218"/>
      <c r="EAJ24" s="218"/>
      <c r="EAK24" s="218"/>
      <c r="EAL24" s="218"/>
      <c r="EAM24" s="218"/>
      <c r="EAN24" s="218"/>
      <c r="EAO24" s="218"/>
      <c r="EAP24" s="218"/>
      <c r="EAQ24" s="218"/>
      <c r="EAR24" s="218"/>
      <c r="EAS24" s="218"/>
      <c r="EAT24" s="218"/>
      <c r="EAU24" s="218"/>
      <c r="EAV24" s="218"/>
      <c r="EAW24" s="218"/>
      <c r="EAX24" s="218"/>
      <c r="EAY24" s="218"/>
      <c r="EAZ24" s="218"/>
      <c r="EBA24" s="218"/>
      <c r="EBB24" s="218"/>
      <c r="EBC24" s="218"/>
      <c r="EBD24" s="218"/>
      <c r="EBE24" s="218"/>
      <c r="EBF24" s="218"/>
      <c r="EBG24" s="218"/>
      <c r="EBH24" s="218"/>
      <c r="EBI24" s="218"/>
      <c r="EBJ24" s="218"/>
      <c r="EBK24" s="218"/>
      <c r="EBL24" s="218"/>
      <c r="EBM24" s="218"/>
      <c r="EBN24" s="218"/>
      <c r="EBO24" s="218"/>
      <c r="EBP24" s="218"/>
      <c r="EBQ24" s="218"/>
      <c r="EBR24" s="218"/>
      <c r="EBS24" s="218"/>
      <c r="EBT24" s="218"/>
      <c r="EBU24" s="218"/>
      <c r="EBV24" s="218"/>
      <c r="EBW24" s="218"/>
      <c r="EBX24" s="218"/>
      <c r="EBY24" s="218"/>
      <c r="EBZ24" s="218"/>
      <c r="ECA24" s="218"/>
      <c r="ECB24" s="218"/>
      <c r="ECC24" s="218"/>
      <c r="ECD24" s="218"/>
      <c r="ECE24" s="218"/>
      <c r="ECF24" s="218"/>
      <c r="ECG24" s="218"/>
      <c r="ECH24" s="218"/>
      <c r="ECI24" s="218"/>
      <c r="ECJ24" s="218"/>
      <c r="ECK24" s="218"/>
      <c r="ECL24" s="218"/>
      <c r="ECM24" s="218"/>
      <c r="ECN24" s="218"/>
      <c r="ECO24" s="218"/>
      <c r="ECP24" s="218"/>
      <c r="ECQ24" s="218"/>
      <c r="ECR24" s="218"/>
      <c r="ECS24" s="218"/>
      <c r="ECT24" s="218"/>
      <c r="ECU24" s="218"/>
      <c r="ECV24" s="218"/>
      <c r="ECW24" s="218"/>
      <c r="ECX24" s="218"/>
      <c r="ECY24" s="218"/>
      <c r="ECZ24" s="218"/>
      <c r="EDA24" s="218"/>
      <c r="EDB24" s="218"/>
      <c r="EDC24" s="218"/>
      <c r="EDD24" s="218"/>
      <c r="EDE24" s="218"/>
      <c r="EDF24" s="218"/>
      <c r="EDG24" s="218"/>
      <c r="EDH24" s="218"/>
      <c r="EDI24" s="218"/>
      <c r="EDJ24" s="218"/>
      <c r="EDK24" s="218"/>
      <c r="EDL24" s="218"/>
      <c r="EDM24" s="218"/>
      <c r="EDN24" s="218"/>
      <c r="EDO24" s="218"/>
      <c r="EDP24" s="218"/>
      <c r="EDQ24" s="218"/>
      <c r="EDR24" s="218"/>
      <c r="EDS24" s="218"/>
      <c r="EDT24" s="218"/>
      <c r="EDU24" s="218"/>
      <c r="EDV24" s="218"/>
      <c r="EDW24" s="218"/>
      <c r="EDX24" s="218"/>
      <c r="EDY24" s="218"/>
      <c r="EDZ24" s="218"/>
      <c r="EEA24" s="218"/>
      <c r="EEB24" s="218"/>
      <c r="EEC24" s="218"/>
      <c r="EED24" s="218"/>
      <c r="EEE24" s="218"/>
      <c r="EEF24" s="218"/>
      <c r="EEG24" s="218"/>
      <c r="EEH24" s="218"/>
      <c r="EEI24" s="218"/>
      <c r="EEJ24" s="218"/>
      <c r="EEK24" s="218"/>
      <c r="EEL24" s="218"/>
      <c r="EEM24" s="218"/>
      <c r="EEN24" s="218"/>
      <c r="EEO24" s="218"/>
      <c r="EEP24" s="218"/>
      <c r="EEQ24" s="218"/>
      <c r="EER24" s="218"/>
      <c r="EES24" s="218"/>
      <c r="EET24" s="218"/>
      <c r="EEU24" s="218"/>
      <c r="EEV24" s="218"/>
      <c r="EEW24" s="218"/>
      <c r="EEX24" s="218"/>
      <c r="EEY24" s="218"/>
      <c r="EEZ24" s="218"/>
      <c r="EFA24" s="218"/>
      <c r="EFB24" s="218"/>
      <c r="EFC24" s="218"/>
      <c r="EFD24" s="218"/>
      <c r="EFE24" s="218"/>
      <c r="EFF24" s="218"/>
      <c r="EFG24" s="218"/>
      <c r="EFH24" s="218"/>
      <c r="EFI24" s="218"/>
      <c r="EFJ24" s="218"/>
      <c r="EFK24" s="218"/>
      <c r="EFL24" s="218"/>
      <c r="EFM24" s="218"/>
      <c r="EFN24" s="218"/>
      <c r="EFO24" s="218"/>
      <c r="EFP24" s="218"/>
      <c r="EFQ24" s="218"/>
      <c r="EFR24" s="218"/>
      <c r="EFS24" s="218"/>
      <c r="EFT24" s="218"/>
      <c r="EFU24" s="218"/>
      <c r="EFV24" s="218"/>
      <c r="EFW24" s="218"/>
      <c r="EFX24" s="218"/>
      <c r="EFY24" s="218"/>
      <c r="EFZ24" s="218"/>
      <c r="EGA24" s="218"/>
      <c r="EGB24" s="218"/>
      <c r="EGC24" s="218"/>
      <c r="EGD24" s="218"/>
      <c r="EGE24" s="218"/>
      <c r="EGF24" s="218"/>
      <c r="EGG24" s="218"/>
      <c r="EGH24" s="218"/>
      <c r="EGI24" s="218"/>
      <c r="EGJ24" s="218"/>
      <c r="EGK24" s="218"/>
      <c r="EGL24" s="218"/>
      <c r="EGM24" s="218"/>
      <c r="EGN24" s="218"/>
      <c r="EGO24" s="218"/>
      <c r="EGP24" s="218"/>
      <c r="EGQ24" s="218"/>
      <c r="EGR24" s="218"/>
      <c r="EGS24" s="218"/>
      <c r="EGT24" s="218"/>
      <c r="EGU24" s="218"/>
      <c r="EGV24" s="218"/>
      <c r="EGW24" s="218"/>
      <c r="EGX24" s="218"/>
      <c r="EGY24" s="218"/>
      <c r="EGZ24" s="218"/>
      <c r="EHA24" s="218"/>
      <c r="EHB24" s="218"/>
      <c r="EHC24" s="218"/>
      <c r="EHD24" s="218"/>
      <c r="EHE24" s="218"/>
      <c r="EHF24" s="218"/>
      <c r="EHG24" s="218"/>
      <c r="EHH24" s="218"/>
      <c r="EHI24" s="218"/>
      <c r="EHJ24" s="218"/>
      <c r="EHK24" s="218"/>
      <c r="EHL24" s="218"/>
      <c r="EHM24" s="218"/>
      <c r="EHN24" s="218"/>
      <c r="EHO24" s="218"/>
      <c r="EHP24" s="218"/>
      <c r="EHQ24" s="218"/>
      <c r="EHR24" s="218"/>
      <c r="EHS24" s="218"/>
      <c r="EHT24" s="218"/>
      <c r="EHU24" s="218"/>
      <c r="EHV24" s="218"/>
      <c r="EHW24" s="218"/>
      <c r="EHX24" s="218"/>
      <c r="EHY24" s="218"/>
      <c r="EHZ24" s="218"/>
      <c r="EIA24" s="218"/>
      <c r="EIB24" s="218"/>
      <c r="EIC24" s="218"/>
      <c r="EID24" s="218"/>
      <c r="EIE24" s="218"/>
      <c r="EIF24" s="218"/>
      <c r="EIG24" s="218"/>
      <c r="EIH24" s="218"/>
      <c r="EII24" s="218"/>
      <c r="EIJ24" s="218"/>
      <c r="EIK24" s="218"/>
      <c r="EIL24" s="218"/>
      <c r="EIM24" s="218"/>
      <c r="EIN24" s="218"/>
      <c r="EIO24" s="218"/>
      <c r="EIP24" s="218"/>
      <c r="EIQ24" s="218"/>
      <c r="EIR24" s="218"/>
      <c r="EIS24" s="218"/>
      <c r="EIT24" s="218"/>
      <c r="EIU24" s="218"/>
      <c r="EIV24" s="218"/>
      <c r="EIW24" s="218"/>
      <c r="EIX24" s="218"/>
      <c r="EIY24" s="218"/>
      <c r="EIZ24" s="218"/>
      <c r="EJA24" s="218"/>
      <c r="EJB24" s="218"/>
      <c r="EJC24" s="218"/>
      <c r="EJD24" s="218"/>
      <c r="EJE24" s="218"/>
      <c r="EJF24" s="218"/>
      <c r="EJG24" s="218"/>
      <c r="EJH24" s="218"/>
      <c r="EJI24" s="218"/>
      <c r="EJJ24" s="218"/>
      <c r="EJK24" s="218"/>
      <c r="EJL24" s="218"/>
      <c r="EJM24" s="218"/>
      <c r="EJN24" s="218"/>
      <c r="EJO24" s="218"/>
      <c r="EJP24" s="218"/>
      <c r="EJQ24" s="218"/>
      <c r="EJR24" s="218"/>
      <c r="EJS24" s="218"/>
      <c r="EJT24" s="218"/>
      <c r="EJU24" s="218"/>
      <c r="EJV24" s="218"/>
      <c r="EJW24" s="218"/>
      <c r="EJX24" s="218"/>
      <c r="EJY24" s="218"/>
      <c r="EJZ24" s="218"/>
      <c r="EKA24" s="218"/>
      <c r="EKB24" s="218"/>
      <c r="EKC24" s="218"/>
      <c r="EKD24" s="218"/>
      <c r="EKE24" s="218"/>
      <c r="EKF24" s="218"/>
      <c r="EKG24" s="218"/>
      <c r="EKH24" s="218"/>
      <c r="EKI24" s="218"/>
      <c r="EKJ24" s="218"/>
      <c r="EKK24" s="218"/>
      <c r="EKL24" s="218"/>
      <c r="EKM24" s="218"/>
      <c r="EKN24" s="218"/>
      <c r="EKO24" s="218"/>
      <c r="EKP24" s="218"/>
      <c r="EKQ24" s="218"/>
      <c r="EKR24" s="218"/>
      <c r="EKS24" s="218"/>
      <c r="EKT24" s="218"/>
      <c r="EKU24" s="218"/>
      <c r="EKV24" s="218"/>
      <c r="EKW24" s="218"/>
      <c r="EKX24" s="218"/>
      <c r="EKY24" s="218"/>
      <c r="EKZ24" s="218"/>
      <c r="ELA24" s="218"/>
      <c r="ELB24" s="218"/>
      <c r="ELC24" s="218"/>
      <c r="ELD24" s="218"/>
      <c r="ELE24" s="218"/>
      <c r="ELF24" s="218"/>
      <c r="ELG24" s="218"/>
      <c r="ELH24" s="218"/>
      <c r="ELI24" s="218"/>
      <c r="ELJ24" s="218"/>
      <c r="ELK24" s="218"/>
      <c r="ELL24" s="218"/>
      <c r="ELM24" s="218"/>
      <c r="ELN24" s="218"/>
      <c r="ELO24" s="218"/>
      <c r="ELP24" s="218"/>
      <c r="ELQ24" s="218"/>
      <c r="ELR24" s="218"/>
      <c r="ELS24" s="218"/>
      <c r="ELT24" s="218"/>
      <c r="ELU24" s="218"/>
      <c r="ELV24" s="218"/>
      <c r="ELW24" s="218"/>
      <c r="ELX24" s="218"/>
      <c r="ELY24" s="218"/>
      <c r="ELZ24" s="218"/>
      <c r="EMA24" s="218"/>
      <c r="EMB24" s="218"/>
      <c r="EMC24" s="218"/>
      <c r="EMD24" s="218"/>
      <c r="EME24" s="218"/>
      <c r="EMF24" s="218"/>
      <c r="EMG24" s="218"/>
      <c r="EMH24" s="218"/>
      <c r="EMI24" s="218"/>
      <c r="EMJ24" s="218"/>
      <c r="EMK24" s="218"/>
      <c r="EML24" s="218"/>
      <c r="EMM24" s="218"/>
      <c r="EMN24" s="218"/>
      <c r="EMO24" s="218"/>
      <c r="EMP24" s="218"/>
      <c r="EMQ24" s="218"/>
      <c r="EMR24" s="218"/>
      <c r="EMS24" s="218"/>
      <c r="EMT24" s="218"/>
      <c r="EMU24" s="218"/>
      <c r="EMV24" s="218"/>
      <c r="EMW24" s="218"/>
      <c r="EMX24" s="218"/>
      <c r="EMY24" s="218"/>
      <c r="EMZ24" s="218"/>
      <c r="ENA24" s="218"/>
      <c r="ENB24" s="218"/>
      <c r="ENC24" s="218"/>
      <c r="END24" s="218"/>
      <c r="ENE24" s="218"/>
      <c r="ENF24" s="218"/>
      <c r="ENG24" s="218"/>
      <c r="ENH24" s="218"/>
      <c r="ENI24" s="218"/>
      <c r="ENJ24" s="218"/>
      <c r="ENK24" s="218"/>
      <c r="ENL24" s="218"/>
      <c r="ENM24" s="218"/>
      <c r="ENN24" s="218"/>
      <c r="ENO24" s="218"/>
      <c r="ENP24" s="218"/>
      <c r="ENQ24" s="218"/>
      <c r="ENR24" s="218"/>
      <c r="ENS24" s="218"/>
      <c r="ENT24" s="218"/>
      <c r="ENU24" s="218"/>
      <c r="ENV24" s="218"/>
      <c r="ENW24" s="218"/>
      <c r="ENX24" s="218"/>
      <c r="ENY24" s="218"/>
      <c r="ENZ24" s="218"/>
      <c r="EOA24" s="218"/>
      <c r="EOB24" s="218"/>
      <c r="EOC24" s="218"/>
      <c r="EOD24" s="218"/>
      <c r="EOE24" s="218"/>
      <c r="EOF24" s="218"/>
      <c r="EOG24" s="218"/>
      <c r="EOH24" s="218"/>
      <c r="EOI24" s="218"/>
      <c r="EOJ24" s="218"/>
      <c r="EOK24" s="218"/>
      <c r="EOL24" s="218"/>
      <c r="EOM24" s="218"/>
      <c r="EON24" s="218"/>
      <c r="EOO24" s="218"/>
      <c r="EOP24" s="218"/>
      <c r="EOQ24" s="218"/>
      <c r="EOR24" s="218"/>
      <c r="EOS24" s="218"/>
      <c r="EOT24" s="218"/>
      <c r="EOU24" s="218"/>
      <c r="EOV24" s="218"/>
      <c r="EOW24" s="218"/>
      <c r="EOX24" s="218"/>
      <c r="EOY24" s="218"/>
      <c r="EOZ24" s="218"/>
      <c r="EPA24" s="218"/>
      <c r="EPB24" s="218"/>
      <c r="EPC24" s="218"/>
      <c r="EPD24" s="218"/>
      <c r="EPE24" s="218"/>
      <c r="EPF24" s="218"/>
      <c r="EPG24" s="218"/>
      <c r="EPH24" s="218"/>
      <c r="EPI24" s="218"/>
      <c r="EPJ24" s="218"/>
      <c r="EPK24" s="218"/>
      <c r="EPL24" s="218"/>
      <c r="EPM24" s="218"/>
      <c r="EPN24" s="218"/>
      <c r="EPO24" s="218"/>
      <c r="EPP24" s="218"/>
      <c r="EPQ24" s="218"/>
      <c r="EPR24" s="218"/>
      <c r="EPS24" s="218"/>
      <c r="EPT24" s="218"/>
      <c r="EPU24" s="218"/>
      <c r="EPV24" s="218"/>
      <c r="EPW24" s="218"/>
      <c r="EPX24" s="218"/>
      <c r="EPY24" s="218"/>
      <c r="EPZ24" s="218"/>
      <c r="EQA24" s="218"/>
      <c r="EQB24" s="218"/>
      <c r="EQC24" s="218"/>
      <c r="EQD24" s="218"/>
      <c r="EQE24" s="218"/>
      <c r="EQF24" s="218"/>
      <c r="EQG24" s="218"/>
      <c r="EQH24" s="218"/>
      <c r="EQI24" s="218"/>
      <c r="EQJ24" s="218"/>
      <c r="EQK24" s="218"/>
      <c r="EQL24" s="218"/>
      <c r="EQM24" s="218"/>
      <c r="EQN24" s="218"/>
      <c r="EQO24" s="218"/>
      <c r="EQP24" s="218"/>
      <c r="EQQ24" s="218"/>
      <c r="EQR24" s="218"/>
      <c r="EQS24" s="218"/>
      <c r="EQT24" s="218"/>
      <c r="EQU24" s="218"/>
      <c r="EQV24" s="218"/>
      <c r="EQW24" s="218"/>
      <c r="EQX24" s="218"/>
      <c r="EQY24" s="218"/>
      <c r="EQZ24" s="218"/>
      <c r="ERA24" s="218"/>
      <c r="ERB24" s="218"/>
      <c r="ERC24" s="218"/>
      <c r="ERD24" s="218"/>
      <c r="ERE24" s="218"/>
      <c r="ERF24" s="218"/>
      <c r="ERG24" s="218"/>
      <c r="ERH24" s="218"/>
      <c r="ERI24" s="218"/>
      <c r="ERJ24" s="218"/>
      <c r="ERK24" s="218"/>
      <c r="ERL24" s="218"/>
      <c r="ERM24" s="218"/>
      <c r="ERN24" s="218"/>
      <c r="ERO24" s="218"/>
      <c r="ERP24" s="218"/>
      <c r="ERQ24" s="218"/>
      <c r="ERR24" s="218"/>
      <c r="ERS24" s="218"/>
      <c r="ERT24" s="218"/>
      <c r="ERU24" s="218"/>
      <c r="ERV24" s="218"/>
      <c r="ERW24" s="218"/>
      <c r="ERX24" s="218"/>
      <c r="ERY24" s="218"/>
      <c r="ERZ24" s="218"/>
      <c r="ESA24" s="218"/>
      <c r="ESB24" s="218"/>
      <c r="ESC24" s="218"/>
      <c r="ESD24" s="218"/>
      <c r="ESE24" s="218"/>
      <c r="ESF24" s="218"/>
      <c r="ESG24" s="218"/>
      <c r="ESH24" s="218"/>
      <c r="ESI24" s="218"/>
      <c r="ESJ24" s="218"/>
      <c r="ESK24" s="218"/>
      <c r="ESL24" s="218"/>
      <c r="ESM24" s="218"/>
      <c r="ESN24" s="218"/>
      <c r="ESO24" s="218"/>
      <c r="ESP24" s="218"/>
      <c r="ESQ24" s="218"/>
      <c r="ESR24" s="218"/>
      <c r="ESS24" s="218"/>
      <c r="EST24" s="218"/>
      <c r="ESU24" s="218"/>
      <c r="ESV24" s="218"/>
      <c r="ESW24" s="218"/>
      <c r="ESX24" s="218"/>
      <c r="ESY24" s="218"/>
      <c r="ESZ24" s="218"/>
      <c r="ETA24" s="218"/>
      <c r="ETB24" s="218"/>
      <c r="ETC24" s="218"/>
      <c r="ETD24" s="218"/>
      <c r="ETE24" s="218"/>
      <c r="ETF24" s="218"/>
      <c r="ETG24" s="218"/>
      <c r="ETH24" s="218"/>
      <c r="ETI24" s="218"/>
      <c r="ETJ24" s="218"/>
      <c r="ETK24" s="218"/>
      <c r="ETL24" s="218"/>
      <c r="ETM24" s="218"/>
      <c r="ETN24" s="218"/>
      <c r="ETO24" s="218"/>
      <c r="ETP24" s="218"/>
      <c r="ETQ24" s="218"/>
      <c r="ETR24" s="218"/>
      <c r="ETS24" s="218"/>
      <c r="ETT24" s="218"/>
      <c r="ETU24" s="218"/>
      <c r="ETV24" s="218"/>
      <c r="ETW24" s="218"/>
      <c r="ETX24" s="218"/>
      <c r="ETY24" s="218"/>
      <c r="ETZ24" s="218"/>
      <c r="EUA24" s="218"/>
      <c r="EUB24" s="218"/>
      <c r="EUC24" s="218"/>
      <c r="EUD24" s="218"/>
      <c r="EUE24" s="218"/>
      <c r="EUF24" s="218"/>
      <c r="EUG24" s="218"/>
      <c r="EUH24" s="218"/>
      <c r="EUI24" s="218"/>
      <c r="EUJ24" s="218"/>
      <c r="EUK24" s="218"/>
      <c r="EUL24" s="218"/>
      <c r="EUM24" s="218"/>
      <c r="EUN24" s="218"/>
      <c r="EUO24" s="218"/>
      <c r="EUP24" s="218"/>
      <c r="EUQ24" s="218"/>
      <c r="EUR24" s="218"/>
      <c r="EUS24" s="218"/>
      <c r="EUT24" s="218"/>
      <c r="EUU24" s="218"/>
      <c r="EUV24" s="218"/>
      <c r="EUW24" s="218"/>
      <c r="EUX24" s="218"/>
      <c r="EUY24" s="218"/>
      <c r="EUZ24" s="218"/>
      <c r="EVA24" s="218"/>
      <c r="EVB24" s="218"/>
      <c r="EVC24" s="218"/>
      <c r="EVD24" s="218"/>
      <c r="EVE24" s="218"/>
      <c r="EVF24" s="218"/>
      <c r="EVG24" s="218"/>
      <c r="EVH24" s="218"/>
      <c r="EVI24" s="218"/>
      <c r="EVJ24" s="218"/>
      <c r="EVK24" s="218"/>
      <c r="EVL24" s="218"/>
      <c r="EVM24" s="218"/>
      <c r="EVN24" s="218"/>
      <c r="EVO24" s="218"/>
      <c r="EVP24" s="218"/>
      <c r="EVQ24" s="218"/>
      <c r="EVR24" s="218"/>
      <c r="EVS24" s="218"/>
      <c r="EVT24" s="218"/>
      <c r="EVU24" s="218"/>
      <c r="EVV24" s="218"/>
      <c r="EVW24" s="218"/>
      <c r="EVX24" s="218"/>
      <c r="EVY24" s="218"/>
      <c r="EVZ24" s="218"/>
      <c r="EWA24" s="218"/>
      <c r="EWB24" s="218"/>
      <c r="EWC24" s="218"/>
      <c r="EWD24" s="218"/>
      <c r="EWE24" s="218"/>
      <c r="EWF24" s="218"/>
      <c r="EWG24" s="218"/>
      <c r="EWH24" s="218"/>
      <c r="EWI24" s="218"/>
      <c r="EWJ24" s="218"/>
      <c r="EWK24" s="218"/>
      <c r="EWL24" s="218"/>
      <c r="EWM24" s="218"/>
      <c r="EWN24" s="218"/>
      <c r="EWO24" s="218"/>
      <c r="EWP24" s="218"/>
      <c r="EWQ24" s="218"/>
      <c r="EWR24" s="218"/>
      <c r="EWS24" s="218"/>
      <c r="EWT24" s="218"/>
      <c r="EWU24" s="218"/>
      <c r="EWV24" s="218"/>
      <c r="EWW24" s="218"/>
      <c r="EWX24" s="218"/>
      <c r="EWY24" s="218"/>
      <c r="EWZ24" s="218"/>
      <c r="EXA24" s="218"/>
      <c r="EXB24" s="218"/>
      <c r="EXC24" s="218"/>
      <c r="EXD24" s="218"/>
      <c r="EXE24" s="218"/>
      <c r="EXF24" s="218"/>
      <c r="EXG24" s="218"/>
      <c r="EXH24" s="218"/>
      <c r="EXI24" s="218"/>
      <c r="EXJ24" s="218"/>
      <c r="EXK24" s="218"/>
      <c r="EXL24" s="218"/>
      <c r="EXM24" s="218"/>
      <c r="EXN24" s="218"/>
      <c r="EXO24" s="218"/>
      <c r="EXP24" s="218"/>
      <c r="EXQ24" s="218"/>
      <c r="EXR24" s="218"/>
      <c r="EXS24" s="218"/>
      <c r="EXT24" s="218"/>
      <c r="EXU24" s="218"/>
      <c r="EXV24" s="218"/>
      <c r="EXW24" s="218"/>
      <c r="EXX24" s="218"/>
      <c r="EXY24" s="218"/>
      <c r="EXZ24" s="218"/>
      <c r="EYA24" s="218"/>
      <c r="EYB24" s="218"/>
      <c r="EYC24" s="218"/>
      <c r="EYD24" s="218"/>
      <c r="EYE24" s="218"/>
      <c r="EYF24" s="218"/>
      <c r="EYG24" s="218"/>
      <c r="EYH24" s="218"/>
      <c r="EYI24" s="218"/>
      <c r="EYJ24" s="218"/>
      <c r="EYK24" s="218"/>
      <c r="EYL24" s="218"/>
      <c r="EYM24" s="218"/>
      <c r="EYN24" s="218"/>
      <c r="EYO24" s="218"/>
      <c r="EYP24" s="218"/>
      <c r="EYQ24" s="218"/>
      <c r="EYR24" s="218"/>
      <c r="EYS24" s="218"/>
      <c r="EYT24" s="218"/>
      <c r="EYU24" s="218"/>
      <c r="EYV24" s="218"/>
      <c r="EYW24" s="218"/>
      <c r="EYX24" s="218"/>
      <c r="EYY24" s="218"/>
      <c r="EYZ24" s="218"/>
      <c r="EZA24" s="218"/>
      <c r="EZB24" s="218"/>
      <c r="EZC24" s="218"/>
      <c r="EZD24" s="218"/>
      <c r="EZE24" s="218"/>
      <c r="EZF24" s="218"/>
      <c r="EZG24" s="218"/>
      <c r="EZH24" s="218"/>
      <c r="EZI24" s="218"/>
      <c r="EZJ24" s="218"/>
      <c r="EZK24" s="218"/>
      <c r="EZL24" s="218"/>
      <c r="EZM24" s="218"/>
      <c r="EZN24" s="218"/>
      <c r="EZO24" s="218"/>
      <c r="EZP24" s="218"/>
      <c r="EZQ24" s="218"/>
      <c r="EZR24" s="218"/>
      <c r="EZS24" s="218"/>
      <c r="EZT24" s="218"/>
      <c r="EZU24" s="218"/>
      <c r="EZV24" s="218"/>
      <c r="EZW24" s="218"/>
      <c r="EZX24" s="218"/>
      <c r="EZY24" s="218"/>
      <c r="EZZ24" s="218"/>
      <c r="FAA24" s="218"/>
      <c r="FAB24" s="218"/>
      <c r="FAC24" s="218"/>
      <c r="FAD24" s="218"/>
      <c r="FAE24" s="218"/>
      <c r="FAF24" s="218"/>
      <c r="FAG24" s="218"/>
      <c r="FAH24" s="218"/>
      <c r="FAI24" s="218"/>
      <c r="FAJ24" s="218"/>
      <c r="FAK24" s="218"/>
      <c r="FAL24" s="218"/>
      <c r="FAM24" s="218"/>
      <c r="FAN24" s="218"/>
      <c r="FAO24" s="218"/>
      <c r="FAP24" s="218"/>
      <c r="FAQ24" s="218"/>
      <c r="FAR24" s="218"/>
      <c r="FAS24" s="218"/>
      <c r="FAT24" s="218"/>
      <c r="FAU24" s="218"/>
      <c r="FAV24" s="218"/>
      <c r="FAW24" s="218"/>
      <c r="FAX24" s="218"/>
      <c r="FAY24" s="218"/>
      <c r="FAZ24" s="218"/>
      <c r="FBA24" s="218"/>
      <c r="FBB24" s="218"/>
      <c r="FBC24" s="218"/>
      <c r="FBD24" s="218"/>
      <c r="FBE24" s="218"/>
      <c r="FBF24" s="218"/>
      <c r="FBG24" s="218"/>
      <c r="FBH24" s="218"/>
      <c r="FBI24" s="218"/>
      <c r="FBJ24" s="218"/>
      <c r="FBK24" s="218"/>
      <c r="FBL24" s="218"/>
      <c r="FBM24" s="218"/>
      <c r="FBN24" s="218"/>
      <c r="FBO24" s="218"/>
      <c r="FBP24" s="218"/>
      <c r="FBQ24" s="218"/>
      <c r="FBR24" s="218"/>
      <c r="FBS24" s="218"/>
      <c r="FBT24" s="218"/>
      <c r="FBU24" s="218"/>
      <c r="FBV24" s="218"/>
      <c r="FBW24" s="218"/>
      <c r="FBX24" s="218"/>
      <c r="FBY24" s="218"/>
      <c r="FBZ24" s="218"/>
      <c r="FCA24" s="218"/>
      <c r="FCB24" s="218"/>
      <c r="FCC24" s="218"/>
      <c r="FCD24" s="218"/>
      <c r="FCE24" s="218"/>
      <c r="FCF24" s="218"/>
      <c r="FCG24" s="218"/>
      <c r="FCH24" s="218"/>
      <c r="FCI24" s="218"/>
      <c r="FCJ24" s="218"/>
      <c r="FCK24" s="218"/>
      <c r="FCL24" s="218"/>
      <c r="FCM24" s="218"/>
      <c r="FCN24" s="218"/>
      <c r="FCO24" s="218"/>
      <c r="FCP24" s="218"/>
      <c r="FCQ24" s="218"/>
      <c r="FCR24" s="218"/>
      <c r="FCS24" s="218"/>
      <c r="FCT24" s="218"/>
      <c r="FCU24" s="218"/>
      <c r="FCV24" s="218"/>
      <c r="FCW24" s="218"/>
      <c r="FCX24" s="218"/>
      <c r="FCY24" s="218"/>
      <c r="FCZ24" s="218"/>
      <c r="FDA24" s="218"/>
      <c r="FDB24" s="218"/>
      <c r="FDC24" s="218"/>
      <c r="FDD24" s="218"/>
      <c r="FDE24" s="218"/>
      <c r="FDF24" s="218"/>
      <c r="FDG24" s="218"/>
      <c r="FDH24" s="218"/>
      <c r="FDI24" s="218"/>
      <c r="FDJ24" s="218"/>
      <c r="FDK24" s="218"/>
      <c r="FDL24" s="218"/>
      <c r="FDM24" s="218"/>
      <c r="FDN24" s="218"/>
      <c r="FDO24" s="218"/>
      <c r="FDP24" s="218"/>
      <c r="FDQ24" s="218"/>
      <c r="FDR24" s="218"/>
      <c r="FDS24" s="218"/>
      <c r="FDT24" s="218"/>
      <c r="FDU24" s="218"/>
      <c r="FDV24" s="218"/>
      <c r="FDW24" s="218"/>
      <c r="FDX24" s="218"/>
      <c r="FDY24" s="218"/>
      <c r="FDZ24" s="218"/>
      <c r="FEA24" s="218"/>
      <c r="FEB24" s="218"/>
      <c r="FEC24" s="218"/>
      <c r="FED24" s="218"/>
      <c r="FEE24" s="218"/>
      <c r="FEF24" s="218"/>
      <c r="FEG24" s="218"/>
      <c r="FEH24" s="218"/>
      <c r="FEI24" s="218"/>
      <c r="FEJ24" s="218"/>
      <c r="FEK24" s="218"/>
      <c r="FEL24" s="218"/>
      <c r="FEM24" s="218"/>
      <c r="FEN24" s="218"/>
      <c r="FEO24" s="218"/>
      <c r="FEP24" s="218"/>
      <c r="FEQ24" s="218"/>
      <c r="FER24" s="218"/>
      <c r="FES24" s="218"/>
      <c r="FET24" s="218"/>
      <c r="FEU24" s="218"/>
      <c r="FEV24" s="218"/>
      <c r="FEW24" s="218"/>
      <c r="FEX24" s="218"/>
      <c r="FEY24" s="218"/>
      <c r="FEZ24" s="218"/>
      <c r="FFA24" s="218"/>
      <c r="FFB24" s="218"/>
      <c r="FFC24" s="218"/>
      <c r="FFD24" s="218"/>
      <c r="FFE24" s="218"/>
      <c r="FFF24" s="218"/>
      <c r="FFG24" s="218"/>
      <c r="FFH24" s="218"/>
      <c r="FFI24" s="218"/>
      <c r="FFJ24" s="218"/>
      <c r="FFK24" s="218"/>
      <c r="FFL24" s="218"/>
      <c r="FFM24" s="218"/>
      <c r="FFN24" s="218"/>
      <c r="FFO24" s="218"/>
      <c r="FFP24" s="218"/>
      <c r="FFQ24" s="218"/>
      <c r="FFR24" s="218"/>
      <c r="FFS24" s="218"/>
      <c r="FFT24" s="218"/>
      <c r="FFU24" s="218"/>
      <c r="FFV24" s="218"/>
      <c r="FFW24" s="218"/>
      <c r="FFX24" s="218"/>
      <c r="FFY24" s="218"/>
      <c r="FFZ24" s="218"/>
      <c r="FGA24" s="218"/>
      <c r="FGB24" s="218"/>
      <c r="FGC24" s="218"/>
      <c r="FGD24" s="218"/>
      <c r="FGE24" s="218"/>
      <c r="FGF24" s="218"/>
      <c r="FGG24" s="218"/>
      <c r="FGH24" s="218"/>
      <c r="FGI24" s="218"/>
      <c r="FGJ24" s="218"/>
      <c r="FGK24" s="218"/>
      <c r="FGL24" s="218"/>
      <c r="FGM24" s="218"/>
      <c r="FGN24" s="218"/>
      <c r="FGO24" s="218"/>
      <c r="FGP24" s="218"/>
      <c r="FGQ24" s="218"/>
      <c r="FGR24" s="218"/>
      <c r="FGS24" s="218"/>
      <c r="FGT24" s="218"/>
      <c r="FGU24" s="218"/>
      <c r="FGV24" s="218"/>
      <c r="FGW24" s="218"/>
      <c r="FGX24" s="218"/>
      <c r="FGY24" s="218"/>
      <c r="FGZ24" s="218"/>
      <c r="FHA24" s="218"/>
      <c r="FHB24" s="218"/>
      <c r="FHC24" s="218"/>
      <c r="FHD24" s="218"/>
      <c r="FHE24" s="218"/>
      <c r="FHF24" s="218"/>
      <c r="FHG24" s="218"/>
      <c r="FHH24" s="218"/>
      <c r="FHI24" s="218"/>
      <c r="FHJ24" s="218"/>
      <c r="FHK24" s="218"/>
      <c r="FHL24" s="218"/>
      <c r="FHM24" s="218"/>
      <c r="FHN24" s="218"/>
      <c r="FHO24" s="218"/>
      <c r="FHP24" s="218"/>
      <c r="FHQ24" s="218"/>
      <c r="FHR24" s="218"/>
      <c r="FHS24" s="218"/>
      <c r="FHT24" s="218"/>
      <c r="FHU24" s="218"/>
      <c r="FHV24" s="218"/>
      <c r="FHW24" s="218"/>
      <c r="FHX24" s="218"/>
      <c r="FHY24" s="218"/>
      <c r="FHZ24" s="218"/>
      <c r="FIA24" s="218"/>
      <c r="FIB24" s="218"/>
      <c r="FIC24" s="218"/>
      <c r="FID24" s="218"/>
      <c r="FIE24" s="218"/>
      <c r="FIF24" s="218"/>
      <c r="FIG24" s="218"/>
      <c r="FIH24" s="218"/>
      <c r="FII24" s="218"/>
      <c r="FIJ24" s="218"/>
      <c r="FIK24" s="218"/>
      <c r="FIL24" s="218"/>
      <c r="FIM24" s="218"/>
      <c r="FIN24" s="218"/>
      <c r="FIO24" s="218"/>
      <c r="FIP24" s="218"/>
      <c r="FIQ24" s="218"/>
      <c r="FIR24" s="218"/>
      <c r="FIS24" s="218"/>
      <c r="FIT24" s="218"/>
      <c r="FIU24" s="218"/>
      <c r="FIV24" s="218"/>
      <c r="FIW24" s="218"/>
      <c r="FIX24" s="218"/>
      <c r="FIY24" s="218"/>
      <c r="FIZ24" s="218"/>
      <c r="FJA24" s="218"/>
      <c r="FJB24" s="218"/>
      <c r="FJC24" s="218"/>
      <c r="FJD24" s="218"/>
      <c r="FJE24" s="218"/>
      <c r="FJF24" s="218"/>
      <c r="FJG24" s="218"/>
      <c r="FJH24" s="218"/>
      <c r="FJI24" s="218"/>
      <c r="FJJ24" s="218"/>
      <c r="FJK24" s="218"/>
      <c r="FJL24" s="218"/>
      <c r="FJM24" s="218"/>
      <c r="FJN24" s="218"/>
      <c r="FJO24" s="218"/>
      <c r="FJP24" s="218"/>
      <c r="FJQ24" s="218"/>
      <c r="FJR24" s="218"/>
      <c r="FJS24" s="218"/>
      <c r="FJT24" s="218"/>
      <c r="FJU24" s="218"/>
      <c r="FJV24" s="218"/>
      <c r="FJW24" s="218"/>
      <c r="FJX24" s="218"/>
      <c r="FJY24" s="218"/>
      <c r="FJZ24" s="218"/>
      <c r="FKA24" s="218"/>
      <c r="FKB24" s="218"/>
      <c r="FKC24" s="218"/>
      <c r="FKD24" s="218"/>
      <c r="FKE24" s="218"/>
      <c r="FKF24" s="218"/>
      <c r="FKG24" s="218"/>
      <c r="FKH24" s="218"/>
      <c r="FKI24" s="218"/>
      <c r="FKJ24" s="218"/>
      <c r="FKK24" s="218"/>
      <c r="FKL24" s="218"/>
      <c r="FKM24" s="218"/>
      <c r="FKN24" s="218"/>
      <c r="FKO24" s="218"/>
      <c r="FKP24" s="218"/>
      <c r="FKQ24" s="218"/>
      <c r="FKR24" s="218"/>
      <c r="FKS24" s="218"/>
      <c r="FKT24" s="218"/>
      <c r="FKU24" s="218"/>
      <c r="FKV24" s="218"/>
      <c r="FKW24" s="218"/>
      <c r="FKX24" s="218"/>
      <c r="FKY24" s="218"/>
      <c r="FKZ24" s="218"/>
      <c r="FLA24" s="218"/>
      <c r="FLB24" s="218"/>
      <c r="FLC24" s="218"/>
      <c r="FLD24" s="218"/>
      <c r="FLE24" s="218"/>
      <c r="FLF24" s="218"/>
      <c r="FLG24" s="218"/>
      <c r="FLH24" s="218"/>
      <c r="FLI24" s="218"/>
      <c r="FLJ24" s="218"/>
      <c r="FLK24" s="218"/>
      <c r="FLL24" s="218"/>
      <c r="FLM24" s="218"/>
      <c r="FLN24" s="218"/>
      <c r="FLO24" s="218"/>
      <c r="FLP24" s="218"/>
      <c r="FLQ24" s="218"/>
      <c r="FLR24" s="218"/>
      <c r="FLS24" s="218"/>
      <c r="FLT24" s="218"/>
      <c r="FLU24" s="218"/>
      <c r="FLV24" s="218"/>
      <c r="FLW24" s="218"/>
      <c r="FLX24" s="218"/>
      <c r="FLY24" s="218"/>
      <c r="FLZ24" s="218"/>
      <c r="FMA24" s="218"/>
      <c r="FMB24" s="218"/>
      <c r="FMC24" s="218"/>
      <c r="FMD24" s="218"/>
      <c r="FME24" s="218"/>
      <c r="FMF24" s="218"/>
      <c r="FMG24" s="218"/>
      <c r="FMH24" s="218"/>
      <c r="FMI24" s="218"/>
      <c r="FMJ24" s="218"/>
      <c r="FMK24" s="218"/>
      <c r="FML24" s="218"/>
      <c r="FMM24" s="218"/>
      <c r="FMN24" s="218"/>
      <c r="FMO24" s="218"/>
      <c r="FMP24" s="218"/>
      <c r="FMQ24" s="218"/>
      <c r="FMR24" s="218"/>
      <c r="FMS24" s="218"/>
      <c r="FMT24" s="218"/>
      <c r="FMU24" s="218"/>
      <c r="FMV24" s="218"/>
      <c r="FMW24" s="218"/>
      <c r="FMX24" s="218"/>
      <c r="FMY24" s="218"/>
      <c r="FMZ24" s="218"/>
      <c r="FNA24" s="218"/>
      <c r="FNB24" s="218"/>
      <c r="FNC24" s="218"/>
      <c r="FND24" s="218"/>
      <c r="FNE24" s="218"/>
      <c r="FNF24" s="218"/>
      <c r="FNG24" s="218"/>
      <c r="FNH24" s="218"/>
      <c r="FNI24" s="218"/>
      <c r="FNJ24" s="218"/>
      <c r="FNK24" s="218"/>
      <c r="FNL24" s="218"/>
      <c r="FNM24" s="218"/>
      <c r="FNN24" s="218"/>
      <c r="FNO24" s="218"/>
      <c r="FNP24" s="218"/>
      <c r="FNQ24" s="218"/>
      <c r="FNR24" s="218"/>
      <c r="FNS24" s="218"/>
      <c r="FNT24" s="218"/>
      <c r="FNU24" s="218"/>
      <c r="FNV24" s="218"/>
      <c r="FNW24" s="218"/>
      <c r="FNX24" s="218"/>
      <c r="FNY24" s="218"/>
      <c r="FNZ24" s="218"/>
      <c r="FOA24" s="218"/>
      <c r="FOB24" s="218"/>
      <c r="FOC24" s="218"/>
      <c r="FOD24" s="218"/>
      <c r="FOE24" s="218"/>
      <c r="FOF24" s="218"/>
      <c r="FOG24" s="218"/>
      <c r="FOH24" s="218"/>
      <c r="FOI24" s="218"/>
      <c r="FOJ24" s="218"/>
      <c r="FOK24" s="218"/>
      <c r="FOL24" s="218"/>
      <c r="FOM24" s="218"/>
      <c r="FON24" s="218"/>
      <c r="FOO24" s="218"/>
      <c r="FOP24" s="218"/>
      <c r="FOQ24" s="218"/>
      <c r="FOR24" s="218"/>
      <c r="FOS24" s="218"/>
      <c r="FOT24" s="218"/>
      <c r="FOU24" s="218"/>
      <c r="FOV24" s="218"/>
      <c r="FOW24" s="218"/>
      <c r="FOX24" s="218"/>
      <c r="FOY24" s="218"/>
      <c r="FOZ24" s="218"/>
      <c r="FPA24" s="218"/>
      <c r="FPB24" s="218"/>
      <c r="FPC24" s="218"/>
      <c r="FPD24" s="218"/>
      <c r="FPE24" s="218"/>
      <c r="FPF24" s="218"/>
      <c r="FPG24" s="218"/>
      <c r="FPH24" s="218"/>
      <c r="FPI24" s="218"/>
      <c r="FPJ24" s="218"/>
      <c r="FPK24" s="218"/>
      <c r="FPL24" s="218"/>
      <c r="FPM24" s="218"/>
      <c r="FPN24" s="218"/>
      <c r="FPO24" s="218"/>
      <c r="FPP24" s="218"/>
      <c r="FPQ24" s="218"/>
      <c r="FPR24" s="218"/>
      <c r="FPS24" s="218"/>
      <c r="FPT24" s="218"/>
      <c r="FPU24" s="218"/>
      <c r="FPV24" s="218"/>
      <c r="FPW24" s="218"/>
      <c r="FPX24" s="218"/>
      <c r="FPY24" s="218"/>
      <c r="FPZ24" s="218"/>
      <c r="FQA24" s="218"/>
      <c r="FQB24" s="218"/>
      <c r="FQC24" s="218"/>
      <c r="FQD24" s="218"/>
      <c r="FQE24" s="218"/>
      <c r="FQF24" s="218"/>
      <c r="FQG24" s="218"/>
      <c r="FQH24" s="218"/>
      <c r="FQI24" s="218"/>
      <c r="FQJ24" s="218"/>
      <c r="FQK24" s="218"/>
      <c r="FQL24" s="218"/>
      <c r="FQM24" s="218"/>
      <c r="FQN24" s="218"/>
      <c r="FQO24" s="218"/>
      <c r="FQP24" s="218"/>
      <c r="FQQ24" s="218"/>
      <c r="FQR24" s="218"/>
      <c r="FQS24" s="218"/>
      <c r="FQT24" s="218"/>
      <c r="FQU24" s="218"/>
      <c r="FQV24" s="218"/>
      <c r="FQW24" s="218"/>
      <c r="FQX24" s="218"/>
      <c r="FQY24" s="218"/>
      <c r="FQZ24" s="218"/>
      <c r="FRA24" s="218"/>
      <c r="FRB24" s="218"/>
      <c r="FRC24" s="218"/>
      <c r="FRD24" s="218"/>
      <c r="FRE24" s="218"/>
      <c r="FRF24" s="218"/>
      <c r="FRG24" s="218"/>
      <c r="FRH24" s="218"/>
      <c r="FRI24" s="218"/>
      <c r="FRJ24" s="218"/>
      <c r="FRK24" s="218"/>
      <c r="FRL24" s="218"/>
      <c r="FRM24" s="218"/>
      <c r="FRN24" s="218"/>
      <c r="FRO24" s="218"/>
      <c r="FRP24" s="218"/>
      <c r="FRQ24" s="218"/>
      <c r="FRR24" s="218"/>
      <c r="FRS24" s="218"/>
      <c r="FRT24" s="218"/>
      <c r="FRU24" s="218"/>
      <c r="FRV24" s="218"/>
      <c r="FRW24" s="218"/>
      <c r="FRX24" s="218"/>
      <c r="FRY24" s="218"/>
      <c r="FRZ24" s="218"/>
      <c r="FSA24" s="218"/>
      <c r="FSB24" s="218"/>
      <c r="FSC24" s="218"/>
      <c r="FSD24" s="218"/>
      <c r="FSE24" s="218"/>
      <c r="FSF24" s="218"/>
      <c r="FSG24" s="218"/>
      <c r="FSH24" s="218"/>
      <c r="FSI24" s="218"/>
      <c r="FSJ24" s="218"/>
      <c r="FSK24" s="218"/>
      <c r="FSL24" s="218"/>
      <c r="FSM24" s="218"/>
      <c r="FSN24" s="218"/>
      <c r="FSO24" s="218"/>
      <c r="FSP24" s="218"/>
      <c r="FSQ24" s="218"/>
      <c r="FSR24" s="218"/>
      <c r="FSS24" s="218"/>
      <c r="FST24" s="218"/>
      <c r="FSU24" s="218"/>
      <c r="FSV24" s="218"/>
      <c r="FSW24" s="218"/>
      <c r="FSX24" s="218"/>
      <c r="FSY24" s="218"/>
      <c r="FSZ24" s="218"/>
      <c r="FTA24" s="218"/>
      <c r="FTB24" s="218"/>
      <c r="FTC24" s="218"/>
      <c r="FTD24" s="218"/>
      <c r="FTE24" s="218"/>
      <c r="FTF24" s="218"/>
      <c r="FTG24" s="218"/>
      <c r="FTH24" s="218"/>
      <c r="FTI24" s="218"/>
      <c r="FTJ24" s="218"/>
      <c r="FTK24" s="218"/>
      <c r="FTL24" s="218"/>
      <c r="FTM24" s="218"/>
      <c r="FTN24" s="218"/>
      <c r="FTO24" s="218"/>
      <c r="FTP24" s="218"/>
      <c r="FTQ24" s="218"/>
      <c r="FTR24" s="218"/>
      <c r="FTS24" s="218"/>
      <c r="FTT24" s="218"/>
      <c r="FTU24" s="218"/>
      <c r="FTV24" s="218"/>
      <c r="FTW24" s="218"/>
      <c r="FTX24" s="218"/>
      <c r="FTY24" s="218"/>
      <c r="FTZ24" s="218"/>
      <c r="FUA24" s="218"/>
      <c r="FUB24" s="218"/>
      <c r="FUC24" s="218"/>
      <c r="FUD24" s="218"/>
      <c r="FUE24" s="218"/>
      <c r="FUF24" s="218"/>
      <c r="FUG24" s="218"/>
      <c r="FUH24" s="218"/>
      <c r="FUI24" s="218"/>
      <c r="FUJ24" s="218"/>
      <c r="FUK24" s="218"/>
      <c r="FUL24" s="218"/>
      <c r="FUM24" s="218"/>
      <c r="FUN24" s="218"/>
      <c r="FUO24" s="218"/>
      <c r="FUP24" s="218"/>
      <c r="FUQ24" s="218"/>
      <c r="FUR24" s="218"/>
      <c r="FUS24" s="218"/>
      <c r="FUT24" s="218"/>
      <c r="FUU24" s="218"/>
      <c r="FUV24" s="218"/>
      <c r="FUW24" s="218"/>
      <c r="FUX24" s="218"/>
      <c r="FUY24" s="218"/>
      <c r="FUZ24" s="218"/>
      <c r="FVA24" s="218"/>
      <c r="FVB24" s="218"/>
      <c r="FVC24" s="218"/>
      <c r="FVD24" s="218"/>
      <c r="FVE24" s="218"/>
      <c r="FVF24" s="218"/>
      <c r="FVG24" s="218"/>
      <c r="FVH24" s="218"/>
      <c r="FVI24" s="218"/>
      <c r="FVJ24" s="218"/>
      <c r="FVK24" s="218"/>
      <c r="FVL24" s="218"/>
      <c r="FVM24" s="218"/>
      <c r="FVN24" s="218"/>
      <c r="FVO24" s="218"/>
      <c r="FVP24" s="218"/>
      <c r="FVQ24" s="218"/>
      <c r="FVR24" s="218"/>
      <c r="FVS24" s="218"/>
      <c r="FVT24" s="218"/>
      <c r="FVU24" s="218"/>
      <c r="FVV24" s="218"/>
      <c r="FVW24" s="218"/>
      <c r="FVX24" s="218"/>
      <c r="FVY24" s="218"/>
      <c r="FVZ24" s="218"/>
      <c r="FWA24" s="218"/>
      <c r="FWB24" s="218"/>
      <c r="FWC24" s="218"/>
      <c r="FWD24" s="218"/>
      <c r="FWE24" s="218"/>
      <c r="FWF24" s="218"/>
      <c r="FWG24" s="218"/>
      <c r="FWH24" s="218"/>
      <c r="FWI24" s="218"/>
      <c r="FWJ24" s="218"/>
      <c r="FWK24" s="218"/>
      <c r="FWL24" s="218"/>
      <c r="FWM24" s="218"/>
      <c r="FWN24" s="218"/>
      <c r="FWO24" s="218"/>
      <c r="FWP24" s="218"/>
      <c r="FWQ24" s="218"/>
      <c r="FWR24" s="218"/>
      <c r="FWS24" s="218"/>
      <c r="FWT24" s="218"/>
      <c r="FWU24" s="218"/>
      <c r="FWV24" s="218"/>
      <c r="FWW24" s="218"/>
      <c r="FWX24" s="218"/>
      <c r="FWY24" s="218"/>
      <c r="FWZ24" s="218"/>
      <c r="FXA24" s="218"/>
      <c r="FXB24" s="218"/>
      <c r="FXC24" s="218"/>
      <c r="FXD24" s="218"/>
      <c r="FXE24" s="218"/>
      <c r="FXF24" s="218"/>
      <c r="FXG24" s="218"/>
      <c r="FXH24" s="218"/>
      <c r="FXI24" s="218"/>
      <c r="FXJ24" s="218"/>
      <c r="FXK24" s="218"/>
      <c r="FXL24" s="218"/>
      <c r="FXM24" s="218"/>
      <c r="FXN24" s="218"/>
      <c r="FXO24" s="218"/>
      <c r="FXP24" s="218"/>
      <c r="FXQ24" s="218"/>
      <c r="FXR24" s="218"/>
      <c r="FXS24" s="218"/>
      <c r="FXT24" s="218"/>
      <c r="FXU24" s="218"/>
      <c r="FXV24" s="218"/>
      <c r="FXW24" s="218"/>
      <c r="FXX24" s="218"/>
      <c r="FXY24" s="218"/>
      <c r="FXZ24" s="218"/>
      <c r="FYA24" s="218"/>
      <c r="FYB24" s="218"/>
      <c r="FYC24" s="218"/>
      <c r="FYD24" s="218"/>
      <c r="FYE24" s="218"/>
      <c r="FYF24" s="218"/>
      <c r="FYG24" s="218"/>
      <c r="FYH24" s="218"/>
      <c r="FYI24" s="218"/>
      <c r="FYJ24" s="218"/>
      <c r="FYK24" s="218"/>
      <c r="FYL24" s="218"/>
      <c r="FYM24" s="218"/>
      <c r="FYN24" s="218"/>
      <c r="FYO24" s="218"/>
      <c r="FYP24" s="218"/>
      <c r="FYQ24" s="218"/>
      <c r="FYR24" s="218"/>
      <c r="FYS24" s="218"/>
      <c r="FYT24" s="218"/>
      <c r="FYU24" s="218"/>
      <c r="FYV24" s="218"/>
      <c r="FYW24" s="218"/>
      <c r="FYX24" s="218"/>
      <c r="FYY24" s="218"/>
      <c r="FYZ24" s="218"/>
      <c r="FZA24" s="218"/>
      <c r="FZB24" s="218"/>
      <c r="FZC24" s="218"/>
      <c r="FZD24" s="218"/>
      <c r="FZE24" s="218"/>
      <c r="FZF24" s="218"/>
      <c r="FZG24" s="218"/>
      <c r="FZH24" s="218"/>
      <c r="FZI24" s="218"/>
      <c r="FZJ24" s="218"/>
      <c r="FZK24" s="218"/>
      <c r="FZL24" s="218"/>
      <c r="FZM24" s="218"/>
      <c r="FZN24" s="218"/>
      <c r="FZO24" s="218"/>
      <c r="FZP24" s="218"/>
      <c r="FZQ24" s="218"/>
      <c r="FZR24" s="218"/>
      <c r="FZS24" s="218"/>
      <c r="FZT24" s="218"/>
      <c r="FZU24" s="218"/>
      <c r="FZV24" s="218"/>
      <c r="FZW24" s="218"/>
      <c r="FZX24" s="218"/>
      <c r="FZY24" s="218"/>
      <c r="FZZ24" s="218"/>
      <c r="GAA24" s="218"/>
      <c r="GAB24" s="218"/>
      <c r="GAC24" s="218"/>
      <c r="GAD24" s="218"/>
      <c r="GAE24" s="218"/>
      <c r="GAF24" s="218"/>
      <c r="GAG24" s="218"/>
      <c r="GAH24" s="218"/>
      <c r="GAI24" s="218"/>
      <c r="GAJ24" s="218"/>
      <c r="GAK24" s="218"/>
      <c r="GAL24" s="218"/>
      <c r="GAM24" s="218"/>
      <c r="GAN24" s="218"/>
      <c r="GAO24" s="218"/>
      <c r="GAP24" s="218"/>
      <c r="GAQ24" s="218"/>
      <c r="GAR24" s="218"/>
      <c r="GAS24" s="218"/>
      <c r="GAT24" s="218"/>
      <c r="GAU24" s="218"/>
      <c r="GAV24" s="218"/>
      <c r="GAW24" s="218"/>
      <c r="GAX24" s="218"/>
      <c r="GAY24" s="218"/>
      <c r="GAZ24" s="218"/>
      <c r="GBA24" s="218"/>
      <c r="GBB24" s="218"/>
      <c r="GBC24" s="218"/>
      <c r="GBD24" s="218"/>
      <c r="GBE24" s="218"/>
      <c r="GBF24" s="218"/>
      <c r="GBG24" s="218"/>
      <c r="GBH24" s="218"/>
      <c r="GBI24" s="218"/>
      <c r="GBJ24" s="218"/>
      <c r="GBK24" s="218"/>
      <c r="GBL24" s="218"/>
      <c r="GBM24" s="218"/>
      <c r="GBN24" s="218"/>
      <c r="GBO24" s="218"/>
      <c r="GBP24" s="218"/>
      <c r="GBQ24" s="218"/>
      <c r="GBR24" s="218"/>
      <c r="GBS24" s="218"/>
      <c r="GBT24" s="218"/>
      <c r="GBU24" s="218"/>
      <c r="GBV24" s="218"/>
      <c r="GBW24" s="218"/>
      <c r="GBX24" s="218"/>
      <c r="GBY24" s="218"/>
      <c r="GBZ24" s="218"/>
      <c r="GCA24" s="218"/>
      <c r="GCB24" s="218"/>
      <c r="GCC24" s="218"/>
      <c r="GCD24" s="218"/>
      <c r="GCE24" s="218"/>
      <c r="GCF24" s="218"/>
      <c r="GCG24" s="218"/>
      <c r="GCH24" s="218"/>
      <c r="GCI24" s="218"/>
      <c r="GCJ24" s="218"/>
      <c r="GCK24" s="218"/>
      <c r="GCL24" s="218"/>
      <c r="GCM24" s="218"/>
      <c r="GCN24" s="218"/>
      <c r="GCO24" s="218"/>
      <c r="GCP24" s="218"/>
      <c r="GCQ24" s="218"/>
      <c r="GCR24" s="218"/>
      <c r="GCS24" s="218"/>
      <c r="GCT24" s="218"/>
      <c r="GCU24" s="218"/>
      <c r="GCV24" s="218"/>
      <c r="GCW24" s="218"/>
      <c r="GCX24" s="218"/>
      <c r="GCY24" s="218"/>
      <c r="GCZ24" s="218"/>
      <c r="GDA24" s="218"/>
      <c r="GDB24" s="218"/>
      <c r="GDC24" s="218"/>
      <c r="GDD24" s="218"/>
      <c r="GDE24" s="218"/>
      <c r="GDF24" s="218"/>
      <c r="GDG24" s="218"/>
      <c r="GDH24" s="218"/>
      <c r="GDI24" s="218"/>
      <c r="GDJ24" s="218"/>
      <c r="GDK24" s="218"/>
      <c r="GDL24" s="218"/>
      <c r="GDM24" s="218"/>
      <c r="GDN24" s="218"/>
      <c r="GDO24" s="218"/>
      <c r="GDP24" s="218"/>
      <c r="GDQ24" s="218"/>
      <c r="GDR24" s="218"/>
      <c r="GDS24" s="218"/>
      <c r="GDT24" s="218"/>
      <c r="GDU24" s="218"/>
      <c r="GDV24" s="218"/>
      <c r="GDW24" s="218"/>
      <c r="GDX24" s="218"/>
      <c r="GDY24" s="218"/>
      <c r="GDZ24" s="218"/>
      <c r="GEA24" s="218"/>
      <c r="GEB24" s="218"/>
      <c r="GEC24" s="218"/>
      <c r="GED24" s="218"/>
      <c r="GEE24" s="218"/>
      <c r="GEF24" s="218"/>
      <c r="GEG24" s="218"/>
      <c r="GEH24" s="218"/>
      <c r="GEI24" s="218"/>
      <c r="GEJ24" s="218"/>
      <c r="GEK24" s="218"/>
      <c r="GEL24" s="218"/>
      <c r="GEM24" s="218"/>
      <c r="GEN24" s="218"/>
      <c r="GEO24" s="218"/>
      <c r="GEP24" s="218"/>
      <c r="GEQ24" s="218"/>
      <c r="GER24" s="218"/>
      <c r="GES24" s="218"/>
      <c r="GET24" s="218"/>
      <c r="GEU24" s="218"/>
      <c r="GEV24" s="218"/>
      <c r="GEW24" s="218"/>
      <c r="GEX24" s="218"/>
      <c r="GEY24" s="218"/>
      <c r="GEZ24" s="218"/>
      <c r="GFA24" s="218"/>
      <c r="GFB24" s="218"/>
      <c r="GFC24" s="218"/>
      <c r="GFD24" s="218"/>
      <c r="GFE24" s="218"/>
      <c r="GFF24" s="218"/>
      <c r="GFG24" s="218"/>
      <c r="GFH24" s="218"/>
      <c r="GFI24" s="218"/>
      <c r="GFJ24" s="218"/>
      <c r="GFK24" s="218"/>
      <c r="GFL24" s="218"/>
      <c r="GFM24" s="218"/>
      <c r="GFN24" s="218"/>
      <c r="GFO24" s="218"/>
      <c r="GFP24" s="218"/>
      <c r="GFQ24" s="218"/>
      <c r="GFR24" s="218"/>
      <c r="GFS24" s="218"/>
      <c r="GFT24" s="218"/>
      <c r="GFU24" s="218"/>
      <c r="GFV24" s="218"/>
      <c r="GFW24" s="218"/>
      <c r="GFX24" s="218"/>
      <c r="GFY24" s="218"/>
      <c r="GFZ24" s="218"/>
      <c r="GGA24" s="218"/>
      <c r="GGB24" s="218"/>
      <c r="GGC24" s="218"/>
      <c r="GGD24" s="218"/>
      <c r="GGE24" s="218"/>
      <c r="GGF24" s="218"/>
      <c r="GGG24" s="218"/>
      <c r="GGH24" s="218"/>
      <c r="GGI24" s="218"/>
      <c r="GGJ24" s="218"/>
      <c r="GGK24" s="218"/>
      <c r="GGL24" s="218"/>
      <c r="GGM24" s="218"/>
      <c r="GGN24" s="218"/>
      <c r="GGO24" s="218"/>
      <c r="GGP24" s="218"/>
      <c r="GGQ24" s="218"/>
      <c r="GGR24" s="218"/>
      <c r="GGS24" s="218"/>
      <c r="GGT24" s="218"/>
      <c r="GGU24" s="218"/>
      <c r="GGV24" s="218"/>
      <c r="GGW24" s="218"/>
      <c r="GGX24" s="218"/>
      <c r="GGY24" s="218"/>
      <c r="GGZ24" s="218"/>
      <c r="GHA24" s="218"/>
      <c r="GHB24" s="218"/>
      <c r="GHC24" s="218"/>
      <c r="GHD24" s="218"/>
      <c r="GHE24" s="218"/>
      <c r="GHF24" s="218"/>
      <c r="GHG24" s="218"/>
      <c r="GHH24" s="218"/>
      <c r="GHI24" s="218"/>
      <c r="GHJ24" s="218"/>
      <c r="GHK24" s="218"/>
      <c r="GHL24" s="218"/>
      <c r="GHM24" s="218"/>
      <c r="GHN24" s="218"/>
      <c r="GHO24" s="218"/>
      <c r="GHP24" s="218"/>
      <c r="GHQ24" s="218"/>
      <c r="GHR24" s="218"/>
      <c r="GHS24" s="218"/>
      <c r="GHT24" s="218"/>
      <c r="GHU24" s="218"/>
      <c r="GHV24" s="218"/>
      <c r="GHW24" s="218"/>
      <c r="GHX24" s="218"/>
      <c r="GHY24" s="218"/>
      <c r="GHZ24" s="218"/>
      <c r="GIA24" s="218"/>
      <c r="GIB24" s="218"/>
      <c r="GIC24" s="218"/>
      <c r="GID24" s="218"/>
      <c r="GIE24" s="218"/>
      <c r="GIF24" s="218"/>
      <c r="GIG24" s="218"/>
      <c r="GIH24" s="218"/>
      <c r="GII24" s="218"/>
      <c r="GIJ24" s="218"/>
      <c r="GIK24" s="218"/>
      <c r="GIL24" s="218"/>
      <c r="GIM24" s="218"/>
      <c r="GIN24" s="218"/>
      <c r="GIO24" s="218"/>
      <c r="GIP24" s="218"/>
      <c r="GIQ24" s="218"/>
      <c r="GIR24" s="218"/>
      <c r="GIS24" s="218"/>
      <c r="GIT24" s="218"/>
      <c r="GIU24" s="218"/>
      <c r="GIV24" s="218"/>
      <c r="GIW24" s="218"/>
      <c r="GIX24" s="218"/>
      <c r="GIY24" s="218"/>
      <c r="GIZ24" s="218"/>
      <c r="GJA24" s="218"/>
      <c r="GJB24" s="218"/>
      <c r="GJC24" s="218"/>
      <c r="GJD24" s="218"/>
      <c r="GJE24" s="218"/>
      <c r="GJF24" s="218"/>
      <c r="GJG24" s="218"/>
      <c r="GJH24" s="218"/>
      <c r="GJI24" s="218"/>
      <c r="GJJ24" s="218"/>
      <c r="GJK24" s="218"/>
      <c r="GJL24" s="218"/>
      <c r="GJM24" s="218"/>
      <c r="GJN24" s="218"/>
      <c r="GJO24" s="218"/>
      <c r="GJP24" s="218"/>
      <c r="GJQ24" s="218"/>
      <c r="GJR24" s="218"/>
      <c r="GJS24" s="218"/>
      <c r="GJT24" s="218"/>
      <c r="GJU24" s="218"/>
      <c r="GJV24" s="218"/>
      <c r="GJW24" s="218"/>
      <c r="GJX24" s="218"/>
      <c r="GJY24" s="218"/>
      <c r="GJZ24" s="218"/>
      <c r="GKA24" s="218"/>
      <c r="GKB24" s="218"/>
      <c r="GKC24" s="218"/>
      <c r="GKD24" s="218"/>
      <c r="GKE24" s="218"/>
      <c r="GKF24" s="218"/>
      <c r="GKG24" s="218"/>
      <c r="GKH24" s="218"/>
      <c r="GKI24" s="218"/>
      <c r="GKJ24" s="218"/>
      <c r="GKK24" s="218"/>
      <c r="GKL24" s="218"/>
      <c r="GKM24" s="218"/>
      <c r="GKN24" s="218"/>
      <c r="GKO24" s="218"/>
      <c r="GKP24" s="218"/>
      <c r="GKQ24" s="218"/>
      <c r="GKR24" s="218"/>
      <c r="GKS24" s="218"/>
      <c r="GKT24" s="218"/>
      <c r="GKU24" s="218"/>
      <c r="GKV24" s="218"/>
      <c r="GKW24" s="218"/>
      <c r="GKX24" s="218"/>
      <c r="GKY24" s="218"/>
      <c r="GKZ24" s="218"/>
      <c r="GLA24" s="218"/>
      <c r="GLB24" s="218"/>
      <c r="GLC24" s="218"/>
      <c r="GLD24" s="218"/>
      <c r="GLE24" s="218"/>
      <c r="GLF24" s="218"/>
      <c r="GLG24" s="218"/>
      <c r="GLH24" s="218"/>
      <c r="GLI24" s="218"/>
      <c r="GLJ24" s="218"/>
      <c r="GLK24" s="218"/>
      <c r="GLL24" s="218"/>
      <c r="GLM24" s="218"/>
      <c r="GLN24" s="218"/>
      <c r="GLO24" s="218"/>
      <c r="GLP24" s="218"/>
      <c r="GLQ24" s="218"/>
      <c r="GLR24" s="218"/>
      <c r="GLS24" s="218"/>
      <c r="GLT24" s="218"/>
      <c r="GLU24" s="218"/>
      <c r="GLV24" s="218"/>
      <c r="GLW24" s="218"/>
      <c r="GLX24" s="218"/>
      <c r="GLY24" s="218"/>
      <c r="GLZ24" s="218"/>
      <c r="GMA24" s="218"/>
      <c r="GMB24" s="218"/>
      <c r="GMC24" s="218"/>
      <c r="GMD24" s="218"/>
      <c r="GME24" s="218"/>
      <c r="GMF24" s="218"/>
      <c r="GMG24" s="218"/>
      <c r="GMH24" s="218"/>
      <c r="GMI24" s="218"/>
      <c r="GMJ24" s="218"/>
      <c r="GMK24" s="218"/>
      <c r="GML24" s="218"/>
      <c r="GMM24" s="218"/>
      <c r="GMN24" s="218"/>
      <c r="GMO24" s="218"/>
      <c r="GMP24" s="218"/>
      <c r="GMQ24" s="218"/>
      <c r="GMR24" s="218"/>
      <c r="GMS24" s="218"/>
      <c r="GMT24" s="218"/>
      <c r="GMU24" s="218"/>
      <c r="GMV24" s="218"/>
      <c r="GMW24" s="218"/>
      <c r="GMX24" s="218"/>
      <c r="GMY24" s="218"/>
      <c r="GMZ24" s="218"/>
      <c r="GNA24" s="218"/>
      <c r="GNB24" s="218"/>
      <c r="GNC24" s="218"/>
      <c r="GND24" s="218"/>
      <c r="GNE24" s="218"/>
      <c r="GNF24" s="218"/>
      <c r="GNG24" s="218"/>
      <c r="GNH24" s="218"/>
      <c r="GNI24" s="218"/>
      <c r="GNJ24" s="218"/>
      <c r="GNK24" s="218"/>
      <c r="GNL24" s="218"/>
      <c r="GNM24" s="218"/>
      <c r="GNN24" s="218"/>
      <c r="GNO24" s="218"/>
      <c r="GNP24" s="218"/>
      <c r="GNQ24" s="218"/>
      <c r="GNR24" s="218"/>
      <c r="GNS24" s="218"/>
      <c r="GNT24" s="218"/>
      <c r="GNU24" s="218"/>
      <c r="GNV24" s="218"/>
      <c r="GNW24" s="218"/>
      <c r="GNX24" s="218"/>
      <c r="GNY24" s="218"/>
      <c r="GNZ24" s="218"/>
      <c r="GOA24" s="218"/>
      <c r="GOB24" s="218"/>
      <c r="GOC24" s="218"/>
      <c r="GOD24" s="218"/>
      <c r="GOE24" s="218"/>
      <c r="GOF24" s="218"/>
      <c r="GOG24" s="218"/>
      <c r="GOH24" s="218"/>
      <c r="GOI24" s="218"/>
      <c r="GOJ24" s="218"/>
      <c r="GOK24" s="218"/>
      <c r="GOL24" s="218"/>
      <c r="GOM24" s="218"/>
      <c r="GON24" s="218"/>
      <c r="GOO24" s="218"/>
      <c r="GOP24" s="218"/>
      <c r="GOQ24" s="218"/>
      <c r="GOR24" s="218"/>
      <c r="GOS24" s="218"/>
      <c r="GOT24" s="218"/>
      <c r="GOU24" s="218"/>
      <c r="GOV24" s="218"/>
      <c r="GOW24" s="218"/>
      <c r="GOX24" s="218"/>
      <c r="GOY24" s="218"/>
      <c r="GOZ24" s="218"/>
      <c r="GPA24" s="218"/>
      <c r="GPB24" s="218"/>
      <c r="GPC24" s="218"/>
      <c r="GPD24" s="218"/>
      <c r="GPE24" s="218"/>
      <c r="GPF24" s="218"/>
      <c r="GPG24" s="218"/>
      <c r="GPH24" s="218"/>
      <c r="GPI24" s="218"/>
      <c r="GPJ24" s="218"/>
      <c r="GPK24" s="218"/>
      <c r="GPL24" s="218"/>
      <c r="GPM24" s="218"/>
      <c r="GPN24" s="218"/>
      <c r="GPO24" s="218"/>
      <c r="GPP24" s="218"/>
      <c r="GPQ24" s="218"/>
      <c r="GPR24" s="218"/>
      <c r="GPS24" s="218"/>
      <c r="GPT24" s="218"/>
      <c r="GPU24" s="218"/>
      <c r="GPV24" s="218"/>
      <c r="GPW24" s="218"/>
      <c r="GPX24" s="218"/>
      <c r="GPY24" s="218"/>
      <c r="GPZ24" s="218"/>
      <c r="GQA24" s="218"/>
      <c r="GQB24" s="218"/>
      <c r="GQC24" s="218"/>
      <c r="GQD24" s="218"/>
      <c r="GQE24" s="218"/>
      <c r="GQF24" s="218"/>
      <c r="GQG24" s="218"/>
      <c r="GQH24" s="218"/>
      <c r="GQI24" s="218"/>
      <c r="GQJ24" s="218"/>
      <c r="GQK24" s="218"/>
      <c r="GQL24" s="218"/>
      <c r="GQM24" s="218"/>
      <c r="GQN24" s="218"/>
      <c r="GQO24" s="218"/>
      <c r="GQP24" s="218"/>
      <c r="GQQ24" s="218"/>
      <c r="GQR24" s="218"/>
      <c r="GQS24" s="218"/>
      <c r="GQT24" s="218"/>
      <c r="GQU24" s="218"/>
      <c r="GQV24" s="218"/>
      <c r="GQW24" s="218"/>
      <c r="GQX24" s="218"/>
      <c r="GQY24" s="218"/>
      <c r="GQZ24" s="218"/>
      <c r="GRA24" s="218"/>
      <c r="GRB24" s="218"/>
      <c r="GRC24" s="218"/>
      <c r="GRD24" s="218"/>
      <c r="GRE24" s="218"/>
      <c r="GRF24" s="218"/>
      <c r="GRG24" s="218"/>
      <c r="GRH24" s="218"/>
      <c r="GRI24" s="218"/>
      <c r="GRJ24" s="218"/>
      <c r="GRK24" s="218"/>
      <c r="GRL24" s="218"/>
      <c r="GRM24" s="218"/>
      <c r="GRN24" s="218"/>
      <c r="GRO24" s="218"/>
      <c r="GRP24" s="218"/>
      <c r="GRQ24" s="218"/>
      <c r="GRR24" s="218"/>
      <c r="GRS24" s="218"/>
      <c r="GRT24" s="218"/>
      <c r="GRU24" s="218"/>
      <c r="GRV24" s="218"/>
      <c r="GRW24" s="218"/>
      <c r="GRX24" s="218"/>
      <c r="GRY24" s="218"/>
      <c r="GRZ24" s="218"/>
      <c r="GSA24" s="218"/>
      <c r="GSB24" s="218"/>
      <c r="GSC24" s="218"/>
      <c r="GSD24" s="218"/>
      <c r="GSE24" s="218"/>
      <c r="GSF24" s="218"/>
      <c r="GSG24" s="218"/>
      <c r="GSH24" s="218"/>
      <c r="GSI24" s="218"/>
      <c r="GSJ24" s="218"/>
      <c r="GSK24" s="218"/>
      <c r="GSL24" s="218"/>
      <c r="GSM24" s="218"/>
      <c r="GSN24" s="218"/>
      <c r="GSO24" s="218"/>
      <c r="GSP24" s="218"/>
      <c r="GSQ24" s="218"/>
      <c r="GSR24" s="218"/>
      <c r="GSS24" s="218"/>
      <c r="GST24" s="218"/>
      <c r="GSU24" s="218"/>
      <c r="GSV24" s="218"/>
      <c r="GSW24" s="218"/>
      <c r="GSX24" s="218"/>
      <c r="GSY24" s="218"/>
      <c r="GSZ24" s="218"/>
      <c r="GTA24" s="218"/>
      <c r="GTB24" s="218"/>
      <c r="GTC24" s="218"/>
      <c r="GTD24" s="218"/>
      <c r="GTE24" s="218"/>
      <c r="GTF24" s="218"/>
      <c r="GTG24" s="218"/>
      <c r="GTH24" s="218"/>
      <c r="GTI24" s="218"/>
      <c r="GTJ24" s="218"/>
      <c r="GTK24" s="218"/>
      <c r="GTL24" s="218"/>
      <c r="GTM24" s="218"/>
      <c r="GTN24" s="218"/>
      <c r="GTO24" s="218"/>
      <c r="GTP24" s="218"/>
      <c r="GTQ24" s="218"/>
      <c r="GTR24" s="218"/>
      <c r="GTS24" s="218"/>
      <c r="GTT24" s="218"/>
      <c r="GTU24" s="218"/>
      <c r="GTV24" s="218"/>
      <c r="GTW24" s="218"/>
      <c r="GTX24" s="218"/>
      <c r="GTY24" s="218"/>
      <c r="GTZ24" s="218"/>
      <c r="GUA24" s="218"/>
      <c r="GUB24" s="218"/>
      <c r="GUC24" s="218"/>
      <c r="GUD24" s="218"/>
      <c r="GUE24" s="218"/>
      <c r="GUF24" s="218"/>
      <c r="GUG24" s="218"/>
      <c r="GUH24" s="218"/>
      <c r="GUI24" s="218"/>
      <c r="GUJ24" s="218"/>
      <c r="GUK24" s="218"/>
      <c r="GUL24" s="218"/>
      <c r="GUM24" s="218"/>
      <c r="GUN24" s="218"/>
      <c r="GUO24" s="218"/>
      <c r="GUP24" s="218"/>
      <c r="GUQ24" s="218"/>
      <c r="GUR24" s="218"/>
      <c r="GUS24" s="218"/>
      <c r="GUT24" s="218"/>
      <c r="GUU24" s="218"/>
      <c r="GUV24" s="218"/>
      <c r="GUW24" s="218"/>
      <c r="GUX24" s="218"/>
      <c r="GUY24" s="218"/>
      <c r="GUZ24" s="218"/>
      <c r="GVA24" s="218"/>
      <c r="GVB24" s="218"/>
      <c r="GVC24" s="218"/>
      <c r="GVD24" s="218"/>
      <c r="GVE24" s="218"/>
      <c r="GVF24" s="218"/>
      <c r="GVG24" s="218"/>
      <c r="GVH24" s="218"/>
      <c r="GVI24" s="218"/>
      <c r="GVJ24" s="218"/>
      <c r="GVK24" s="218"/>
      <c r="GVL24" s="218"/>
      <c r="GVM24" s="218"/>
      <c r="GVN24" s="218"/>
      <c r="GVO24" s="218"/>
      <c r="GVP24" s="218"/>
      <c r="GVQ24" s="218"/>
      <c r="GVR24" s="218"/>
      <c r="GVS24" s="218"/>
      <c r="GVT24" s="218"/>
      <c r="GVU24" s="218"/>
      <c r="GVV24" s="218"/>
      <c r="GVW24" s="218"/>
      <c r="GVX24" s="218"/>
      <c r="GVY24" s="218"/>
      <c r="GVZ24" s="218"/>
      <c r="GWA24" s="218"/>
      <c r="GWB24" s="218"/>
      <c r="GWC24" s="218"/>
      <c r="GWD24" s="218"/>
      <c r="GWE24" s="218"/>
      <c r="GWF24" s="218"/>
      <c r="GWG24" s="218"/>
      <c r="GWH24" s="218"/>
      <c r="GWI24" s="218"/>
      <c r="GWJ24" s="218"/>
      <c r="GWK24" s="218"/>
      <c r="GWL24" s="218"/>
      <c r="GWM24" s="218"/>
      <c r="GWN24" s="218"/>
      <c r="GWO24" s="218"/>
      <c r="GWP24" s="218"/>
      <c r="GWQ24" s="218"/>
      <c r="GWR24" s="218"/>
      <c r="GWS24" s="218"/>
      <c r="GWT24" s="218"/>
      <c r="GWU24" s="218"/>
      <c r="GWV24" s="218"/>
      <c r="GWW24" s="218"/>
      <c r="GWX24" s="218"/>
      <c r="GWY24" s="218"/>
      <c r="GWZ24" s="218"/>
      <c r="GXA24" s="218"/>
      <c r="GXB24" s="218"/>
      <c r="GXC24" s="218"/>
      <c r="GXD24" s="218"/>
      <c r="GXE24" s="218"/>
      <c r="GXF24" s="218"/>
      <c r="GXG24" s="218"/>
      <c r="GXH24" s="218"/>
      <c r="GXI24" s="218"/>
      <c r="GXJ24" s="218"/>
      <c r="GXK24" s="218"/>
      <c r="GXL24" s="218"/>
      <c r="GXM24" s="218"/>
      <c r="GXN24" s="218"/>
      <c r="GXO24" s="218"/>
      <c r="GXP24" s="218"/>
      <c r="GXQ24" s="218"/>
      <c r="GXR24" s="218"/>
      <c r="GXS24" s="218"/>
      <c r="GXT24" s="218"/>
      <c r="GXU24" s="218"/>
      <c r="GXV24" s="218"/>
      <c r="GXW24" s="218"/>
      <c r="GXX24" s="218"/>
      <c r="GXY24" s="218"/>
      <c r="GXZ24" s="218"/>
      <c r="GYA24" s="218"/>
      <c r="GYB24" s="218"/>
      <c r="GYC24" s="218"/>
      <c r="GYD24" s="218"/>
      <c r="GYE24" s="218"/>
      <c r="GYF24" s="218"/>
      <c r="GYG24" s="218"/>
      <c r="GYH24" s="218"/>
      <c r="GYI24" s="218"/>
      <c r="GYJ24" s="218"/>
      <c r="GYK24" s="218"/>
      <c r="GYL24" s="218"/>
      <c r="GYM24" s="218"/>
      <c r="GYN24" s="218"/>
      <c r="GYO24" s="218"/>
      <c r="GYP24" s="218"/>
      <c r="GYQ24" s="218"/>
      <c r="GYR24" s="218"/>
      <c r="GYS24" s="218"/>
      <c r="GYT24" s="218"/>
      <c r="GYU24" s="218"/>
      <c r="GYV24" s="218"/>
      <c r="GYW24" s="218"/>
      <c r="GYX24" s="218"/>
      <c r="GYY24" s="218"/>
      <c r="GYZ24" s="218"/>
      <c r="GZA24" s="218"/>
      <c r="GZB24" s="218"/>
      <c r="GZC24" s="218"/>
      <c r="GZD24" s="218"/>
      <c r="GZE24" s="218"/>
      <c r="GZF24" s="218"/>
      <c r="GZG24" s="218"/>
      <c r="GZH24" s="218"/>
      <c r="GZI24" s="218"/>
      <c r="GZJ24" s="218"/>
      <c r="GZK24" s="218"/>
      <c r="GZL24" s="218"/>
      <c r="GZM24" s="218"/>
      <c r="GZN24" s="218"/>
      <c r="GZO24" s="218"/>
      <c r="GZP24" s="218"/>
      <c r="GZQ24" s="218"/>
      <c r="GZR24" s="218"/>
      <c r="GZS24" s="218"/>
      <c r="GZT24" s="218"/>
      <c r="GZU24" s="218"/>
      <c r="GZV24" s="218"/>
      <c r="GZW24" s="218"/>
      <c r="GZX24" s="218"/>
      <c r="GZY24" s="218"/>
      <c r="GZZ24" s="218"/>
      <c r="HAA24" s="218"/>
      <c r="HAB24" s="218"/>
      <c r="HAC24" s="218"/>
      <c r="HAD24" s="218"/>
      <c r="HAE24" s="218"/>
      <c r="HAF24" s="218"/>
      <c r="HAG24" s="218"/>
      <c r="HAH24" s="218"/>
      <c r="HAI24" s="218"/>
      <c r="HAJ24" s="218"/>
      <c r="HAK24" s="218"/>
      <c r="HAL24" s="218"/>
      <c r="HAM24" s="218"/>
      <c r="HAN24" s="218"/>
      <c r="HAO24" s="218"/>
      <c r="HAP24" s="218"/>
      <c r="HAQ24" s="218"/>
      <c r="HAR24" s="218"/>
      <c r="HAS24" s="218"/>
      <c r="HAT24" s="218"/>
      <c r="HAU24" s="218"/>
      <c r="HAV24" s="218"/>
      <c r="HAW24" s="218"/>
      <c r="HAX24" s="218"/>
      <c r="HAY24" s="218"/>
      <c r="HAZ24" s="218"/>
      <c r="HBA24" s="218"/>
      <c r="HBB24" s="218"/>
      <c r="HBC24" s="218"/>
      <c r="HBD24" s="218"/>
      <c r="HBE24" s="218"/>
      <c r="HBF24" s="218"/>
      <c r="HBG24" s="218"/>
      <c r="HBH24" s="218"/>
      <c r="HBI24" s="218"/>
      <c r="HBJ24" s="218"/>
      <c r="HBK24" s="218"/>
      <c r="HBL24" s="218"/>
      <c r="HBM24" s="218"/>
      <c r="HBN24" s="218"/>
      <c r="HBO24" s="218"/>
      <c r="HBP24" s="218"/>
      <c r="HBQ24" s="218"/>
      <c r="HBR24" s="218"/>
      <c r="HBS24" s="218"/>
      <c r="HBT24" s="218"/>
      <c r="HBU24" s="218"/>
      <c r="HBV24" s="218"/>
      <c r="HBW24" s="218"/>
      <c r="HBX24" s="218"/>
      <c r="HBY24" s="218"/>
      <c r="HBZ24" s="218"/>
      <c r="HCA24" s="218"/>
      <c r="HCB24" s="218"/>
      <c r="HCC24" s="218"/>
      <c r="HCD24" s="218"/>
      <c r="HCE24" s="218"/>
      <c r="HCF24" s="218"/>
      <c r="HCG24" s="218"/>
      <c r="HCH24" s="218"/>
      <c r="HCI24" s="218"/>
      <c r="HCJ24" s="218"/>
      <c r="HCK24" s="218"/>
      <c r="HCL24" s="218"/>
      <c r="HCM24" s="218"/>
      <c r="HCN24" s="218"/>
      <c r="HCO24" s="218"/>
      <c r="HCP24" s="218"/>
      <c r="HCQ24" s="218"/>
      <c r="HCR24" s="218"/>
      <c r="HCS24" s="218"/>
      <c r="HCT24" s="218"/>
      <c r="HCU24" s="218"/>
      <c r="HCV24" s="218"/>
      <c r="HCW24" s="218"/>
      <c r="HCX24" s="218"/>
      <c r="HCY24" s="218"/>
      <c r="HCZ24" s="218"/>
      <c r="HDA24" s="218"/>
      <c r="HDB24" s="218"/>
      <c r="HDC24" s="218"/>
      <c r="HDD24" s="218"/>
      <c r="HDE24" s="218"/>
      <c r="HDF24" s="218"/>
      <c r="HDG24" s="218"/>
      <c r="HDH24" s="218"/>
      <c r="HDI24" s="218"/>
      <c r="HDJ24" s="218"/>
      <c r="HDK24" s="218"/>
      <c r="HDL24" s="218"/>
      <c r="HDM24" s="218"/>
      <c r="HDN24" s="218"/>
      <c r="HDO24" s="218"/>
      <c r="HDP24" s="218"/>
      <c r="HDQ24" s="218"/>
      <c r="HDR24" s="218"/>
      <c r="HDS24" s="218"/>
      <c r="HDT24" s="218"/>
      <c r="HDU24" s="218"/>
      <c r="HDV24" s="218"/>
      <c r="HDW24" s="218"/>
      <c r="HDX24" s="218"/>
      <c r="HDY24" s="218"/>
      <c r="HDZ24" s="218"/>
      <c r="HEA24" s="218"/>
      <c r="HEB24" s="218"/>
      <c r="HEC24" s="218"/>
      <c r="HED24" s="218"/>
      <c r="HEE24" s="218"/>
      <c r="HEF24" s="218"/>
      <c r="HEG24" s="218"/>
      <c r="HEH24" s="218"/>
      <c r="HEI24" s="218"/>
      <c r="HEJ24" s="218"/>
      <c r="HEK24" s="218"/>
      <c r="HEL24" s="218"/>
      <c r="HEM24" s="218"/>
      <c r="HEN24" s="218"/>
      <c r="HEO24" s="218"/>
      <c r="HEP24" s="218"/>
      <c r="HEQ24" s="218"/>
      <c r="HER24" s="218"/>
      <c r="HES24" s="218"/>
      <c r="HET24" s="218"/>
      <c r="HEU24" s="218"/>
      <c r="HEV24" s="218"/>
      <c r="HEW24" s="218"/>
      <c r="HEX24" s="218"/>
      <c r="HEY24" s="218"/>
      <c r="HEZ24" s="218"/>
      <c r="HFA24" s="218"/>
      <c r="HFB24" s="218"/>
      <c r="HFC24" s="218"/>
      <c r="HFD24" s="218"/>
      <c r="HFE24" s="218"/>
      <c r="HFF24" s="218"/>
      <c r="HFG24" s="218"/>
      <c r="HFH24" s="218"/>
      <c r="HFI24" s="218"/>
      <c r="HFJ24" s="218"/>
      <c r="HFK24" s="218"/>
      <c r="HFL24" s="218"/>
      <c r="HFM24" s="218"/>
      <c r="HFN24" s="218"/>
      <c r="HFO24" s="218"/>
      <c r="HFP24" s="218"/>
      <c r="HFQ24" s="218"/>
      <c r="HFR24" s="218"/>
      <c r="HFS24" s="218"/>
      <c r="HFT24" s="218"/>
      <c r="HFU24" s="218"/>
      <c r="HFV24" s="218"/>
      <c r="HFW24" s="218"/>
      <c r="HFX24" s="218"/>
      <c r="HFY24" s="218"/>
      <c r="HFZ24" s="218"/>
      <c r="HGA24" s="218"/>
      <c r="HGB24" s="218"/>
      <c r="HGC24" s="218"/>
      <c r="HGD24" s="218"/>
      <c r="HGE24" s="218"/>
      <c r="HGF24" s="218"/>
      <c r="HGG24" s="218"/>
      <c r="HGH24" s="218"/>
      <c r="HGI24" s="218"/>
      <c r="HGJ24" s="218"/>
      <c r="HGK24" s="218"/>
      <c r="HGL24" s="218"/>
      <c r="HGM24" s="218"/>
      <c r="HGN24" s="218"/>
      <c r="HGO24" s="218"/>
      <c r="HGP24" s="218"/>
      <c r="HGQ24" s="218"/>
      <c r="HGR24" s="218"/>
      <c r="HGS24" s="218"/>
      <c r="HGT24" s="218"/>
      <c r="HGU24" s="218"/>
      <c r="HGV24" s="218"/>
      <c r="HGW24" s="218"/>
      <c r="HGX24" s="218"/>
      <c r="HGY24" s="218"/>
      <c r="HGZ24" s="218"/>
      <c r="HHA24" s="218"/>
      <c r="HHB24" s="218"/>
      <c r="HHC24" s="218"/>
      <c r="HHD24" s="218"/>
      <c r="HHE24" s="218"/>
      <c r="HHF24" s="218"/>
      <c r="HHG24" s="218"/>
      <c r="HHH24" s="218"/>
      <c r="HHI24" s="218"/>
      <c r="HHJ24" s="218"/>
      <c r="HHK24" s="218"/>
      <c r="HHL24" s="218"/>
      <c r="HHM24" s="218"/>
      <c r="HHN24" s="218"/>
      <c r="HHO24" s="218"/>
      <c r="HHP24" s="218"/>
      <c r="HHQ24" s="218"/>
      <c r="HHR24" s="218"/>
      <c r="HHS24" s="218"/>
      <c r="HHT24" s="218"/>
      <c r="HHU24" s="218"/>
      <c r="HHV24" s="218"/>
      <c r="HHW24" s="218"/>
      <c r="HHX24" s="218"/>
      <c r="HHY24" s="218"/>
      <c r="HHZ24" s="218"/>
      <c r="HIA24" s="218"/>
      <c r="HIB24" s="218"/>
      <c r="HIC24" s="218"/>
      <c r="HID24" s="218"/>
      <c r="HIE24" s="218"/>
      <c r="HIF24" s="218"/>
      <c r="HIG24" s="218"/>
      <c r="HIH24" s="218"/>
      <c r="HII24" s="218"/>
      <c r="HIJ24" s="218"/>
      <c r="HIK24" s="218"/>
      <c r="HIL24" s="218"/>
      <c r="HIM24" s="218"/>
      <c r="HIN24" s="218"/>
      <c r="HIO24" s="218"/>
      <c r="HIP24" s="218"/>
      <c r="HIQ24" s="218"/>
      <c r="HIR24" s="218"/>
      <c r="HIS24" s="218"/>
      <c r="HIT24" s="218"/>
      <c r="HIU24" s="218"/>
      <c r="HIV24" s="218"/>
      <c r="HIW24" s="218"/>
      <c r="HIX24" s="218"/>
      <c r="HIY24" s="218"/>
      <c r="HIZ24" s="218"/>
      <c r="HJA24" s="218"/>
      <c r="HJB24" s="218"/>
      <c r="HJC24" s="218"/>
      <c r="HJD24" s="218"/>
      <c r="HJE24" s="218"/>
      <c r="HJF24" s="218"/>
      <c r="HJG24" s="218"/>
      <c r="HJH24" s="218"/>
      <c r="HJI24" s="218"/>
      <c r="HJJ24" s="218"/>
      <c r="HJK24" s="218"/>
      <c r="HJL24" s="218"/>
      <c r="HJM24" s="218"/>
      <c r="HJN24" s="218"/>
      <c r="HJO24" s="218"/>
      <c r="HJP24" s="218"/>
      <c r="HJQ24" s="218"/>
      <c r="HJR24" s="218"/>
      <c r="HJS24" s="218"/>
      <c r="HJT24" s="218"/>
      <c r="HJU24" s="218"/>
      <c r="HJV24" s="218"/>
      <c r="HJW24" s="218"/>
      <c r="HJX24" s="218"/>
      <c r="HJY24" s="218"/>
      <c r="HJZ24" s="218"/>
      <c r="HKA24" s="218"/>
      <c r="HKB24" s="218"/>
      <c r="HKC24" s="218"/>
      <c r="HKD24" s="218"/>
      <c r="HKE24" s="218"/>
      <c r="HKF24" s="218"/>
      <c r="HKG24" s="218"/>
      <c r="HKH24" s="218"/>
      <c r="HKI24" s="218"/>
      <c r="HKJ24" s="218"/>
      <c r="HKK24" s="218"/>
      <c r="HKL24" s="218"/>
      <c r="HKM24" s="218"/>
      <c r="HKN24" s="218"/>
      <c r="HKO24" s="218"/>
      <c r="HKP24" s="218"/>
      <c r="HKQ24" s="218"/>
      <c r="HKR24" s="218"/>
      <c r="HKS24" s="218"/>
      <c r="HKT24" s="218"/>
      <c r="HKU24" s="218"/>
      <c r="HKV24" s="218"/>
      <c r="HKW24" s="218"/>
      <c r="HKX24" s="218"/>
      <c r="HKY24" s="218"/>
      <c r="HKZ24" s="218"/>
      <c r="HLA24" s="218"/>
      <c r="HLB24" s="218"/>
      <c r="HLC24" s="218"/>
      <c r="HLD24" s="218"/>
      <c r="HLE24" s="218"/>
      <c r="HLF24" s="218"/>
      <c r="HLG24" s="218"/>
      <c r="HLH24" s="218"/>
      <c r="HLI24" s="218"/>
      <c r="HLJ24" s="218"/>
      <c r="HLK24" s="218"/>
      <c r="HLL24" s="218"/>
      <c r="HLM24" s="218"/>
      <c r="HLN24" s="218"/>
      <c r="HLO24" s="218"/>
      <c r="HLP24" s="218"/>
      <c r="HLQ24" s="218"/>
      <c r="HLR24" s="218"/>
      <c r="HLS24" s="218"/>
      <c r="HLT24" s="218"/>
      <c r="HLU24" s="218"/>
      <c r="HLV24" s="218"/>
      <c r="HLW24" s="218"/>
      <c r="HLX24" s="218"/>
      <c r="HLY24" s="218"/>
      <c r="HLZ24" s="218"/>
      <c r="HMA24" s="218"/>
      <c r="HMB24" s="218"/>
      <c r="HMC24" s="218"/>
      <c r="HMD24" s="218"/>
      <c r="HME24" s="218"/>
      <c r="HMF24" s="218"/>
      <c r="HMG24" s="218"/>
      <c r="HMH24" s="218"/>
      <c r="HMI24" s="218"/>
      <c r="HMJ24" s="218"/>
      <c r="HMK24" s="218"/>
      <c r="HML24" s="218"/>
      <c r="HMM24" s="218"/>
      <c r="HMN24" s="218"/>
      <c r="HMO24" s="218"/>
      <c r="HMP24" s="218"/>
      <c r="HMQ24" s="218"/>
      <c r="HMR24" s="218"/>
      <c r="HMS24" s="218"/>
      <c r="HMT24" s="218"/>
      <c r="HMU24" s="218"/>
      <c r="HMV24" s="218"/>
      <c r="HMW24" s="218"/>
      <c r="HMX24" s="218"/>
      <c r="HMY24" s="218"/>
      <c r="HMZ24" s="218"/>
      <c r="HNA24" s="218"/>
      <c r="HNB24" s="218"/>
      <c r="HNC24" s="218"/>
      <c r="HND24" s="218"/>
      <c r="HNE24" s="218"/>
      <c r="HNF24" s="218"/>
      <c r="HNG24" s="218"/>
      <c r="HNH24" s="218"/>
      <c r="HNI24" s="218"/>
      <c r="HNJ24" s="218"/>
      <c r="HNK24" s="218"/>
      <c r="HNL24" s="218"/>
      <c r="HNM24" s="218"/>
      <c r="HNN24" s="218"/>
      <c r="HNO24" s="218"/>
      <c r="HNP24" s="218"/>
      <c r="HNQ24" s="218"/>
      <c r="HNR24" s="218"/>
      <c r="HNS24" s="218"/>
      <c r="HNT24" s="218"/>
      <c r="HNU24" s="218"/>
      <c r="HNV24" s="218"/>
      <c r="HNW24" s="218"/>
      <c r="HNX24" s="218"/>
      <c r="HNY24" s="218"/>
      <c r="HNZ24" s="218"/>
      <c r="HOA24" s="218"/>
      <c r="HOB24" s="218"/>
      <c r="HOC24" s="218"/>
      <c r="HOD24" s="218"/>
      <c r="HOE24" s="218"/>
      <c r="HOF24" s="218"/>
      <c r="HOG24" s="218"/>
      <c r="HOH24" s="218"/>
      <c r="HOI24" s="218"/>
      <c r="HOJ24" s="218"/>
      <c r="HOK24" s="218"/>
      <c r="HOL24" s="218"/>
      <c r="HOM24" s="218"/>
      <c r="HON24" s="218"/>
      <c r="HOO24" s="218"/>
      <c r="HOP24" s="218"/>
      <c r="HOQ24" s="218"/>
      <c r="HOR24" s="218"/>
      <c r="HOS24" s="218"/>
      <c r="HOT24" s="218"/>
      <c r="HOU24" s="218"/>
      <c r="HOV24" s="218"/>
      <c r="HOW24" s="218"/>
      <c r="HOX24" s="218"/>
      <c r="HOY24" s="218"/>
      <c r="HOZ24" s="218"/>
      <c r="HPA24" s="218"/>
      <c r="HPB24" s="218"/>
      <c r="HPC24" s="218"/>
      <c r="HPD24" s="218"/>
      <c r="HPE24" s="218"/>
      <c r="HPF24" s="218"/>
      <c r="HPG24" s="218"/>
      <c r="HPH24" s="218"/>
      <c r="HPI24" s="218"/>
      <c r="HPJ24" s="218"/>
      <c r="HPK24" s="218"/>
      <c r="HPL24" s="218"/>
      <c r="HPM24" s="218"/>
      <c r="HPN24" s="218"/>
      <c r="HPO24" s="218"/>
      <c r="HPP24" s="218"/>
      <c r="HPQ24" s="218"/>
      <c r="HPR24" s="218"/>
      <c r="HPS24" s="218"/>
      <c r="HPT24" s="218"/>
      <c r="HPU24" s="218"/>
      <c r="HPV24" s="218"/>
      <c r="HPW24" s="218"/>
      <c r="HPX24" s="218"/>
      <c r="HPY24" s="218"/>
      <c r="HPZ24" s="218"/>
      <c r="HQA24" s="218"/>
      <c r="HQB24" s="218"/>
      <c r="HQC24" s="218"/>
      <c r="HQD24" s="218"/>
      <c r="HQE24" s="218"/>
      <c r="HQF24" s="218"/>
      <c r="HQG24" s="218"/>
      <c r="HQH24" s="218"/>
      <c r="HQI24" s="218"/>
      <c r="HQJ24" s="218"/>
      <c r="HQK24" s="218"/>
      <c r="HQL24" s="218"/>
      <c r="HQM24" s="218"/>
      <c r="HQN24" s="218"/>
      <c r="HQO24" s="218"/>
      <c r="HQP24" s="218"/>
      <c r="HQQ24" s="218"/>
      <c r="HQR24" s="218"/>
      <c r="HQS24" s="218"/>
      <c r="HQT24" s="218"/>
      <c r="HQU24" s="218"/>
      <c r="HQV24" s="218"/>
      <c r="HQW24" s="218"/>
      <c r="HQX24" s="218"/>
      <c r="HQY24" s="218"/>
      <c r="HQZ24" s="218"/>
      <c r="HRA24" s="218"/>
      <c r="HRB24" s="218"/>
      <c r="HRC24" s="218"/>
      <c r="HRD24" s="218"/>
      <c r="HRE24" s="218"/>
      <c r="HRF24" s="218"/>
      <c r="HRG24" s="218"/>
      <c r="HRH24" s="218"/>
      <c r="HRI24" s="218"/>
      <c r="HRJ24" s="218"/>
      <c r="HRK24" s="218"/>
      <c r="HRL24" s="218"/>
      <c r="HRM24" s="218"/>
      <c r="HRN24" s="218"/>
      <c r="HRO24" s="218"/>
      <c r="HRP24" s="218"/>
      <c r="HRQ24" s="218"/>
      <c r="HRR24" s="218"/>
      <c r="HRS24" s="218"/>
      <c r="HRT24" s="218"/>
      <c r="HRU24" s="218"/>
      <c r="HRV24" s="218"/>
      <c r="HRW24" s="218"/>
      <c r="HRX24" s="218"/>
      <c r="HRY24" s="218"/>
      <c r="HRZ24" s="218"/>
      <c r="HSA24" s="218"/>
      <c r="HSB24" s="218"/>
      <c r="HSC24" s="218"/>
      <c r="HSD24" s="218"/>
      <c r="HSE24" s="218"/>
      <c r="HSF24" s="218"/>
      <c r="HSG24" s="218"/>
      <c r="HSH24" s="218"/>
      <c r="HSI24" s="218"/>
      <c r="HSJ24" s="218"/>
      <c r="HSK24" s="218"/>
      <c r="HSL24" s="218"/>
      <c r="HSM24" s="218"/>
      <c r="HSN24" s="218"/>
      <c r="HSO24" s="218"/>
      <c r="HSP24" s="218"/>
      <c r="HSQ24" s="218"/>
      <c r="HSR24" s="218"/>
      <c r="HSS24" s="218"/>
      <c r="HST24" s="218"/>
      <c r="HSU24" s="218"/>
      <c r="HSV24" s="218"/>
      <c r="HSW24" s="218"/>
      <c r="HSX24" s="218"/>
      <c r="HSY24" s="218"/>
      <c r="HSZ24" s="218"/>
      <c r="HTA24" s="218"/>
      <c r="HTB24" s="218"/>
      <c r="HTC24" s="218"/>
      <c r="HTD24" s="218"/>
      <c r="HTE24" s="218"/>
      <c r="HTF24" s="218"/>
      <c r="HTG24" s="218"/>
      <c r="HTH24" s="218"/>
      <c r="HTI24" s="218"/>
      <c r="HTJ24" s="218"/>
      <c r="HTK24" s="218"/>
      <c r="HTL24" s="218"/>
      <c r="HTM24" s="218"/>
      <c r="HTN24" s="218"/>
      <c r="HTO24" s="218"/>
      <c r="HTP24" s="218"/>
      <c r="HTQ24" s="218"/>
      <c r="HTR24" s="218"/>
      <c r="HTS24" s="218"/>
      <c r="HTT24" s="218"/>
      <c r="HTU24" s="218"/>
      <c r="HTV24" s="218"/>
      <c r="HTW24" s="218"/>
      <c r="HTX24" s="218"/>
      <c r="HTY24" s="218"/>
      <c r="HTZ24" s="218"/>
      <c r="HUA24" s="218"/>
      <c r="HUB24" s="218"/>
      <c r="HUC24" s="218"/>
      <c r="HUD24" s="218"/>
      <c r="HUE24" s="218"/>
      <c r="HUF24" s="218"/>
      <c r="HUG24" s="218"/>
      <c r="HUH24" s="218"/>
      <c r="HUI24" s="218"/>
      <c r="HUJ24" s="218"/>
      <c r="HUK24" s="218"/>
      <c r="HUL24" s="218"/>
      <c r="HUM24" s="218"/>
      <c r="HUN24" s="218"/>
      <c r="HUO24" s="218"/>
      <c r="HUP24" s="218"/>
      <c r="HUQ24" s="218"/>
      <c r="HUR24" s="218"/>
      <c r="HUS24" s="218"/>
      <c r="HUT24" s="218"/>
      <c r="HUU24" s="218"/>
      <c r="HUV24" s="218"/>
      <c r="HUW24" s="218"/>
      <c r="HUX24" s="218"/>
      <c r="HUY24" s="218"/>
      <c r="HUZ24" s="218"/>
      <c r="HVA24" s="218"/>
      <c r="HVB24" s="218"/>
      <c r="HVC24" s="218"/>
      <c r="HVD24" s="218"/>
      <c r="HVE24" s="218"/>
      <c r="HVF24" s="218"/>
      <c r="HVG24" s="218"/>
      <c r="HVH24" s="218"/>
      <c r="HVI24" s="218"/>
      <c r="HVJ24" s="218"/>
      <c r="HVK24" s="218"/>
      <c r="HVL24" s="218"/>
      <c r="HVM24" s="218"/>
      <c r="HVN24" s="218"/>
      <c r="HVO24" s="218"/>
      <c r="HVP24" s="218"/>
      <c r="HVQ24" s="218"/>
      <c r="HVR24" s="218"/>
      <c r="HVS24" s="218"/>
      <c r="HVT24" s="218"/>
      <c r="HVU24" s="218"/>
      <c r="HVV24" s="218"/>
      <c r="HVW24" s="218"/>
      <c r="HVX24" s="218"/>
      <c r="HVY24" s="218"/>
      <c r="HVZ24" s="218"/>
      <c r="HWA24" s="218"/>
      <c r="HWB24" s="218"/>
      <c r="HWC24" s="218"/>
      <c r="HWD24" s="218"/>
      <c r="HWE24" s="218"/>
      <c r="HWF24" s="218"/>
      <c r="HWG24" s="218"/>
      <c r="HWH24" s="218"/>
      <c r="HWI24" s="218"/>
      <c r="HWJ24" s="218"/>
      <c r="HWK24" s="218"/>
      <c r="HWL24" s="218"/>
      <c r="HWM24" s="218"/>
      <c r="HWN24" s="218"/>
      <c r="HWO24" s="218"/>
      <c r="HWP24" s="218"/>
      <c r="HWQ24" s="218"/>
      <c r="HWR24" s="218"/>
      <c r="HWS24" s="218"/>
      <c r="HWT24" s="218"/>
      <c r="HWU24" s="218"/>
      <c r="HWV24" s="218"/>
      <c r="HWW24" s="218"/>
      <c r="HWX24" s="218"/>
      <c r="HWY24" s="218"/>
      <c r="HWZ24" s="218"/>
      <c r="HXA24" s="218"/>
      <c r="HXB24" s="218"/>
      <c r="HXC24" s="218"/>
      <c r="HXD24" s="218"/>
      <c r="HXE24" s="218"/>
      <c r="HXF24" s="218"/>
      <c r="HXG24" s="218"/>
      <c r="HXH24" s="218"/>
      <c r="HXI24" s="218"/>
      <c r="HXJ24" s="218"/>
      <c r="HXK24" s="218"/>
      <c r="HXL24" s="218"/>
      <c r="HXM24" s="218"/>
      <c r="HXN24" s="218"/>
      <c r="HXO24" s="218"/>
      <c r="HXP24" s="218"/>
      <c r="HXQ24" s="218"/>
      <c r="HXR24" s="218"/>
      <c r="HXS24" s="218"/>
      <c r="HXT24" s="218"/>
      <c r="HXU24" s="218"/>
      <c r="HXV24" s="218"/>
      <c r="HXW24" s="218"/>
      <c r="HXX24" s="218"/>
      <c r="HXY24" s="218"/>
      <c r="HXZ24" s="218"/>
      <c r="HYA24" s="218"/>
      <c r="HYB24" s="218"/>
      <c r="HYC24" s="218"/>
      <c r="HYD24" s="218"/>
      <c r="HYE24" s="218"/>
      <c r="HYF24" s="218"/>
      <c r="HYG24" s="218"/>
      <c r="HYH24" s="218"/>
      <c r="HYI24" s="218"/>
      <c r="HYJ24" s="218"/>
      <c r="HYK24" s="218"/>
      <c r="HYL24" s="218"/>
      <c r="HYM24" s="218"/>
      <c r="HYN24" s="218"/>
      <c r="HYO24" s="218"/>
      <c r="HYP24" s="218"/>
      <c r="HYQ24" s="218"/>
      <c r="HYR24" s="218"/>
      <c r="HYS24" s="218"/>
      <c r="HYT24" s="218"/>
      <c r="HYU24" s="218"/>
      <c r="HYV24" s="218"/>
      <c r="HYW24" s="218"/>
      <c r="HYX24" s="218"/>
      <c r="HYY24" s="218"/>
      <c r="HYZ24" s="218"/>
      <c r="HZA24" s="218"/>
      <c r="HZB24" s="218"/>
      <c r="HZC24" s="218"/>
      <c r="HZD24" s="218"/>
      <c r="HZE24" s="218"/>
      <c r="HZF24" s="218"/>
      <c r="HZG24" s="218"/>
      <c r="HZH24" s="218"/>
      <c r="HZI24" s="218"/>
      <c r="HZJ24" s="218"/>
      <c r="HZK24" s="218"/>
      <c r="HZL24" s="218"/>
      <c r="HZM24" s="218"/>
      <c r="HZN24" s="218"/>
      <c r="HZO24" s="218"/>
      <c r="HZP24" s="218"/>
      <c r="HZQ24" s="218"/>
      <c r="HZR24" s="218"/>
      <c r="HZS24" s="218"/>
      <c r="HZT24" s="218"/>
      <c r="HZU24" s="218"/>
      <c r="HZV24" s="218"/>
      <c r="HZW24" s="218"/>
      <c r="HZX24" s="218"/>
      <c r="HZY24" s="218"/>
      <c r="HZZ24" s="218"/>
      <c r="IAA24" s="218"/>
      <c r="IAB24" s="218"/>
      <c r="IAC24" s="218"/>
      <c r="IAD24" s="218"/>
      <c r="IAE24" s="218"/>
      <c r="IAF24" s="218"/>
      <c r="IAG24" s="218"/>
      <c r="IAH24" s="218"/>
      <c r="IAI24" s="218"/>
      <c r="IAJ24" s="218"/>
      <c r="IAK24" s="218"/>
      <c r="IAL24" s="218"/>
      <c r="IAM24" s="218"/>
      <c r="IAN24" s="218"/>
      <c r="IAO24" s="218"/>
      <c r="IAP24" s="218"/>
      <c r="IAQ24" s="218"/>
      <c r="IAR24" s="218"/>
      <c r="IAS24" s="218"/>
      <c r="IAT24" s="218"/>
      <c r="IAU24" s="218"/>
      <c r="IAV24" s="218"/>
      <c r="IAW24" s="218"/>
      <c r="IAX24" s="218"/>
      <c r="IAY24" s="218"/>
      <c r="IAZ24" s="218"/>
      <c r="IBA24" s="218"/>
      <c r="IBB24" s="218"/>
      <c r="IBC24" s="218"/>
      <c r="IBD24" s="218"/>
      <c r="IBE24" s="218"/>
      <c r="IBF24" s="218"/>
      <c r="IBG24" s="218"/>
      <c r="IBH24" s="218"/>
      <c r="IBI24" s="218"/>
      <c r="IBJ24" s="218"/>
      <c r="IBK24" s="218"/>
      <c r="IBL24" s="218"/>
      <c r="IBM24" s="218"/>
      <c r="IBN24" s="218"/>
      <c r="IBO24" s="218"/>
      <c r="IBP24" s="218"/>
      <c r="IBQ24" s="218"/>
      <c r="IBR24" s="218"/>
      <c r="IBS24" s="218"/>
      <c r="IBT24" s="218"/>
      <c r="IBU24" s="218"/>
      <c r="IBV24" s="218"/>
      <c r="IBW24" s="218"/>
      <c r="IBX24" s="218"/>
      <c r="IBY24" s="218"/>
      <c r="IBZ24" s="218"/>
      <c r="ICA24" s="218"/>
      <c r="ICB24" s="218"/>
      <c r="ICC24" s="218"/>
      <c r="ICD24" s="218"/>
      <c r="ICE24" s="218"/>
      <c r="ICF24" s="218"/>
      <c r="ICG24" s="218"/>
      <c r="ICH24" s="218"/>
      <c r="ICI24" s="218"/>
      <c r="ICJ24" s="218"/>
      <c r="ICK24" s="218"/>
      <c r="ICL24" s="218"/>
      <c r="ICM24" s="218"/>
      <c r="ICN24" s="218"/>
      <c r="ICO24" s="218"/>
      <c r="ICP24" s="218"/>
      <c r="ICQ24" s="218"/>
      <c r="ICR24" s="218"/>
      <c r="ICS24" s="218"/>
      <c r="ICT24" s="218"/>
      <c r="ICU24" s="218"/>
      <c r="ICV24" s="218"/>
      <c r="ICW24" s="218"/>
      <c r="ICX24" s="218"/>
      <c r="ICY24" s="218"/>
      <c r="ICZ24" s="218"/>
      <c r="IDA24" s="218"/>
      <c r="IDB24" s="218"/>
      <c r="IDC24" s="218"/>
      <c r="IDD24" s="218"/>
      <c r="IDE24" s="218"/>
      <c r="IDF24" s="218"/>
      <c r="IDG24" s="218"/>
      <c r="IDH24" s="218"/>
      <c r="IDI24" s="218"/>
      <c r="IDJ24" s="218"/>
      <c r="IDK24" s="218"/>
      <c r="IDL24" s="218"/>
      <c r="IDM24" s="218"/>
      <c r="IDN24" s="218"/>
      <c r="IDO24" s="218"/>
      <c r="IDP24" s="218"/>
      <c r="IDQ24" s="218"/>
      <c r="IDR24" s="218"/>
      <c r="IDS24" s="218"/>
      <c r="IDT24" s="218"/>
      <c r="IDU24" s="218"/>
      <c r="IDV24" s="218"/>
      <c r="IDW24" s="218"/>
      <c r="IDX24" s="218"/>
      <c r="IDY24" s="218"/>
      <c r="IDZ24" s="218"/>
      <c r="IEA24" s="218"/>
      <c r="IEB24" s="218"/>
      <c r="IEC24" s="218"/>
      <c r="IED24" s="218"/>
      <c r="IEE24" s="218"/>
      <c r="IEF24" s="218"/>
      <c r="IEG24" s="218"/>
      <c r="IEH24" s="218"/>
      <c r="IEI24" s="218"/>
      <c r="IEJ24" s="218"/>
      <c r="IEK24" s="218"/>
      <c r="IEL24" s="218"/>
      <c r="IEM24" s="218"/>
      <c r="IEN24" s="218"/>
      <c r="IEO24" s="218"/>
      <c r="IEP24" s="218"/>
      <c r="IEQ24" s="218"/>
      <c r="IER24" s="218"/>
      <c r="IES24" s="218"/>
      <c r="IET24" s="218"/>
      <c r="IEU24" s="218"/>
      <c r="IEV24" s="218"/>
      <c r="IEW24" s="218"/>
      <c r="IEX24" s="218"/>
      <c r="IEY24" s="218"/>
      <c r="IEZ24" s="218"/>
      <c r="IFA24" s="218"/>
      <c r="IFB24" s="218"/>
      <c r="IFC24" s="218"/>
      <c r="IFD24" s="218"/>
      <c r="IFE24" s="218"/>
      <c r="IFF24" s="218"/>
      <c r="IFG24" s="218"/>
      <c r="IFH24" s="218"/>
      <c r="IFI24" s="218"/>
      <c r="IFJ24" s="218"/>
      <c r="IFK24" s="218"/>
      <c r="IFL24" s="218"/>
      <c r="IFM24" s="218"/>
      <c r="IFN24" s="218"/>
      <c r="IFO24" s="218"/>
      <c r="IFP24" s="218"/>
      <c r="IFQ24" s="218"/>
      <c r="IFR24" s="218"/>
      <c r="IFS24" s="218"/>
      <c r="IFT24" s="218"/>
      <c r="IFU24" s="218"/>
      <c r="IFV24" s="218"/>
      <c r="IFW24" s="218"/>
      <c r="IFX24" s="218"/>
      <c r="IFY24" s="218"/>
      <c r="IFZ24" s="218"/>
      <c r="IGA24" s="218"/>
      <c r="IGB24" s="218"/>
      <c r="IGC24" s="218"/>
      <c r="IGD24" s="218"/>
      <c r="IGE24" s="218"/>
      <c r="IGF24" s="218"/>
      <c r="IGG24" s="218"/>
      <c r="IGH24" s="218"/>
      <c r="IGI24" s="218"/>
      <c r="IGJ24" s="218"/>
      <c r="IGK24" s="218"/>
      <c r="IGL24" s="218"/>
      <c r="IGM24" s="218"/>
      <c r="IGN24" s="218"/>
      <c r="IGO24" s="218"/>
      <c r="IGP24" s="218"/>
      <c r="IGQ24" s="218"/>
      <c r="IGR24" s="218"/>
      <c r="IGS24" s="218"/>
      <c r="IGT24" s="218"/>
      <c r="IGU24" s="218"/>
      <c r="IGV24" s="218"/>
      <c r="IGW24" s="218"/>
      <c r="IGX24" s="218"/>
      <c r="IGY24" s="218"/>
      <c r="IGZ24" s="218"/>
      <c r="IHA24" s="218"/>
      <c r="IHB24" s="218"/>
      <c r="IHC24" s="218"/>
      <c r="IHD24" s="218"/>
      <c r="IHE24" s="218"/>
      <c r="IHF24" s="218"/>
      <c r="IHG24" s="218"/>
      <c r="IHH24" s="218"/>
      <c r="IHI24" s="218"/>
      <c r="IHJ24" s="218"/>
      <c r="IHK24" s="218"/>
      <c r="IHL24" s="218"/>
      <c r="IHM24" s="218"/>
      <c r="IHN24" s="218"/>
      <c r="IHO24" s="218"/>
      <c r="IHP24" s="218"/>
      <c r="IHQ24" s="218"/>
      <c r="IHR24" s="218"/>
      <c r="IHS24" s="218"/>
      <c r="IHT24" s="218"/>
      <c r="IHU24" s="218"/>
      <c r="IHV24" s="218"/>
      <c r="IHW24" s="218"/>
      <c r="IHX24" s="218"/>
      <c r="IHY24" s="218"/>
      <c r="IHZ24" s="218"/>
      <c r="IIA24" s="218"/>
      <c r="IIB24" s="218"/>
      <c r="IIC24" s="218"/>
      <c r="IID24" s="218"/>
      <c r="IIE24" s="218"/>
      <c r="IIF24" s="218"/>
      <c r="IIG24" s="218"/>
      <c r="IIH24" s="218"/>
      <c r="III24" s="218"/>
      <c r="IIJ24" s="218"/>
      <c r="IIK24" s="218"/>
      <c r="IIL24" s="218"/>
      <c r="IIM24" s="218"/>
      <c r="IIN24" s="218"/>
      <c r="IIO24" s="218"/>
      <c r="IIP24" s="218"/>
      <c r="IIQ24" s="218"/>
      <c r="IIR24" s="218"/>
      <c r="IIS24" s="218"/>
      <c r="IIT24" s="218"/>
      <c r="IIU24" s="218"/>
      <c r="IIV24" s="218"/>
      <c r="IIW24" s="218"/>
      <c r="IIX24" s="218"/>
      <c r="IIY24" s="218"/>
      <c r="IIZ24" s="218"/>
      <c r="IJA24" s="218"/>
      <c r="IJB24" s="218"/>
      <c r="IJC24" s="218"/>
      <c r="IJD24" s="218"/>
      <c r="IJE24" s="218"/>
      <c r="IJF24" s="218"/>
      <c r="IJG24" s="218"/>
      <c r="IJH24" s="218"/>
      <c r="IJI24" s="218"/>
      <c r="IJJ24" s="218"/>
      <c r="IJK24" s="218"/>
      <c r="IJL24" s="218"/>
      <c r="IJM24" s="218"/>
      <c r="IJN24" s="218"/>
      <c r="IJO24" s="218"/>
      <c r="IJP24" s="218"/>
      <c r="IJQ24" s="218"/>
      <c r="IJR24" s="218"/>
      <c r="IJS24" s="218"/>
      <c r="IJT24" s="218"/>
      <c r="IJU24" s="218"/>
      <c r="IJV24" s="218"/>
      <c r="IJW24" s="218"/>
      <c r="IJX24" s="218"/>
      <c r="IJY24" s="218"/>
      <c r="IJZ24" s="218"/>
      <c r="IKA24" s="218"/>
      <c r="IKB24" s="218"/>
      <c r="IKC24" s="218"/>
      <c r="IKD24" s="218"/>
      <c r="IKE24" s="218"/>
      <c r="IKF24" s="218"/>
      <c r="IKG24" s="218"/>
      <c r="IKH24" s="218"/>
      <c r="IKI24" s="218"/>
      <c r="IKJ24" s="218"/>
      <c r="IKK24" s="218"/>
      <c r="IKL24" s="218"/>
      <c r="IKM24" s="218"/>
      <c r="IKN24" s="218"/>
      <c r="IKO24" s="218"/>
      <c r="IKP24" s="218"/>
      <c r="IKQ24" s="218"/>
      <c r="IKR24" s="218"/>
      <c r="IKS24" s="218"/>
      <c r="IKT24" s="218"/>
      <c r="IKU24" s="218"/>
      <c r="IKV24" s="218"/>
      <c r="IKW24" s="218"/>
      <c r="IKX24" s="218"/>
      <c r="IKY24" s="218"/>
      <c r="IKZ24" s="218"/>
      <c r="ILA24" s="218"/>
      <c r="ILB24" s="218"/>
      <c r="ILC24" s="218"/>
      <c r="ILD24" s="218"/>
      <c r="ILE24" s="218"/>
      <c r="ILF24" s="218"/>
      <c r="ILG24" s="218"/>
      <c r="ILH24" s="218"/>
      <c r="ILI24" s="218"/>
      <c r="ILJ24" s="218"/>
      <c r="ILK24" s="218"/>
      <c r="ILL24" s="218"/>
      <c r="ILM24" s="218"/>
      <c r="ILN24" s="218"/>
      <c r="ILO24" s="218"/>
      <c r="ILP24" s="218"/>
      <c r="ILQ24" s="218"/>
      <c r="ILR24" s="218"/>
      <c r="ILS24" s="218"/>
      <c r="ILT24" s="218"/>
      <c r="ILU24" s="218"/>
      <c r="ILV24" s="218"/>
      <c r="ILW24" s="218"/>
      <c r="ILX24" s="218"/>
      <c r="ILY24" s="218"/>
      <c r="ILZ24" s="218"/>
      <c r="IMA24" s="218"/>
      <c r="IMB24" s="218"/>
      <c r="IMC24" s="218"/>
      <c r="IMD24" s="218"/>
      <c r="IME24" s="218"/>
      <c r="IMF24" s="218"/>
      <c r="IMG24" s="218"/>
      <c r="IMH24" s="218"/>
      <c r="IMI24" s="218"/>
      <c r="IMJ24" s="218"/>
      <c r="IMK24" s="218"/>
      <c r="IML24" s="218"/>
      <c r="IMM24" s="218"/>
      <c r="IMN24" s="218"/>
      <c r="IMO24" s="218"/>
      <c r="IMP24" s="218"/>
      <c r="IMQ24" s="218"/>
      <c r="IMR24" s="218"/>
      <c r="IMS24" s="218"/>
      <c r="IMT24" s="218"/>
      <c r="IMU24" s="218"/>
      <c r="IMV24" s="218"/>
      <c r="IMW24" s="218"/>
      <c r="IMX24" s="218"/>
      <c r="IMY24" s="218"/>
      <c r="IMZ24" s="218"/>
      <c r="INA24" s="218"/>
      <c r="INB24" s="218"/>
      <c r="INC24" s="218"/>
      <c r="IND24" s="218"/>
      <c r="INE24" s="218"/>
      <c r="INF24" s="218"/>
      <c r="ING24" s="218"/>
      <c r="INH24" s="218"/>
      <c r="INI24" s="218"/>
      <c r="INJ24" s="218"/>
      <c r="INK24" s="218"/>
      <c r="INL24" s="218"/>
      <c r="INM24" s="218"/>
      <c r="INN24" s="218"/>
      <c r="INO24" s="218"/>
      <c r="INP24" s="218"/>
      <c r="INQ24" s="218"/>
      <c r="INR24" s="218"/>
      <c r="INS24" s="218"/>
      <c r="INT24" s="218"/>
      <c r="INU24" s="218"/>
      <c r="INV24" s="218"/>
      <c r="INW24" s="218"/>
      <c r="INX24" s="218"/>
      <c r="INY24" s="218"/>
      <c r="INZ24" s="218"/>
      <c r="IOA24" s="218"/>
      <c r="IOB24" s="218"/>
      <c r="IOC24" s="218"/>
      <c r="IOD24" s="218"/>
      <c r="IOE24" s="218"/>
      <c r="IOF24" s="218"/>
      <c r="IOG24" s="218"/>
      <c r="IOH24" s="218"/>
      <c r="IOI24" s="218"/>
      <c r="IOJ24" s="218"/>
      <c r="IOK24" s="218"/>
      <c r="IOL24" s="218"/>
      <c r="IOM24" s="218"/>
      <c r="ION24" s="218"/>
      <c r="IOO24" s="218"/>
      <c r="IOP24" s="218"/>
      <c r="IOQ24" s="218"/>
      <c r="IOR24" s="218"/>
      <c r="IOS24" s="218"/>
      <c r="IOT24" s="218"/>
      <c r="IOU24" s="218"/>
      <c r="IOV24" s="218"/>
      <c r="IOW24" s="218"/>
      <c r="IOX24" s="218"/>
      <c r="IOY24" s="218"/>
      <c r="IOZ24" s="218"/>
      <c r="IPA24" s="218"/>
      <c r="IPB24" s="218"/>
      <c r="IPC24" s="218"/>
      <c r="IPD24" s="218"/>
      <c r="IPE24" s="218"/>
      <c r="IPF24" s="218"/>
      <c r="IPG24" s="218"/>
      <c r="IPH24" s="218"/>
      <c r="IPI24" s="218"/>
      <c r="IPJ24" s="218"/>
      <c r="IPK24" s="218"/>
      <c r="IPL24" s="218"/>
      <c r="IPM24" s="218"/>
      <c r="IPN24" s="218"/>
      <c r="IPO24" s="218"/>
      <c r="IPP24" s="218"/>
      <c r="IPQ24" s="218"/>
      <c r="IPR24" s="218"/>
      <c r="IPS24" s="218"/>
      <c r="IPT24" s="218"/>
      <c r="IPU24" s="218"/>
      <c r="IPV24" s="218"/>
      <c r="IPW24" s="218"/>
      <c r="IPX24" s="218"/>
      <c r="IPY24" s="218"/>
      <c r="IPZ24" s="218"/>
      <c r="IQA24" s="218"/>
      <c r="IQB24" s="218"/>
      <c r="IQC24" s="218"/>
      <c r="IQD24" s="218"/>
      <c r="IQE24" s="218"/>
      <c r="IQF24" s="218"/>
      <c r="IQG24" s="218"/>
      <c r="IQH24" s="218"/>
      <c r="IQI24" s="218"/>
      <c r="IQJ24" s="218"/>
      <c r="IQK24" s="218"/>
      <c r="IQL24" s="218"/>
      <c r="IQM24" s="218"/>
      <c r="IQN24" s="218"/>
      <c r="IQO24" s="218"/>
      <c r="IQP24" s="218"/>
      <c r="IQQ24" s="218"/>
      <c r="IQR24" s="218"/>
      <c r="IQS24" s="218"/>
      <c r="IQT24" s="218"/>
      <c r="IQU24" s="218"/>
      <c r="IQV24" s="218"/>
      <c r="IQW24" s="218"/>
      <c r="IQX24" s="218"/>
      <c r="IQY24" s="218"/>
      <c r="IQZ24" s="218"/>
      <c r="IRA24" s="218"/>
      <c r="IRB24" s="218"/>
      <c r="IRC24" s="218"/>
      <c r="IRD24" s="218"/>
      <c r="IRE24" s="218"/>
      <c r="IRF24" s="218"/>
      <c r="IRG24" s="218"/>
      <c r="IRH24" s="218"/>
      <c r="IRI24" s="218"/>
      <c r="IRJ24" s="218"/>
      <c r="IRK24" s="218"/>
      <c r="IRL24" s="218"/>
      <c r="IRM24" s="218"/>
      <c r="IRN24" s="218"/>
      <c r="IRO24" s="218"/>
      <c r="IRP24" s="218"/>
      <c r="IRQ24" s="218"/>
      <c r="IRR24" s="218"/>
      <c r="IRS24" s="218"/>
      <c r="IRT24" s="218"/>
      <c r="IRU24" s="218"/>
      <c r="IRV24" s="218"/>
      <c r="IRW24" s="218"/>
      <c r="IRX24" s="218"/>
      <c r="IRY24" s="218"/>
      <c r="IRZ24" s="218"/>
      <c r="ISA24" s="218"/>
      <c r="ISB24" s="218"/>
      <c r="ISC24" s="218"/>
      <c r="ISD24" s="218"/>
      <c r="ISE24" s="218"/>
      <c r="ISF24" s="218"/>
      <c r="ISG24" s="218"/>
      <c r="ISH24" s="218"/>
      <c r="ISI24" s="218"/>
      <c r="ISJ24" s="218"/>
      <c r="ISK24" s="218"/>
      <c r="ISL24" s="218"/>
      <c r="ISM24" s="218"/>
      <c r="ISN24" s="218"/>
      <c r="ISO24" s="218"/>
      <c r="ISP24" s="218"/>
      <c r="ISQ24" s="218"/>
      <c r="ISR24" s="218"/>
      <c r="ISS24" s="218"/>
      <c r="IST24" s="218"/>
      <c r="ISU24" s="218"/>
      <c r="ISV24" s="218"/>
      <c r="ISW24" s="218"/>
      <c r="ISX24" s="218"/>
      <c r="ISY24" s="218"/>
      <c r="ISZ24" s="218"/>
      <c r="ITA24" s="218"/>
      <c r="ITB24" s="218"/>
      <c r="ITC24" s="218"/>
      <c r="ITD24" s="218"/>
      <c r="ITE24" s="218"/>
      <c r="ITF24" s="218"/>
      <c r="ITG24" s="218"/>
      <c r="ITH24" s="218"/>
      <c r="ITI24" s="218"/>
      <c r="ITJ24" s="218"/>
      <c r="ITK24" s="218"/>
      <c r="ITL24" s="218"/>
      <c r="ITM24" s="218"/>
      <c r="ITN24" s="218"/>
      <c r="ITO24" s="218"/>
      <c r="ITP24" s="218"/>
      <c r="ITQ24" s="218"/>
      <c r="ITR24" s="218"/>
      <c r="ITS24" s="218"/>
      <c r="ITT24" s="218"/>
      <c r="ITU24" s="218"/>
      <c r="ITV24" s="218"/>
      <c r="ITW24" s="218"/>
      <c r="ITX24" s="218"/>
      <c r="ITY24" s="218"/>
      <c r="ITZ24" s="218"/>
      <c r="IUA24" s="218"/>
      <c r="IUB24" s="218"/>
      <c r="IUC24" s="218"/>
      <c r="IUD24" s="218"/>
      <c r="IUE24" s="218"/>
      <c r="IUF24" s="218"/>
      <c r="IUG24" s="218"/>
      <c r="IUH24" s="218"/>
      <c r="IUI24" s="218"/>
      <c r="IUJ24" s="218"/>
      <c r="IUK24" s="218"/>
      <c r="IUL24" s="218"/>
      <c r="IUM24" s="218"/>
      <c r="IUN24" s="218"/>
      <c r="IUO24" s="218"/>
      <c r="IUP24" s="218"/>
      <c r="IUQ24" s="218"/>
      <c r="IUR24" s="218"/>
      <c r="IUS24" s="218"/>
      <c r="IUT24" s="218"/>
      <c r="IUU24" s="218"/>
      <c r="IUV24" s="218"/>
      <c r="IUW24" s="218"/>
      <c r="IUX24" s="218"/>
      <c r="IUY24" s="218"/>
      <c r="IUZ24" s="218"/>
      <c r="IVA24" s="218"/>
      <c r="IVB24" s="218"/>
      <c r="IVC24" s="218"/>
      <c r="IVD24" s="218"/>
      <c r="IVE24" s="218"/>
      <c r="IVF24" s="218"/>
      <c r="IVG24" s="218"/>
      <c r="IVH24" s="218"/>
      <c r="IVI24" s="218"/>
      <c r="IVJ24" s="218"/>
      <c r="IVK24" s="218"/>
      <c r="IVL24" s="218"/>
      <c r="IVM24" s="218"/>
      <c r="IVN24" s="218"/>
      <c r="IVO24" s="218"/>
      <c r="IVP24" s="218"/>
      <c r="IVQ24" s="218"/>
      <c r="IVR24" s="218"/>
      <c r="IVS24" s="218"/>
      <c r="IVT24" s="218"/>
      <c r="IVU24" s="218"/>
      <c r="IVV24" s="218"/>
      <c r="IVW24" s="218"/>
      <c r="IVX24" s="218"/>
      <c r="IVY24" s="218"/>
      <c r="IVZ24" s="218"/>
      <c r="IWA24" s="218"/>
      <c r="IWB24" s="218"/>
      <c r="IWC24" s="218"/>
      <c r="IWD24" s="218"/>
      <c r="IWE24" s="218"/>
      <c r="IWF24" s="218"/>
      <c r="IWG24" s="218"/>
      <c r="IWH24" s="218"/>
      <c r="IWI24" s="218"/>
      <c r="IWJ24" s="218"/>
      <c r="IWK24" s="218"/>
      <c r="IWL24" s="218"/>
      <c r="IWM24" s="218"/>
      <c r="IWN24" s="218"/>
      <c r="IWO24" s="218"/>
      <c r="IWP24" s="218"/>
      <c r="IWQ24" s="218"/>
      <c r="IWR24" s="218"/>
      <c r="IWS24" s="218"/>
      <c r="IWT24" s="218"/>
      <c r="IWU24" s="218"/>
      <c r="IWV24" s="218"/>
      <c r="IWW24" s="218"/>
      <c r="IWX24" s="218"/>
      <c r="IWY24" s="218"/>
      <c r="IWZ24" s="218"/>
      <c r="IXA24" s="218"/>
      <c r="IXB24" s="218"/>
      <c r="IXC24" s="218"/>
      <c r="IXD24" s="218"/>
      <c r="IXE24" s="218"/>
      <c r="IXF24" s="218"/>
      <c r="IXG24" s="218"/>
      <c r="IXH24" s="218"/>
      <c r="IXI24" s="218"/>
      <c r="IXJ24" s="218"/>
      <c r="IXK24" s="218"/>
      <c r="IXL24" s="218"/>
      <c r="IXM24" s="218"/>
      <c r="IXN24" s="218"/>
      <c r="IXO24" s="218"/>
      <c r="IXP24" s="218"/>
      <c r="IXQ24" s="218"/>
      <c r="IXR24" s="218"/>
      <c r="IXS24" s="218"/>
      <c r="IXT24" s="218"/>
      <c r="IXU24" s="218"/>
      <c r="IXV24" s="218"/>
      <c r="IXW24" s="218"/>
      <c r="IXX24" s="218"/>
      <c r="IXY24" s="218"/>
      <c r="IXZ24" s="218"/>
      <c r="IYA24" s="218"/>
      <c r="IYB24" s="218"/>
      <c r="IYC24" s="218"/>
      <c r="IYD24" s="218"/>
      <c r="IYE24" s="218"/>
      <c r="IYF24" s="218"/>
      <c r="IYG24" s="218"/>
      <c r="IYH24" s="218"/>
      <c r="IYI24" s="218"/>
      <c r="IYJ24" s="218"/>
      <c r="IYK24" s="218"/>
      <c r="IYL24" s="218"/>
      <c r="IYM24" s="218"/>
      <c r="IYN24" s="218"/>
      <c r="IYO24" s="218"/>
      <c r="IYP24" s="218"/>
      <c r="IYQ24" s="218"/>
      <c r="IYR24" s="218"/>
      <c r="IYS24" s="218"/>
      <c r="IYT24" s="218"/>
      <c r="IYU24" s="218"/>
      <c r="IYV24" s="218"/>
      <c r="IYW24" s="218"/>
      <c r="IYX24" s="218"/>
      <c r="IYY24" s="218"/>
      <c r="IYZ24" s="218"/>
      <c r="IZA24" s="218"/>
      <c r="IZB24" s="218"/>
      <c r="IZC24" s="218"/>
      <c r="IZD24" s="218"/>
      <c r="IZE24" s="218"/>
      <c r="IZF24" s="218"/>
      <c r="IZG24" s="218"/>
      <c r="IZH24" s="218"/>
      <c r="IZI24" s="218"/>
      <c r="IZJ24" s="218"/>
      <c r="IZK24" s="218"/>
      <c r="IZL24" s="218"/>
      <c r="IZM24" s="218"/>
      <c r="IZN24" s="218"/>
      <c r="IZO24" s="218"/>
      <c r="IZP24" s="218"/>
      <c r="IZQ24" s="218"/>
      <c r="IZR24" s="218"/>
      <c r="IZS24" s="218"/>
      <c r="IZT24" s="218"/>
      <c r="IZU24" s="218"/>
      <c r="IZV24" s="218"/>
      <c r="IZW24" s="218"/>
      <c r="IZX24" s="218"/>
      <c r="IZY24" s="218"/>
      <c r="IZZ24" s="218"/>
      <c r="JAA24" s="218"/>
      <c r="JAB24" s="218"/>
      <c r="JAC24" s="218"/>
      <c r="JAD24" s="218"/>
      <c r="JAE24" s="218"/>
      <c r="JAF24" s="218"/>
      <c r="JAG24" s="218"/>
      <c r="JAH24" s="218"/>
      <c r="JAI24" s="218"/>
      <c r="JAJ24" s="218"/>
      <c r="JAK24" s="218"/>
      <c r="JAL24" s="218"/>
      <c r="JAM24" s="218"/>
      <c r="JAN24" s="218"/>
      <c r="JAO24" s="218"/>
      <c r="JAP24" s="218"/>
      <c r="JAQ24" s="218"/>
      <c r="JAR24" s="218"/>
      <c r="JAS24" s="218"/>
      <c r="JAT24" s="218"/>
      <c r="JAU24" s="218"/>
      <c r="JAV24" s="218"/>
      <c r="JAW24" s="218"/>
      <c r="JAX24" s="218"/>
      <c r="JAY24" s="218"/>
      <c r="JAZ24" s="218"/>
      <c r="JBA24" s="218"/>
      <c r="JBB24" s="218"/>
      <c r="JBC24" s="218"/>
      <c r="JBD24" s="218"/>
      <c r="JBE24" s="218"/>
      <c r="JBF24" s="218"/>
      <c r="JBG24" s="218"/>
      <c r="JBH24" s="218"/>
      <c r="JBI24" s="218"/>
      <c r="JBJ24" s="218"/>
      <c r="JBK24" s="218"/>
      <c r="JBL24" s="218"/>
      <c r="JBM24" s="218"/>
      <c r="JBN24" s="218"/>
      <c r="JBO24" s="218"/>
      <c r="JBP24" s="218"/>
      <c r="JBQ24" s="218"/>
      <c r="JBR24" s="218"/>
      <c r="JBS24" s="218"/>
      <c r="JBT24" s="218"/>
      <c r="JBU24" s="218"/>
      <c r="JBV24" s="218"/>
      <c r="JBW24" s="218"/>
      <c r="JBX24" s="218"/>
      <c r="JBY24" s="218"/>
      <c r="JBZ24" s="218"/>
      <c r="JCA24" s="218"/>
      <c r="JCB24" s="218"/>
      <c r="JCC24" s="218"/>
      <c r="JCD24" s="218"/>
      <c r="JCE24" s="218"/>
      <c r="JCF24" s="218"/>
      <c r="JCG24" s="218"/>
      <c r="JCH24" s="218"/>
      <c r="JCI24" s="218"/>
      <c r="JCJ24" s="218"/>
      <c r="JCK24" s="218"/>
      <c r="JCL24" s="218"/>
      <c r="JCM24" s="218"/>
      <c r="JCN24" s="218"/>
      <c r="JCO24" s="218"/>
      <c r="JCP24" s="218"/>
      <c r="JCQ24" s="218"/>
      <c r="JCR24" s="218"/>
      <c r="JCS24" s="218"/>
      <c r="JCT24" s="218"/>
      <c r="JCU24" s="218"/>
      <c r="JCV24" s="218"/>
      <c r="JCW24" s="218"/>
      <c r="JCX24" s="218"/>
      <c r="JCY24" s="218"/>
      <c r="JCZ24" s="218"/>
      <c r="JDA24" s="218"/>
      <c r="JDB24" s="218"/>
      <c r="JDC24" s="218"/>
      <c r="JDD24" s="218"/>
      <c r="JDE24" s="218"/>
      <c r="JDF24" s="218"/>
      <c r="JDG24" s="218"/>
      <c r="JDH24" s="218"/>
      <c r="JDI24" s="218"/>
      <c r="JDJ24" s="218"/>
      <c r="JDK24" s="218"/>
      <c r="JDL24" s="218"/>
      <c r="JDM24" s="218"/>
      <c r="JDN24" s="218"/>
      <c r="JDO24" s="218"/>
      <c r="JDP24" s="218"/>
      <c r="JDQ24" s="218"/>
      <c r="JDR24" s="218"/>
      <c r="JDS24" s="218"/>
      <c r="JDT24" s="218"/>
      <c r="JDU24" s="218"/>
      <c r="JDV24" s="218"/>
      <c r="JDW24" s="218"/>
      <c r="JDX24" s="218"/>
      <c r="JDY24" s="218"/>
      <c r="JDZ24" s="218"/>
      <c r="JEA24" s="218"/>
      <c r="JEB24" s="218"/>
      <c r="JEC24" s="218"/>
      <c r="JED24" s="218"/>
      <c r="JEE24" s="218"/>
      <c r="JEF24" s="218"/>
      <c r="JEG24" s="218"/>
      <c r="JEH24" s="218"/>
      <c r="JEI24" s="218"/>
      <c r="JEJ24" s="218"/>
      <c r="JEK24" s="218"/>
      <c r="JEL24" s="218"/>
      <c r="JEM24" s="218"/>
      <c r="JEN24" s="218"/>
      <c r="JEO24" s="218"/>
      <c r="JEP24" s="218"/>
      <c r="JEQ24" s="218"/>
      <c r="JER24" s="218"/>
      <c r="JES24" s="218"/>
      <c r="JET24" s="218"/>
      <c r="JEU24" s="218"/>
      <c r="JEV24" s="218"/>
      <c r="JEW24" s="218"/>
      <c r="JEX24" s="218"/>
      <c r="JEY24" s="218"/>
      <c r="JEZ24" s="218"/>
      <c r="JFA24" s="218"/>
      <c r="JFB24" s="218"/>
      <c r="JFC24" s="218"/>
      <c r="JFD24" s="218"/>
      <c r="JFE24" s="218"/>
      <c r="JFF24" s="218"/>
      <c r="JFG24" s="218"/>
      <c r="JFH24" s="218"/>
      <c r="JFI24" s="218"/>
      <c r="JFJ24" s="218"/>
      <c r="JFK24" s="218"/>
      <c r="JFL24" s="218"/>
      <c r="JFM24" s="218"/>
      <c r="JFN24" s="218"/>
      <c r="JFO24" s="218"/>
      <c r="JFP24" s="218"/>
      <c r="JFQ24" s="218"/>
      <c r="JFR24" s="218"/>
      <c r="JFS24" s="218"/>
      <c r="JFT24" s="218"/>
      <c r="JFU24" s="218"/>
      <c r="JFV24" s="218"/>
      <c r="JFW24" s="218"/>
      <c r="JFX24" s="218"/>
      <c r="JFY24" s="218"/>
      <c r="JFZ24" s="218"/>
      <c r="JGA24" s="218"/>
      <c r="JGB24" s="218"/>
      <c r="JGC24" s="218"/>
      <c r="JGD24" s="218"/>
      <c r="JGE24" s="218"/>
      <c r="JGF24" s="218"/>
      <c r="JGG24" s="218"/>
      <c r="JGH24" s="218"/>
      <c r="JGI24" s="218"/>
      <c r="JGJ24" s="218"/>
      <c r="JGK24" s="218"/>
      <c r="JGL24" s="218"/>
      <c r="JGM24" s="218"/>
      <c r="JGN24" s="218"/>
      <c r="JGO24" s="218"/>
      <c r="JGP24" s="218"/>
      <c r="JGQ24" s="218"/>
      <c r="JGR24" s="218"/>
      <c r="JGS24" s="218"/>
      <c r="JGT24" s="218"/>
      <c r="JGU24" s="218"/>
      <c r="JGV24" s="218"/>
      <c r="JGW24" s="218"/>
      <c r="JGX24" s="218"/>
      <c r="JGY24" s="218"/>
      <c r="JGZ24" s="218"/>
      <c r="JHA24" s="218"/>
      <c r="JHB24" s="218"/>
      <c r="JHC24" s="218"/>
      <c r="JHD24" s="218"/>
      <c r="JHE24" s="218"/>
      <c r="JHF24" s="218"/>
      <c r="JHG24" s="218"/>
      <c r="JHH24" s="218"/>
      <c r="JHI24" s="218"/>
      <c r="JHJ24" s="218"/>
      <c r="JHK24" s="218"/>
      <c r="JHL24" s="218"/>
      <c r="JHM24" s="218"/>
      <c r="JHN24" s="218"/>
      <c r="JHO24" s="218"/>
      <c r="JHP24" s="218"/>
      <c r="JHQ24" s="218"/>
      <c r="JHR24" s="218"/>
      <c r="JHS24" s="218"/>
      <c r="JHT24" s="218"/>
      <c r="JHU24" s="218"/>
      <c r="JHV24" s="218"/>
      <c r="JHW24" s="218"/>
      <c r="JHX24" s="218"/>
      <c r="JHY24" s="218"/>
      <c r="JHZ24" s="218"/>
      <c r="JIA24" s="218"/>
      <c r="JIB24" s="218"/>
      <c r="JIC24" s="218"/>
      <c r="JID24" s="218"/>
      <c r="JIE24" s="218"/>
      <c r="JIF24" s="218"/>
      <c r="JIG24" s="218"/>
      <c r="JIH24" s="218"/>
      <c r="JII24" s="218"/>
      <c r="JIJ24" s="218"/>
      <c r="JIK24" s="218"/>
      <c r="JIL24" s="218"/>
      <c r="JIM24" s="218"/>
      <c r="JIN24" s="218"/>
      <c r="JIO24" s="218"/>
      <c r="JIP24" s="218"/>
      <c r="JIQ24" s="218"/>
      <c r="JIR24" s="218"/>
      <c r="JIS24" s="218"/>
      <c r="JIT24" s="218"/>
      <c r="JIU24" s="218"/>
      <c r="JIV24" s="218"/>
      <c r="JIW24" s="218"/>
      <c r="JIX24" s="218"/>
      <c r="JIY24" s="218"/>
      <c r="JIZ24" s="218"/>
      <c r="JJA24" s="218"/>
      <c r="JJB24" s="218"/>
      <c r="JJC24" s="218"/>
      <c r="JJD24" s="218"/>
      <c r="JJE24" s="218"/>
      <c r="JJF24" s="218"/>
      <c r="JJG24" s="218"/>
      <c r="JJH24" s="218"/>
      <c r="JJI24" s="218"/>
      <c r="JJJ24" s="218"/>
      <c r="JJK24" s="218"/>
      <c r="JJL24" s="218"/>
      <c r="JJM24" s="218"/>
      <c r="JJN24" s="218"/>
      <c r="JJO24" s="218"/>
      <c r="JJP24" s="218"/>
      <c r="JJQ24" s="218"/>
      <c r="JJR24" s="218"/>
      <c r="JJS24" s="218"/>
      <c r="JJT24" s="218"/>
      <c r="JJU24" s="218"/>
      <c r="JJV24" s="218"/>
      <c r="JJW24" s="218"/>
      <c r="JJX24" s="218"/>
      <c r="JJY24" s="218"/>
      <c r="JJZ24" s="218"/>
      <c r="JKA24" s="218"/>
      <c r="JKB24" s="218"/>
      <c r="JKC24" s="218"/>
      <c r="JKD24" s="218"/>
      <c r="JKE24" s="218"/>
      <c r="JKF24" s="218"/>
      <c r="JKG24" s="218"/>
      <c r="JKH24" s="218"/>
      <c r="JKI24" s="218"/>
      <c r="JKJ24" s="218"/>
      <c r="JKK24" s="218"/>
      <c r="JKL24" s="218"/>
      <c r="JKM24" s="218"/>
      <c r="JKN24" s="218"/>
      <c r="JKO24" s="218"/>
      <c r="JKP24" s="218"/>
      <c r="JKQ24" s="218"/>
      <c r="JKR24" s="218"/>
      <c r="JKS24" s="218"/>
      <c r="JKT24" s="218"/>
      <c r="JKU24" s="218"/>
      <c r="JKV24" s="218"/>
      <c r="JKW24" s="218"/>
      <c r="JKX24" s="218"/>
      <c r="JKY24" s="218"/>
      <c r="JKZ24" s="218"/>
      <c r="JLA24" s="218"/>
      <c r="JLB24" s="218"/>
      <c r="JLC24" s="218"/>
      <c r="JLD24" s="218"/>
      <c r="JLE24" s="218"/>
      <c r="JLF24" s="218"/>
      <c r="JLG24" s="218"/>
      <c r="JLH24" s="218"/>
      <c r="JLI24" s="218"/>
      <c r="JLJ24" s="218"/>
      <c r="JLK24" s="218"/>
      <c r="JLL24" s="218"/>
      <c r="JLM24" s="218"/>
      <c r="JLN24" s="218"/>
      <c r="JLO24" s="218"/>
      <c r="JLP24" s="218"/>
      <c r="JLQ24" s="218"/>
      <c r="JLR24" s="218"/>
      <c r="JLS24" s="218"/>
      <c r="JLT24" s="218"/>
      <c r="JLU24" s="218"/>
      <c r="JLV24" s="218"/>
      <c r="JLW24" s="218"/>
      <c r="JLX24" s="218"/>
      <c r="JLY24" s="218"/>
      <c r="JLZ24" s="218"/>
      <c r="JMA24" s="218"/>
      <c r="JMB24" s="218"/>
      <c r="JMC24" s="218"/>
      <c r="JMD24" s="218"/>
      <c r="JME24" s="218"/>
      <c r="JMF24" s="218"/>
      <c r="JMG24" s="218"/>
      <c r="JMH24" s="218"/>
      <c r="JMI24" s="218"/>
      <c r="JMJ24" s="218"/>
      <c r="JMK24" s="218"/>
      <c r="JML24" s="218"/>
      <c r="JMM24" s="218"/>
      <c r="JMN24" s="218"/>
      <c r="JMO24" s="218"/>
      <c r="JMP24" s="218"/>
      <c r="JMQ24" s="218"/>
      <c r="JMR24" s="218"/>
      <c r="JMS24" s="218"/>
      <c r="JMT24" s="218"/>
      <c r="JMU24" s="218"/>
      <c r="JMV24" s="218"/>
      <c r="JMW24" s="218"/>
      <c r="JMX24" s="218"/>
      <c r="JMY24" s="218"/>
      <c r="JMZ24" s="218"/>
      <c r="JNA24" s="218"/>
      <c r="JNB24" s="218"/>
      <c r="JNC24" s="218"/>
      <c r="JND24" s="218"/>
      <c r="JNE24" s="218"/>
      <c r="JNF24" s="218"/>
      <c r="JNG24" s="218"/>
      <c r="JNH24" s="218"/>
      <c r="JNI24" s="218"/>
      <c r="JNJ24" s="218"/>
      <c r="JNK24" s="218"/>
      <c r="JNL24" s="218"/>
      <c r="JNM24" s="218"/>
      <c r="JNN24" s="218"/>
      <c r="JNO24" s="218"/>
      <c r="JNP24" s="218"/>
      <c r="JNQ24" s="218"/>
      <c r="JNR24" s="218"/>
      <c r="JNS24" s="218"/>
      <c r="JNT24" s="218"/>
      <c r="JNU24" s="218"/>
      <c r="JNV24" s="218"/>
      <c r="JNW24" s="218"/>
      <c r="JNX24" s="218"/>
      <c r="JNY24" s="218"/>
      <c r="JNZ24" s="218"/>
      <c r="JOA24" s="218"/>
      <c r="JOB24" s="218"/>
      <c r="JOC24" s="218"/>
      <c r="JOD24" s="218"/>
      <c r="JOE24" s="218"/>
      <c r="JOF24" s="218"/>
      <c r="JOG24" s="218"/>
      <c r="JOH24" s="218"/>
      <c r="JOI24" s="218"/>
      <c r="JOJ24" s="218"/>
      <c r="JOK24" s="218"/>
      <c r="JOL24" s="218"/>
      <c r="JOM24" s="218"/>
      <c r="JON24" s="218"/>
      <c r="JOO24" s="218"/>
      <c r="JOP24" s="218"/>
      <c r="JOQ24" s="218"/>
      <c r="JOR24" s="218"/>
      <c r="JOS24" s="218"/>
      <c r="JOT24" s="218"/>
      <c r="JOU24" s="218"/>
      <c r="JOV24" s="218"/>
      <c r="JOW24" s="218"/>
      <c r="JOX24" s="218"/>
      <c r="JOY24" s="218"/>
      <c r="JOZ24" s="218"/>
      <c r="JPA24" s="218"/>
      <c r="JPB24" s="218"/>
      <c r="JPC24" s="218"/>
      <c r="JPD24" s="218"/>
      <c r="JPE24" s="218"/>
      <c r="JPF24" s="218"/>
      <c r="JPG24" s="218"/>
      <c r="JPH24" s="218"/>
      <c r="JPI24" s="218"/>
      <c r="JPJ24" s="218"/>
      <c r="JPK24" s="218"/>
      <c r="JPL24" s="218"/>
      <c r="JPM24" s="218"/>
      <c r="JPN24" s="218"/>
      <c r="JPO24" s="218"/>
      <c r="JPP24" s="218"/>
      <c r="JPQ24" s="218"/>
      <c r="JPR24" s="218"/>
      <c r="JPS24" s="218"/>
      <c r="JPT24" s="218"/>
      <c r="JPU24" s="218"/>
      <c r="JPV24" s="218"/>
      <c r="JPW24" s="218"/>
      <c r="JPX24" s="218"/>
      <c r="JPY24" s="218"/>
      <c r="JPZ24" s="218"/>
      <c r="JQA24" s="218"/>
      <c r="JQB24" s="218"/>
      <c r="JQC24" s="218"/>
      <c r="JQD24" s="218"/>
      <c r="JQE24" s="218"/>
      <c r="JQF24" s="218"/>
      <c r="JQG24" s="218"/>
      <c r="JQH24" s="218"/>
      <c r="JQI24" s="218"/>
      <c r="JQJ24" s="218"/>
      <c r="JQK24" s="218"/>
      <c r="JQL24" s="218"/>
      <c r="JQM24" s="218"/>
      <c r="JQN24" s="218"/>
      <c r="JQO24" s="218"/>
      <c r="JQP24" s="218"/>
      <c r="JQQ24" s="218"/>
      <c r="JQR24" s="218"/>
      <c r="JQS24" s="218"/>
      <c r="JQT24" s="218"/>
      <c r="JQU24" s="218"/>
      <c r="JQV24" s="218"/>
      <c r="JQW24" s="218"/>
      <c r="JQX24" s="218"/>
      <c r="JQY24" s="218"/>
      <c r="JQZ24" s="218"/>
      <c r="JRA24" s="218"/>
      <c r="JRB24" s="218"/>
      <c r="JRC24" s="218"/>
      <c r="JRD24" s="218"/>
      <c r="JRE24" s="218"/>
      <c r="JRF24" s="218"/>
      <c r="JRG24" s="218"/>
      <c r="JRH24" s="218"/>
      <c r="JRI24" s="218"/>
      <c r="JRJ24" s="218"/>
      <c r="JRK24" s="218"/>
      <c r="JRL24" s="218"/>
      <c r="JRM24" s="218"/>
      <c r="JRN24" s="218"/>
      <c r="JRO24" s="218"/>
      <c r="JRP24" s="218"/>
      <c r="JRQ24" s="218"/>
      <c r="JRR24" s="218"/>
      <c r="JRS24" s="218"/>
      <c r="JRT24" s="218"/>
      <c r="JRU24" s="218"/>
      <c r="JRV24" s="218"/>
      <c r="JRW24" s="218"/>
      <c r="JRX24" s="218"/>
      <c r="JRY24" s="218"/>
      <c r="JRZ24" s="218"/>
      <c r="JSA24" s="218"/>
      <c r="JSB24" s="218"/>
      <c r="JSC24" s="218"/>
      <c r="JSD24" s="218"/>
      <c r="JSE24" s="218"/>
      <c r="JSF24" s="218"/>
      <c r="JSG24" s="218"/>
      <c r="JSH24" s="218"/>
      <c r="JSI24" s="218"/>
      <c r="JSJ24" s="218"/>
      <c r="JSK24" s="218"/>
      <c r="JSL24" s="218"/>
      <c r="JSM24" s="218"/>
      <c r="JSN24" s="218"/>
      <c r="JSO24" s="218"/>
      <c r="JSP24" s="218"/>
      <c r="JSQ24" s="218"/>
      <c r="JSR24" s="218"/>
      <c r="JSS24" s="218"/>
      <c r="JST24" s="218"/>
      <c r="JSU24" s="218"/>
      <c r="JSV24" s="218"/>
      <c r="JSW24" s="218"/>
      <c r="JSX24" s="218"/>
      <c r="JSY24" s="218"/>
      <c r="JSZ24" s="218"/>
      <c r="JTA24" s="218"/>
      <c r="JTB24" s="218"/>
      <c r="JTC24" s="218"/>
      <c r="JTD24" s="218"/>
      <c r="JTE24" s="218"/>
      <c r="JTF24" s="218"/>
      <c r="JTG24" s="218"/>
      <c r="JTH24" s="218"/>
      <c r="JTI24" s="218"/>
      <c r="JTJ24" s="218"/>
      <c r="JTK24" s="218"/>
      <c r="JTL24" s="218"/>
      <c r="JTM24" s="218"/>
      <c r="JTN24" s="218"/>
      <c r="JTO24" s="218"/>
      <c r="JTP24" s="218"/>
      <c r="JTQ24" s="218"/>
      <c r="JTR24" s="218"/>
      <c r="JTS24" s="218"/>
      <c r="JTT24" s="218"/>
      <c r="JTU24" s="218"/>
      <c r="JTV24" s="218"/>
      <c r="JTW24" s="218"/>
      <c r="JTX24" s="218"/>
      <c r="JTY24" s="218"/>
      <c r="JTZ24" s="218"/>
      <c r="JUA24" s="218"/>
      <c r="JUB24" s="218"/>
      <c r="JUC24" s="218"/>
      <c r="JUD24" s="218"/>
      <c r="JUE24" s="218"/>
      <c r="JUF24" s="218"/>
      <c r="JUG24" s="218"/>
      <c r="JUH24" s="218"/>
      <c r="JUI24" s="218"/>
      <c r="JUJ24" s="218"/>
      <c r="JUK24" s="218"/>
      <c r="JUL24" s="218"/>
      <c r="JUM24" s="218"/>
      <c r="JUN24" s="218"/>
      <c r="JUO24" s="218"/>
      <c r="JUP24" s="218"/>
      <c r="JUQ24" s="218"/>
      <c r="JUR24" s="218"/>
      <c r="JUS24" s="218"/>
      <c r="JUT24" s="218"/>
      <c r="JUU24" s="218"/>
      <c r="JUV24" s="218"/>
      <c r="JUW24" s="218"/>
      <c r="JUX24" s="218"/>
      <c r="JUY24" s="218"/>
      <c r="JUZ24" s="218"/>
      <c r="JVA24" s="218"/>
      <c r="JVB24" s="218"/>
      <c r="JVC24" s="218"/>
      <c r="JVD24" s="218"/>
      <c r="JVE24" s="218"/>
      <c r="JVF24" s="218"/>
      <c r="JVG24" s="218"/>
      <c r="JVH24" s="218"/>
      <c r="JVI24" s="218"/>
      <c r="JVJ24" s="218"/>
      <c r="JVK24" s="218"/>
      <c r="JVL24" s="218"/>
      <c r="JVM24" s="218"/>
      <c r="JVN24" s="218"/>
      <c r="JVO24" s="218"/>
      <c r="JVP24" s="218"/>
      <c r="JVQ24" s="218"/>
      <c r="JVR24" s="218"/>
      <c r="JVS24" s="218"/>
      <c r="JVT24" s="218"/>
      <c r="JVU24" s="218"/>
      <c r="JVV24" s="218"/>
      <c r="JVW24" s="218"/>
      <c r="JVX24" s="218"/>
      <c r="JVY24" s="218"/>
      <c r="JVZ24" s="218"/>
      <c r="JWA24" s="218"/>
      <c r="JWB24" s="218"/>
      <c r="JWC24" s="218"/>
      <c r="JWD24" s="218"/>
      <c r="JWE24" s="218"/>
      <c r="JWF24" s="218"/>
      <c r="JWG24" s="218"/>
      <c r="JWH24" s="218"/>
      <c r="JWI24" s="218"/>
      <c r="JWJ24" s="218"/>
      <c r="JWK24" s="218"/>
      <c r="JWL24" s="218"/>
      <c r="JWM24" s="218"/>
      <c r="JWN24" s="218"/>
      <c r="JWO24" s="218"/>
      <c r="JWP24" s="218"/>
      <c r="JWQ24" s="218"/>
      <c r="JWR24" s="218"/>
      <c r="JWS24" s="218"/>
      <c r="JWT24" s="218"/>
      <c r="JWU24" s="218"/>
      <c r="JWV24" s="218"/>
      <c r="JWW24" s="218"/>
      <c r="JWX24" s="218"/>
      <c r="JWY24" s="218"/>
      <c r="JWZ24" s="218"/>
      <c r="JXA24" s="218"/>
      <c r="JXB24" s="218"/>
      <c r="JXC24" s="218"/>
      <c r="JXD24" s="218"/>
      <c r="JXE24" s="218"/>
      <c r="JXF24" s="218"/>
      <c r="JXG24" s="218"/>
      <c r="JXH24" s="218"/>
      <c r="JXI24" s="218"/>
      <c r="JXJ24" s="218"/>
      <c r="JXK24" s="218"/>
      <c r="JXL24" s="218"/>
      <c r="JXM24" s="218"/>
      <c r="JXN24" s="218"/>
      <c r="JXO24" s="218"/>
      <c r="JXP24" s="218"/>
      <c r="JXQ24" s="218"/>
      <c r="JXR24" s="218"/>
      <c r="JXS24" s="218"/>
      <c r="JXT24" s="218"/>
      <c r="JXU24" s="218"/>
      <c r="JXV24" s="218"/>
      <c r="JXW24" s="218"/>
      <c r="JXX24" s="218"/>
      <c r="JXY24" s="218"/>
      <c r="JXZ24" s="218"/>
      <c r="JYA24" s="218"/>
      <c r="JYB24" s="218"/>
      <c r="JYC24" s="218"/>
      <c r="JYD24" s="218"/>
      <c r="JYE24" s="218"/>
      <c r="JYF24" s="218"/>
      <c r="JYG24" s="218"/>
      <c r="JYH24" s="218"/>
      <c r="JYI24" s="218"/>
      <c r="JYJ24" s="218"/>
      <c r="JYK24" s="218"/>
      <c r="JYL24" s="218"/>
      <c r="JYM24" s="218"/>
      <c r="JYN24" s="218"/>
      <c r="JYO24" s="218"/>
      <c r="JYP24" s="218"/>
      <c r="JYQ24" s="218"/>
      <c r="JYR24" s="218"/>
      <c r="JYS24" s="218"/>
      <c r="JYT24" s="218"/>
      <c r="JYU24" s="218"/>
      <c r="JYV24" s="218"/>
      <c r="JYW24" s="218"/>
      <c r="JYX24" s="218"/>
      <c r="JYY24" s="218"/>
      <c r="JYZ24" s="218"/>
      <c r="JZA24" s="218"/>
      <c r="JZB24" s="218"/>
      <c r="JZC24" s="218"/>
      <c r="JZD24" s="218"/>
      <c r="JZE24" s="218"/>
      <c r="JZF24" s="218"/>
      <c r="JZG24" s="218"/>
      <c r="JZH24" s="218"/>
      <c r="JZI24" s="218"/>
      <c r="JZJ24" s="218"/>
      <c r="JZK24" s="218"/>
      <c r="JZL24" s="218"/>
      <c r="JZM24" s="218"/>
      <c r="JZN24" s="218"/>
      <c r="JZO24" s="218"/>
      <c r="JZP24" s="218"/>
      <c r="JZQ24" s="218"/>
      <c r="JZR24" s="218"/>
      <c r="JZS24" s="218"/>
      <c r="JZT24" s="218"/>
      <c r="JZU24" s="218"/>
      <c r="JZV24" s="218"/>
      <c r="JZW24" s="218"/>
      <c r="JZX24" s="218"/>
      <c r="JZY24" s="218"/>
      <c r="JZZ24" s="218"/>
      <c r="KAA24" s="218"/>
      <c r="KAB24" s="218"/>
      <c r="KAC24" s="218"/>
      <c r="KAD24" s="218"/>
      <c r="KAE24" s="218"/>
      <c r="KAF24" s="218"/>
      <c r="KAG24" s="218"/>
      <c r="KAH24" s="218"/>
      <c r="KAI24" s="218"/>
      <c r="KAJ24" s="218"/>
      <c r="KAK24" s="218"/>
      <c r="KAL24" s="218"/>
      <c r="KAM24" s="218"/>
      <c r="KAN24" s="218"/>
      <c r="KAO24" s="218"/>
      <c r="KAP24" s="218"/>
      <c r="KAQ24" s="218"/>
      <c r="KAR24" s="218"/>
      <c r="KAS24" s="218"/>
      <c r="KAT24" s="218"/>
      <c r="KAU24" s="218"/>
      <c r="KAV24" s="218"/>
      <c r="KAW24" s="218"/>
      <c r="KAX24" s="218"/>
      <c r="KAY24" s="218"/>
      <c r="KAZ24" s="218"/>
      <c r="KBA24" s="218"/>
      <c r="KBB24" s="218"/>
      <c r="KBC24" s="218"/>
      <c r="KBD24" s="218"/>
      <c r="KBE24" s="218"/>
      <c r="KBF24" s="218"/>
      <c r="KBG24" s="218"/>
      <c r="KBH24" s="218"/>
      <c r="KBI24" s="218"/>
      <c r="KBJ24" s="218"/>
      <c r="KBK24" s="218"/>
      <c r="KBL24" s="218"/>
      <c r="KBM24" s="218"/>
      <c r="KBN24" s="218"/>
      <c r="KBO24" s="218"/>
      <c r="KBP24" s="218"/>
      <c r="KBQ24" s="218"/>
      <c r="KBR24" s="218"/>
      <c r="KBS24" s="218"/>
      <c r="KBT24" s="218"/>
      <c r="KBU24" s="218"/>
      <c r="KBV24" s="218"/>
      <c r="KBW24" s="218"/>
      <c r="KBX24" s="218"/>
      <c r="KBY24" s="218"/>
      <c r="KBZ24" s="218"/>
      <c r="KCA24" s="218"/>
      <c r="KCB24" s="218"/>
      <c r="KCC24" s="218"/>
      <c r="KCD24" s="218"/>
      <c r="KCE24" s="218"/>
      <c r="KCF24" s="218"/>
      <c r="KCG24" s="218"/>
      <c r="KCH24" s="218"/>
      <c r="KCI24" s="218"/>
      <c r="KCJ24" s="218"/>
      <c r="KCK24" s="218"/>
      <c r="KCL24" s="218"/>
      <c r="KCM24" s="218"/>
      <c r="KCN24" s="218"/>
      <c r="KCO24" s="218"/>
      <c r="KCP24" s="218"/>
      <c r="KCQ24" s="218"/>
      <c r="KCR24" s="218"/>
      <c r="KCS24" s="218"/>
      <c r="KCT24" s="218"/>
      <c r="KCU24" s="218"/>
      <c r="KCV24" s="218"/>
      <c r="KCW24" s="218"/>
      <c r="KCX24" s="218"/>
      <c r="KCY24" s="218"/>
      <c r="KCZ24" s="218"/>
      <c r="KDA24" s="218"/>
      <c r="KDB24" s="218"/>
      <c r="KDC24" s="218"/>
      <c r="KDD24" s="218"/>
      <c r="KDE24" s="218"/>
      <c r="KDF24" s="218"/>
      <c r="KDG24" s="218"/>
      <c r="KDH24" s="218"/>
      <c r="KDI24" s="218"/>
      <c r="KDJ24" s="218"/>
      <c r="KDK24" s="218"/>
      <c r="KDL24" s="218"/>
      <c r="KDM24" s="218"/>
      <c r="KDN24" s="218"/>
      <c r="KDO24" s="218"/>
      <c r="KDP24" s="218"/>
      <c r="KDQ24" s="218"/>
      <c r="KDR24" s="218"/>
      <c r="KDS24" s="218"/>
      <c r="KDT24" s="218"/>
      <c r="KDU24" s="218"/>
      <c r="KDV24" s="218"/>
      <c r="KDW24" s="218"/>
      <c r="KDX24" s="218"/>
      <c r="KDY24" s="218"/>
      <c r="KDZ24" s="218"/>
      <c r="KEA24" s="218"/>
      <c r="KEB24" s="218"/>
      <c r="KEC24" s="218"/>
      <c r="KED24" s="218"/>
      <c r="KEE24" s="218"/>
      <c r="KEF24" s="218"/>
      <c r="KEG24" s="218"/>
      <c r="KEH24" s="218"/>
      <c r="KEI24" s="218"/>
      <c r="KEJ24" s="218"/>
      <c r="KEK24" s="218"/>
      <c r="KEL24" s="218"/>
      <c r="KEM24" s="218"/>
      <c r="KEN24" s="218"/>
      <c r="KEO24" s="218"/>
      <c r="KEP24" s="218"/>
      <c r="KEQ24" s="218"/>
      <c r="KER24" s="218"/>
      <c r="KES24" s="218"/>
      <c r="KET24" s="218"/>
      <c r="KEU24" s="218"/>
      <c r="KEV24" s="218"/>
      <c r="KEW24" s="218"/>
      <c r="KEX24" s="218"/>
      <c r="KEY24" s="218"/>
      <c r="KEZ24" s="218"/>
      <c r="KFA24" s="218"/>
      <c r="KFB24" s="218"/>
      <c r="KFC24" s="218"/>
      <c r="KFD24" s="218"/>
      <c r="KFE24" s="218"/>
      <c r="KFF24" s="218"/>
      <c r="KFG24" s="218"/>
      <c r="KFH24" s="218"/>
      <c r="KFI24" s="218"/>
      <c r="KFJ24" s="218"/>
      <c r="KFK24" s="218"/>
      <c r="KFL24" s="218"/>
      <c r="KFM24" s="218"/>
      <c r="KFN24" s="218"/>
      <c r="KFO24" s="218"/>
      <c r="KFP24" s="218"/>
      <c r="KFQ24" s="218"/>
      <c r="KFR24" s="218"/>
      <c r="KFS24" s="218"/>
      <c r="KFT24" s="218"/>
      <c r="KFU24" s="218"/>
      <c r="KFV24" s="218"/>
      <c r="KFW24" s="218"/>
      <c r="KFX24" s="218"/>
      <c r="KFY24" s="218"/>
      <c r="KFZ24" s="218"/>
      <c r="KGA24" s="218"/>
      <c r="KGB24" s="218"/>
      <c r="KGC24" s="218"/>
      <c r="KGD24" s="218"/>
      <c r="KGE24" s="218"/>
      <c r="KGF24" s="218"/>
      <c r="KGG24" s="218"/>
      <c r="KGH24" s="218"/>
      <c r="KGI24" s="218"/>
      <c r="KGJ24" s="218"/>
      <c r="KGK24" s="218"/>
      <c r="KGL24" s="218"/>
      <c r="KGM24" s="218"/>
      <c r="KGN24" s="218"/>
      <c r="KGO24" s="218"/>
      <c r="KGP24" s="218"/>
      <c r="KGQ24" s="218"/>
      <c r="KGR24" s="218"/>
      <c r="KGS24" s="218"/>
      <c r="KGT24" s="218"/>
      <c r="KGU24" s="218"/>
      <c r="KGV24" s="218"/>
      <c r="KGW24" s="218"/>
      <c r="KGX24" s="218"/>
      <c r="KGY24" s="218"/>
      <c r="KGZ24" s="218"/>
      <c r="KHA24" s="218"/>
      <c r="KHB24" s="218"/>
      <c r="KHC24" s="218"/>
      <c r="KHD24" s="218"/>
      <c r="KHE24" s="218"/>
      <c r="KHF24" s="218"/>
      <c r="KHG24" s="218"/>
      <c r="KHH24" s="218"/>
      <c r="KHI24" s="218"/>
      <c r="KHJ24" s="218"/>
      <c r="KHK24" s="218"/>
      <c r="KHL24" s="218"/>
      <c r="KHM24" s="218"/>
      <c r="KHN24" s="218"/>
      <c r="KHO24" s="218"/>
      <c r="KHP24" s="218"/>
      <c r="KHQ24" s="218"/>
      <c r="KHR24" s="218"/>
      <c r="KHS24" s="218"/>
      <c r="KHT24" s="218"/>
      <c r="KHU24" s="218"/>
      <c r="KHV24" s="218"/>
      <c r="KHW24" s="218"/>
      <c r="KHX24" s="218"/>
      <c r="KHY24" s="218"/>
      <c r="KHZ24" s="218"/>
      <c r="KIA24" s="218"/>
      <c r="KIB24" s="218"/>
      <c r="KIC24" s="218"/>
      <c r="KID24" s="218"/>
      <c r="KIE24" s="218"/>
      <c r="KIF24" s="218"/>
      <c r="KIG24" s="218"/>
      <c r="KIH24" s="218"/>
      <c r="KII24" s="218"/>
      <c r="KIJ24" s="218"/>
      <c r="KIK24" s="218"/>
      <c r="KIL24" s="218"/>
      <c r="KIM24" s="218"/>
      <c r="KIN24" s="218"/>
      <c r="KIO24" s="218"/>
      <c r="KIP24" s="218"/>
      <c r="KIQ24" s="218"/>
      <c r="KIR24" s="218"/>
      <c r="KIS24" s="218"/>
      <c r="KIT24" s="218"/>
      <c r="KIU24" s="218"/>
      <c r="KIV24" s="218"/>
      <c r="KIW24" s="218"/>
      <c r="KIX24" s="218"/>
      <c r="KIY24" s="218"/>
      <c r="KIZ24" s="218"/>
      <c r="KJA24" s="218"/>
      <c r="KJB24" s="218"/>
      <c r="KJC24" s="218"/>
      <c r="KJD24" s="218"/>
      <c r="KJE24" s="218"/>
      <c r="KJF24" s="218"/>
      <c r="KJG24" s="218"/>
      <c r="KJH24" s="218"/>
      <c r="KJI24" s="218"/>
      <c r="KJJ24" s="218"/>
      <c r="KJK24" s="218"/>
      <c r="KJL24" s="218"/>
      <c r="KJM24" s="218"/>
      <c r="KJN24" s="218"/>
      <c r="KJO24" s="218"/>
      <c r="KJP24" s="218"/>
      <c r="KJQ24" s="218"/>
      <c r="KJR24" s="218"/>
      <c r="KJS24" s="218"/>
      <c r="KJT24" s="218"/>
      <c r="KJU24" s="218"/>
      <c r="KJV24" s="218"/>
      <c r="KJW24" s="218"/>
      <c r="KJX24" s="218"/>
      <c r="KJY24" s="218"/>
      <c r="KJZ24" s="218"/>
      <c r="KKA24" s="218"/>
      <c r="KKB24" s="218"/>
      <c r="KKC24" s="218"/>
      <c r="KKD24" s="218"/>
      <c r="KKE24" s="218"/>
      <c r="KKF24" s="218"/>
      <c r="KKG24" s="218"/>
      <c r="KKH24" s="218"/>
      <c r="KKI24" s="218"/>
      <c r="KKJ24" s="218"/>
      <c r="KKK24" s="218"/>
      <c r="KKL24" s="218"/>
      <c r="KKM24" s="218"/>
      <c r="KKN24" s="218"/>
      <c r="KKO24" s="218"/>
      <c r="KKP24" s="218"/>
      <c r="KKQ24" s="218"/>
      <c r="KKR24" s="218"/>
      <c r="KKS24" s="218"/>
      <c r="KKT24" s="218"/>
      <c r="KKU24" s="218"/>
      <c r="KKV24" s="218"/>
      <c r="KKW24" s="218"/>
      <c r="KKX24" s="218"/>
      <c r="KKY24" s="218"/>
      <c r="KKZ24" s="218"/>
      <c r="KLA24" s="218"/>
      <c r="KLB24" s="218"/>
      <c r="KLC24" s="218"/>
      <c r="KLD24" s="218"/>
      <c r="KLE24" s="218"/>
      <c r="KLF24" s="218"/>
      <c r="KLG24" s="218"/>
      <c r="KLH24" s="218"/>
      <c r="KLI24" s="218"/>
      <c r="KLJ24" s="218"/>
      <c r="KLK24" s="218"/>
      <c r="KLL24" s="218"/>
      <c r="KLM24" s="218"/>
      <c r="KLN24" s="218"/>
      <c r="KLO24" s="218"/>
      <c r="KLP24" s="218"/>
      <c r="KLQ24" s="218"/>
      <c r="KLR24" s="218"/>
      <c r="KLS24" s="218"/>
      <c r="KLT24" s="218"/>
      <c r="KLU24" s="218"/>
      <c r="KLV24" s="218"/>
      <c r="KLW24" s="218"/>
      <c r="KLX24" s="218"/>
      <c r="KLY24" s="218"/>
      <c r="KLZ24" s="218"/>
      <c r="KMA24" s="218"/>
      <c r="KMB24" s="218"/>
      <c r="KMC24" s="218"/>
      <c r="KMD24" s="218"/>
      <c r="KME24" s="218"/>
      <c r="KMF24" s="218"/>
      <c r="KMG24" s="218"/>
      <c r="KMH24" s="218"/>
      <c r="KMI24" s="218"/>
      <c r="KMJ24" s="218"/>
      <c r="KMK24" s="218"/>
      <c r="KML24" s="218"/>
      <c r="KMM24" s="218"/>
      <c r="KMN24" s="218"/>
      <c r="KMO24" s="218"/>
      <c r="KMP24" s="218"/>
      <c r="KMQ24" s="218"/>
      <c r="KMR24" s="218"/>
      <c r="KMS24" s="218"/>
      <c r="KMT24" s="218"/>
      <c r="KMU24" s="218"/>
      <c r="KMV24" s="218"/>
      <c r="KMW24" s="218"/>
      <c r="KMX24" s="218"/>
      <c r="KMY24" s="218"/>
      <c r="KMZ24" s="218"/>
      <c r="KNA24" s="218"/>
      <c r="KNB24" s="218"/>
      <c r="KNC24" s="218"/>
      <c r="KND24" s="218"/>
      <c r="KNE24" s="218"/>
      <c r="KNF24" s="218"/>
      <c r="KNG24" s="218"/>
      <c r="KNH24" s="218"/>
      <c r="KNI24" s="218"/>
      <c r="KNJ24" s="218"/>
      <c r="KNK24" s="218"/>
      <c r="KNL24" s="218"/>
      <c r="KNM24" s="218"/>
      <c r="KNN24" s="218"/>
      <c r="KNO24" s="218"/>
      <c r="KNP24" s="218"/>
      <c r="KNQ24" s="218"/>
      <c r="KNR24" s="218"/>
      <c r="KNS24" s="218"/>
      <c r="KNT24" s="218"/>
      <c r="KNU24" s="218"/>
      <c r="KNV24" s="218"/>
      <c r="KNW24" s="218"/>
      <c r="KNX24" s="218"/>
      <c r="KNY24" s="218"/>
      <c r="KNZ24" s="218"/>
      <c r="KOA24" s="218"/>
      <c r="KOB24" s="218"/>
      <c r="KOC24" s="218"/>
      <c r="KOD24" s="218"/>
      <c r="KOE24" s="218"/>
      <c r="KOF24" s="218"/>
      <c r="KOG24" s="218"/>
      <c r="KOH24" s="218"/>
      <c r="KOI24" s="218"/>
      <c r="KOJ24" s="218"/>
      <c r="KOK24" s="218"/>
      <c r="KOL24" s="218"/>
      <c r="KOM24" s="218"/>
      <c r="KON24" s="218"/>
      <c r="KOO24" s="218"/>
      <c r="KOP24" s="218"/>
      <c r="KOQ24" s="218"/>
      <c r="KOR24" s="218"/>
      <c r="KOS24" s="218"/>
      <c r="KOT24" s="218"/>
      <c r="KOU24" s="218"/>
      <c r="KOV24" s="218"/>
      <c r="KOW24" s="218"/>
      <c r="KOX24" s="218"/>
      <c r="KOY24" s="218"/>
      <c r="KOZ24" s="218"/>
      <c r="KPA24" s="218"/>
      <c r="KPB24" s="218"/>
      <c r="KPC24" s="218"/>
      <c r="KPD24" s="218"/>
      <c r="KPE24" s="218"/>
      <c r="KPF24" s="218"/>
      <c r="KPG24" s="218"/>
      <c r="KPH24" s="218"/>
      <c r="KPI24" s="218"/>
      <c r="KPJ24" s="218"/>
      <c r="KPK24" s="218"/>
      <c r="KPL24" s="218"/>
      <c r="KPM24" s="218"/>
      <c r="KPN24" s="218"/>
      <c r="KPO24" s="218"/>
      <c r="KPP24" s="218"/>
      <c r="KPQ24" s="218"/>
      <c r="KPR24" s="218"/>
      <c r="KPS24" s="218"/>
      <c r="KPT24" s="218"/>
      <c r="KPU24" s="218"/>
      <c r="KPV24" s="218"/>
      <c r="KPW24" s="218"/>
      <c r="KPX24" s="218"/>
      <c r="KPY24" s="218"/>
      <c r="KPZ24" s="218"/>
      <c r="KQA24" s="218"/>
      <c r="KQB24" s="218"/>
      <c r="KQC24" s="218"/>
      <c r="KQD24" s="218"/>
      <c r="KQE24" s="218"/>
      <c r="KQF24" s="218"/>
      <c r="KQG24" s="218"/>
      <c r="KQH24" s="218"/>
      <c r="KQI24" s="218"/>
      <c r="KQJ24" s="218"/>
      <c r="KQK24" s="218"/>
      <c r="KQL24" s="218"/>
      <c r="KQM24" s="218"/>
      <c r="KQN24" s="218"/>
      <c r="KQO24" s="218"/>
      <c r="KQP24" s="218"/>
      <c r="KQQ24" s="218"/>
      <c r="KQR24" s="218"/>
      <c r="KQS24" s="218"/>
      <c r="KQT24" s="218"/>
      <c r="KQU24" s="218"/>
      <c r="KQV24" s="218"/>
      <c r="KQW24" s="218"/>
      <c r="KQX24" s="218"/>
      <c r="KQY24" s="218"/>
      <c r="KQZ24" s="218"/>
      <c r="KRA24" s="218"/>
      <c r="KRB24" s="218"/>
      <c r="KRC24" s="218"/>
      <c r="KRD24" s="218"/>
      <c r="KRE24" s="218"/>
      <c r="KRF24" s="218"/>
      <c r="KRG24" s="218"/>
      <c r="KRH24" s="218"/>
      <c r="KRI24" s="218"/>
      <c r="KRJ24" s="218"/>
      <c r="KRK24" s="218"/>
      <c r="KRL24" s="218"/>
      <c r="KRM24" s="218"/>
      <c r="KRN24" s="218"/>
      <c r="KRO24" s="218"/>
      <c r="KRP24" s="218"/>
      <c r="KRQ24" s="218"/>
      <c r="KRR24" s="218"/>
      <c r="KRS24" s="218"/>
      <c r="KRT24" s="218"/>
      <c r="KRU24" s="218"/>
      <c r="KRV24" s="218"/>
      <c r="KRW24" s="218"/>
      <c r="KRX24" s="218"/>
      <c r="KRY24" s="218"/>
      <c r="KRZ24" s="218"/>
      <c r="KSA24" s="218"/>
      <c r="KSB24" s="218"/>
      <c r="KSC24" s="218"/>
      <c r="KSD24" s="218"/>
      <c r="KSE24" s="218"/>
      <c r="KSF24" s="218"/>
      <c r="KSG24" s="218"/>
      <c r="KSH24" s="218"/>
      <c r="KSI24" s="218"/>
      <c r="KSJ24" s="218"/>
      <c r="KSK24" s="218"/>
      <c r="KSL24" s="218"/>
      <c r="KSM24" s="218"/>
      <c r="KSN24" s="218"/>
      <c r="KSO24" s="218"/>
      <c r="KSP24" s="218"/>
      <c r="KSQ24" s="218"/>
      <c r="KSR24" s="218"/>
      <c r="KSS24" s="218"/>
      <c r="KST24" s="218"/>
      <c r="KSU24" s="218"/>
      <c r="KSV24" s="218"/>
      <c r="KSW24" s="218"/>
      <c r="KSX24" s="218"/>
      <c r="KSY24" s="218"/>
      <c r="KSZ24" s="218"/>
      <c r="KTA24" s="218"/>
      <c r="KTB24" s="218"/>
      <c r="KTC24" s="218"/>
      <c r="KTD24" s="218"/>
      <c r="KTE24" s="218"/>
      <c r="KTF24" s="218"/>
      <c r="KTG24" s="218"/>
      <c r="KTH24" s="218"/>
      <c r="KTI24" s="218"/>
      <c r="KTJ24" s="218"/>
      <c r="KTK24" s="218"/>
      <c r="KTL24" s="218"/>
      <c r="KTM24" s="218"/>
      <c r="KTN24" s="218"/>
      <c r="KTO24" s="218"/>
      <c r="KTP24" s="218"/>
      <c r="KTQ24" s="218"/>
      <c r="KTR24" s="218"/>
      <c r="KTS24" s="218"/>
      <c r="KTT24" s="218"/>
      <c r="KTU24" s="218"/>
      <c r="KTV24" s="218"/>
      <c r="KTW24" s="218"/>
      <c r="KTX24" s="218"/>
      <c r="KTY24" s="218"/>
      <c r="KTZ24" s="218"/>
      <c r="KUA24" s="218"/>
      <c r="KUB24" s="218"/>
      <c r="KUC24" s="218"/>
      <c r="KUD24" s="218"/>
      <c r="KUE24" s="218"/>
      <c r="KUF24" s="218"/>
      <c r="KUG24" s="218"/>
      <c r="KUH24" s="218"/>
      <c r="KUI24" s="218"/>
      <c r="KUJ24" s="218"/>
      <c r="KUK24" s="218"/>
      <c r="KUL24" s="218"/>
      <c r="KUM24" s="218"/>
      <c r="KUN24" s="218"/>
      <c r="KUO24" s="218"/>
      <c r="KUP24" s="218"/>
      <c r="KUQ24" s="218"/>
      <c r="KUR24" s="218"/>
      <c r="KUS24" s="218"/>
      <c r="KUT24" s="218"/>
      <c r="KUU24" s="218"/>
      <c r="KUV24" s="218"/>
      <c r="KUW24" s="218"/>
      <c r="KUX24" s="218"/>
      <c r="KUY24" s="218"/>
      <c r="KUZ24" s="218"/>
      <c r="KVA24" s="218"/>
      <c r="KVB24" s="218"/>
      <c r="KVC24" s="218"/>
      <c r="KVD24" s="218"/>
      <c r="KVE24" s="218"/>
      <c r="KVF24" s="218"/>
      <c r="KVG24" s="218"/>
      <c r="KVH24" s="218"/>
      <c r="KVI24" s="218"/>
      <c r="KVJ24" s="218"/>
      <c r="KVK24" s="218"/>
      <c r="KVL24" s="218"/>
      <c r="KVM24" s="218"/>
      <c r="KVN24" s="218"/>
      <c r="KVO24" s="218"/>
      <c r="KVP24" s="218"/>
      <c r="KVQ24" s="218"/>
      <c r="KVR24" s="218"/>
      <c r="KVS24" s="218"/>
      <c r="KVT24" s="218"/>
      <c r="KVU24" s="218"/>
      <c r="KVV24" s="218"/>
      <c r="KVW24" s="218"/>
      <c r="KVX24" s="218"/>
      <c r="KVY24" s="218"/>
      <c r="KVZ24" s="218"/>
      <c r="KWA24" s="218"/>
      <c r="KWB24" s="218"/>
      <c r="KWC24" s="218"/>
      <c r="KWD24" s="218"/>
      <c r="KWE24" s="218"/>
      <c r="KWF24" s="218"/>
      <c r="KWG24" s="218"/>
      <c r="KWH24" s="218"/>
      <c r="KWI24" s="218"/>
      <c r="KWJ24" s="218"/>
      <c r="KWK24" s="218"/>
      <c r="KWL24" s="218"/>
      <c r="KWM24" s="218"/>
      <c r="KWN24" s="218"/>
      <c r="KWO24" s="218"/>
      <c r="KWP24" s="218"/>
      <c r="KWQ24" s="218"/>
      <c r="KWR24" s="218"/>
      <c r="KWS24" s="218"/>
      <c r="KWT24" s="218"/>
      <c r="KWU24" s="218"/>
      <c r="KWV24" s="218"/>
      <c r="KWW24" s="218"/>
      <c r="KWX24" s="218"/>
      <c r="KWY24" s="218"/>
      <c r="KWZ24" s="218"/>
      <c r="KXA24" s="218"/>
      <c r="KXB24" s="218"/>
      <c r="KXC24" s="218"/>
      <c r="KXD24" s="218"/>
      <c r="KXE24" s="218"/>
      <c r="KXF24" s="218"/>
      <c r="KXG24" s="218"/>
      <c r="KXH24" s="218"/>
      <c r="KXI24" s="218"/>
      <c r="KXJ24" s="218"/>
      <c r="KXK24" s="218"/>
      <c r="KXL24" s="218"/>
      <c r="KXM24" s="218"/>
      <c r="KXN24" s="218"/>
      <c r="KXO24" s="218"/>
      <c r="KXP24" s="218"/>
      <c r="KXQ24" s="218"/>
      <c r="KXR24" s="218"/>
      <c r="KXS24" s="218"/>
      <c r="KXT24" s="218"/>
      <c r="KXU24" s="218"/>
      <c r="KXV24" s="218"/>
      <c r="KXW24" s="218"/>
      <c r="KXX24" s="218"/>
      <c r="KXY24" s="218"/>
      <c r="KXZ24" s="218"/>
      <c r="KYA24" s="218"/>
      <c r="KYB24" s="218"/>
      <c r="KYC24" s="218"/>
      <c r="KYD24" s="218"/>
      <c r="KYE24" s="218"/>
      <c r="KYF24" s="218"/>
      <c r="KYG24" s="218"/>
      <c r="KYH24" s="218"/>
      <c r="KYI24" s="218"/>
      <c r="KYJ24" s="218"/>
      <c r="KYK24" s="218"/>
      <c r="KYL24" s="218"/>
      <c r="KYM24" s="218"/>
      <c r="KYN24" s="218"/>
      <c r="KYO24" s="218"/>
      <c r="KYP24" s="218"/>
      <c r="KYQ24" s="218"/>
      <c r="KYR24" s="218"/>
      <c r="KYS24" s="218"/>
      <c r="KYT24" s="218"/>
      <c r="KYU24" s="218"/>
      <c r="KYV24" s="218"/>
      <c r="KYW24" s="218"/>
      <c r="KYX24" s="218"/>
      <c r="KYY24" s="218"/>
      <c r="KYZ24" s="218"/>
      <c r="KZA24" s="218"/>
      <c r="KZB24" s="218"/>
      <c r="KZC24" s="218"/>
      <c r="KZD24" s="218"/>
      <c r="KZE24" s="218"/>
      <c r="KZF24" s="218"/>
      <c r="KZG24" s="218"/>
      <c r="KZH24" s="218"/>
      <c r="KZI24" s="218"/>
      <c r="KZJ24" s="218"/>
      <c r="KZK24" s="218"/>
      <c r="KZL24" s="218"/>
      <c r="KZM24" s="218"/>
      <c r="KZN24" s="218"/>
      <c r="KZO24" s="218"/>
      <c r="KZP24" s="218"/>
      <c r="KZQ24" s="218"/>
      <c r="KZR24" s="218"/>
      <c r="KZS24" s="218"/>
      <c r="KZT24" s="218"/>
      <c r="KZU24" s="218"/>
      <c r="KZV24" s="218"/>
      <c r="KZW24" s="218"/>
      <c r="KZX24" s="218"/>
      <c r="KZY24" s="218"/>
      <c r="KZZ24" s="218"/>
      <c r="LAA24" s="218"/>
      <c r="LAB24" s="218"/>
      <c r="LAC24" s="218"/>
      <c r="LAD24" s="218"/>
      <c r="LAE24" s="218"/>
      <c r="LAF24" s="218"/>
      <c r="LAG24" s="218"/>
      <c r="LAH24" s="218"/>
      <c r="LAI24" s="218"/>
      <c r="LAJ24" s="218"/>
      <c r="LAK24" s="218"/>
      <c r="LAL24" s="218"/>
      <c r="LAM24" s="218"/>
      <c r="LAN24" s="218"/>
      <c r="LAO24" s="218"/>
      <c r="LAP24" s="218"/>
      <c r="LAQ24" s="218"/>
      <c r="LAR24" s="218"/>
      <c r="LAS24" s="218"/>
      <c r="LAT24" s="218"/>
      <c r="LAU24" s="218"/>
      <c r="LAV24" s="218"/>
      <c r="LAW24" s="218"/>
      <c r="LAX24" s="218"/>
      <c r="LAY24" s="218"/>
      <c r="LAZ24" s="218"/>
      <c r="LBA24" s="218"/>
      <c r="LBB24" s="218"/>
      <c r="LBC24" s="218"/>
      <c r="LBD24" s="218"/>
      <c r="LBE24" s="218"/>
      <c r="LBF24" s="218"/>
      <c r="LBG24" s="218"/>
      <c r="LBH24" s="218"/>
      <c r="LBI24" s="218"/>
      <c r="LBJ24" s="218"/>
      <c r="LBK24" s="218"/>
      <c r="LBL24" s="218"/>
      <c r="LBM24" s="218"/>
      <c r="LBN24" s="218"/>
      <c r="LBO24" s="218"/>
      <c r="LBP24" s="218"/>
      <c r="LBQ24" s="218"/>
      <c r="LBR24" s="218"/>
      <c r="LBS24" s="218"/>
      <c r="LBT24" s="218"/>
      <c r="LBU24" s="218"/>
      <c r="LBV24" s="218"/>
      <c r="LBW24" s="218"/>
      <c r="LBX24" s="218"/>
      <c r="LBY24" s="218"/>
      <c r="LBZ24" s="218"/>
      <c r="LCA24" s="218"/>
      <c r="LCB24" s="218"/>
      <c r="LCC24" s="218"/>
      <c r="LCD24" s="218"/>
      <c r="LCE24" s="218"/>
      <c r="LCF24" s="218"/>
      <c r="LCG24" s="218"/>
      <c r="LCH24" s="218"/>
      <c r="LCI24" s="218"/>
      <c r="LCJ24" s="218"/>
      <c r="LCK24" s="218"/>
      <c r="LCL24" s="218"/>
      <c r="LCM24" s="218"/>
      <c r="LCN24" s="218"/>
      <c r="LCO24" s="218"/>
      <c r="LCP24" s="218"/>
      <c r="LCQ24" s="218"/>
      <c r="LCR24" s="218"/>
      <c r="LCS24" s="218"/>
      <c r="LCT24" s="218"/>
      <c r="LCU24" s="218"/>
      <c r="LCV24" s="218"/>
      <c r="LCW24" s="218"/>
      <c r="LCX24" s="218"/>
      <c r="LCY24" s="218"/>
      <c r="LCZ24" s="218"/>
      <c r="LDA24" s="218"/>
      <c r="LDB24" s="218"/>
      <c r="LDC24" s="218"/>
      <c r="LDD24" s="218"/>
      <c r="LDE24" s="218"/>
      <c r="LDF24" s="218"/>
      <c r="LDG24" s="218"/>
      <c r="LDH24" s="218"/>
      <c r="LDI24" s="218"/>
      <c r="LDJ24" s="218"/>
      <c r="LDK24" s="218"/>
      <c r="LDL24" s="218"/>
      <c r="LDM24" s="218"/>
      <c r="LDN24" s="218"/>
      <c r="LDO24" s="218"/>
      <c r="LDP24" s="218"/>
      <c r="LDQ24" s="218"/>
      <c r="LDR24" s="218"/>
      <c r="LDS24" s="218"/>
      <c r="LDT24" s="218"/>
      <c r="LDU24" s="218"/>
      <c r="LDV24" s="218"/>
      <c r="LDW24" s="218"/>
      <c r="LDX24" s="218"/>
      <c r="LDY24" s="218"/>
      <c r="LDZ24" s="218"/>
      <c r="LEA24" s="218"/>
      <c r="LEB24" s="218"/>
      <c r="LEC24" s="218"/>
      <c r="LED24" s="218"/>
      <c r="LEE24" s="218"/>
      <c r="LEF24" s="218"/>
      <c r="LEG24" s="218"/>
      <c r="LEH24" s="218"/>
      <c r="LEI24" s="218"/>
      <c r="LEJ24" s="218"/>
      <c r="LEK24" s="218"/>
      <c r="LEL24" s="218"/>
      <c r="LEM24" s="218"/>
      <c r="LEN24" s="218"/>
      <c r="LEO24" s="218"/>
      <c r="LEP24" s="218"/>
      <c r="LEQ24" s="218"/>
      <c r="LER24" s="218"/>
      <c r="LES24" s="218"/>
      <c r="LET24" s="218"/>
      <c r="LEU24" s="218"/>
      <c r="LEV24" s="218"/>
      <c r="LEW24" s="218"/>
      <c r="LEX24" s="218"/>
      <c r="LEY24" s="218"/>
      <c r="LEZ24" s="218"/>
      <c r="LFA24" s="218"/>
      <c r="LFB24" s="218"/>
      <c r="LFC24" s="218"/>
      <c r="LFD24" s="218"/>
      <c r="LFE24" s="218"/>
      <c r="LFF24" s="218"/>
      <c r="LFG24" s="218"/>
      <c r="LFH24" s="218"/>
      <c r="LFI24" s="218"/>
      <c r="LFJ24" s="218"/>
      <c r="LFK24" s="218"/>
      <c r="LFL24" s="218"/>
      <c r="LFM24" s="218"/>
      <c r="LFN24" s="218"/>
      <c r="LFO24" s="218"/>
      <c r="LFP24" s="218"/>
      <c r="LFQ24" s="218"/>
      <c r="LFR24" s="218"/>
      <c r="LFS24" s="218"/>
      <c r="LFT24" s="218"/>
      <c r="LFU24" s="218"/>
      <c r="LFV24" s="218"/>
      <c r="LFW24" s="218"/>
      <c r="LFX24" s="218"/>
      <c r="LFY24" s="218"/>
      <c r="LFZ24" s="218"/>
      <c r="LGA24" s="218"/>
      <c r="LGB24" s="218"/>
      <c r="LGC24" s="218"/>
      <c r="LGD24" s="218"/>
      <c r="LGE24" s="218"/>
      <c r="LGF24" s="218"/>
      <c r="LGG24" s="218"/>
      <c r="LGH24" s="218"/>
      <c r="LGI24" s="218"/>
      <c r="LGJ24" s="218"/>
      <c r="LGK24" s="218"/>
      <c r="LGL24" s="218"/>
      <c r="LGM24" s="218"/>
      <c r="LGN24" s="218"/>
      <c r="LGO24" s="218"/>
      <c r="LGP24" s="218"/>
      <c r="LGQ24" s="218"/>
      <c r="LGR24" s="218"/>
      <c r="LGS24" s="218"/>
      <c r="LGT24" s="218"/>
      <c r="LGU24" s="218"/>
      <c r="LGV24" s="218"/>
      <c r="LGW24" s="218"/>
      <c r="LGX24" s="218"/>
      <c r="LGY24" s="218"/>
      <c r="LGZ24" s="218"/>
      <c r="LHA24" s="218"/>
      <c r="LHB24" s="218"/>
      <c r="LHC24" s="218"/>
      <c r="LHD24" s="218"/>
      <c r="LHE24" s="218"/>
      <c r="LHF24" s="218"/>
      <c r="LHG24" s="218"/>
      <c r="LHH24" s="218"/>
      <c r="LHI24" s="218"/>
      <c r="LHJ24" s="218"/>
      <c r="LHK24" s="218"/>
      <c r="LHL24" s="218"/>
      <c r="LHM24" s="218"/>
      <c r="LHN24" s="218"/>
      <c r="LHO24" s="218"/>
      <c r="LHP24" s="218"/>
      <c r="LHQ24" s="218"/>
      <c r="LHR24" s="218"/>
      <c r="LHS24" s="218"/>
      <c r="LHT24" s="218"/>
      <c r="LHU24" s="218"/>
      <c r="LHV24" s="218"/>
      <c r="LHW24" s="218"/>
      <c r="LHX24" s="218"/>
      <c r="LHY24" s="218"/>
      <c r="LHZ24" s="218"/>
      <c r="LIA24" s="218"/>
      <c r="LIB24" s="218"/>
      <c r="LIC24" s="218"/>
      <c r="LID24" s="218"/>
      <c r="LIE24" s="218"/>
      <c r="LIF24" s="218"/>
      <c r="LIG24" s="218"/>
      <c r="LIH24" s="218"/>
      <c r="LII24" s="218"/>
      <c r="LIJ24" s="218"/>
      <c r="LIK24" s="218"/>
      <c r="LIL24" s="218"/>
      <c r="LIM24" s="218"/>
      <c r="LIN24" s="218"/>
      <c r="LIO24" s="218"/>
      <c r="LIP24" s="218"/>
      <c r="LIQ24" s="218"/>
      <c r="LIR24" s="218"/>
      <c r="LIS24" s="218"/>
      <c r="LIT24" s="218"/>
      <c r="LIU24" s="218"/>
      <c r="LIV24" s="218"/>
      <c r="LIW24" s="218"/>
      <c r="LIX24" s="218"/>
      <c r="LIY24" s="218"/>
      <c r="LIZ24" s="218"/>
      <c r="LJA24" s="218"/>
      <c r="LJB24" s="218"/>
      <c r="LJC24" s="218"/>
      <c r="LJD24" s="218"/>
      <c r="LJE24" s="218"/>
      <c r="LJF24" s="218"/>
      <c r="LJG24" s="218"/>
      <c r="LJH24" s="218"/>
      <c r="LJI24" s="218"/>
      <c r="LJJ24" s="218"/>
      <c r="LJK24" s="218"/>
      <c r="LJL24" s="218"/>
      <c r="LJM24" s="218"/>
      <c r="LJN24" s="218"/>
      <c r="LJO24" s="218"/>
      <c r="LJP24" s="218"/>
      <c r="LJQ24" s="218"/>
      <c r="LJR24" s="218"/>
      <c r="LJS24" s="218"/>
      <c r="LJT24" s="218"/>
      <c r="LJU24" s="218"/>
      <c r="LJV24" s="218"/>
      <c r="LJW24" s="218"/>
      <c r="LJX24" s="218"/>
      <c r="LJY24" s="218"/>
      <c r="LJZ24" s="218"/>
      <c r="LKA24" s="218"/>
      <c r="LKB24" s="218"/>
      <c r="LKC24" s="218"/>
      <c r="LKD24" s="218"/>
      <c r="LKE24" s="218"/>
      <c r="LKF24" s="218"/>
      <c r="LKG24" s="218"/>
      <c r="LKH24" s="218"/>
      <c r="LKI24" s="218"/>
      <c r="LKJ24" s="218"/>
      <c r="LKK24" s="218"/>
      <c r="LKL24" s="218"/>
      <c r="LKM24" s="218"/>
      <c r="LKN24" s="218"/>
      <c r="LKO24" s="218"/>
      <c r="LKP24" s="218"/>
      <c r="LKQ24" s="218"/>
      <c r="LKR24" s="218"/>
      <c r="LKS24" s="218"/>
      <c r="LKT24" s="218"/>
      <c r="LKU24" s="218"/>
      <c r="LKV24" s="218"/>
      <c r="LKW24" s="218"/>
      <c r="LKX24" s="218"/>
      <c r="LKY24" s="218"/>
      <c r="LKZ24" s="218"/>
      <c r="LLA24" s="218"/>
      <c r="LLB24" s="218"/>
      <c r="LLC24" s="218"/>
      <c r="LLD24" s="218"/>
      <c r="LLE24" s="218"/>
      <c r="LLF24" s="218"/>
      <c r="LLG24" s="218"/>
      <c r="LLH24" s="218"/>
      <c r="LLI24" s="218"/>
      <c r="LLJ24" s="218"/>
      <c r="LLK24" s="218"/>
      <c r="LLL24" s="218"/>
      <c r="LLM24" s="218"/>
      <c r="LLN24" s="218"/>
      <c r="LLO24" s="218"/>
      <c r="LLP24" s="218"/>
      <c r="LLQ24" s="218"/>
      <c r="LLR24" s="218"/>
      <c r="LLS24" s="218"/>
      <c r="LLT24" s="218"/>
      <c r="LLU24" s="218"/>
      <c r="LLV24" s="218"/>
      <c r="LLW24" s="218"/>
      <c r="LLX24" s="218"/>
      <c r="LLY24" s="218"/>
      <c r="LLZ24" s="218"/>
      <c r="LMA24" s="218"/>
      <c r="LMB24" s="218"/>
      <c r="LMC24" s="218"/>
      <c r="LMD24" s="218"/>
      <c r="LME24" s="218"/>
      <c r="LMF24" s="218"/>
      <c r="LMG24" s="218"/>
      <c r="LMH24" s="218"/>
      <c r="LMI24" s="218"/>
      <c r="LMJ24" s="218"/>
      <c r="LMK24" s="218"/>
      <c r="LML24" s="218"/>
      <c r="LMM24" s="218"/>
      <c r="LMN24" s="218"/>
      <c r="LMO24" s="218"/>
      <c r="LMP24" s="218"/>
      <c r="LMQ24" s="218"/>
      <c r="LMR24" s="218"/>
      <c r="LMS24" s="218"/>
      <c r="LMT24" s="218"/>
      <c r="LMU24" s="218"/>
      <c r="LMV24" s="218"/>
      <c r="LMW24" s="218"/>
      <c r="LMX24" s="218"/>
      <c r="LMY24" s="218"/>
      <c r="LMZ24" s="218"/>
      <c r="LNA24" s="218"/>
      <c r="LNB24" s="218"/>
      <c r="LNC24" s="218"/>
      <c r="LND24" s="218"/>
      <c r="LNE24" s="218"/>
      <c r="LNF24" s="218"/>
      <c r="LNG24" s="218"/>
      <c r="LNH24" s="218"/>
      <c r="LNI24" s="218"/>
      <c r="LNJ24" s="218"/>
      <c r="LNK24" s="218"/>
      <c r="LNL24" s="218"/>
      <c r="LNM24" s="218"/>
      <c r="LNN24" s="218"/>
      <c r="LNO24" s="218"/>
      <c r="LNP24" s="218"/>
      <c r="LNQ24" s="218"/>
      <c r="LNR24" s="218"/>
      <c r="LNS24" s="218"/>
      <c r="LNT24" s="218"/>
      <c r="LNU24" s="218"/>
      <c r="LNV24" s="218"/>
      <c r="LNW24" s="218"/>
      <c r="LNX24" s="218"/>
      <c r="LNY24" s="218"/>
      <c r="LNZ24" s="218"/>
      <c r="LOA24" s="218"/>
      <c r="LOB24" s="218"/>
      <c r="LOC24" s="218"/>
      <c r="LOD24" s="218"/>
      <c r="LOE24" s="218"/>
      <c r="LOF24" s="218"/>
      <c r="LOG24" s="218"/>
      <c r="LOH24" s="218"/>
      <c r="LOI24" s="218"/>
      <c r="LOJ24" s="218"/>
      <c r="LOK24" s="218"/>
      <c r="LOL24" s="218"/>
      <c r="LOM24" s="218"/>
      <c r="LON24" s="218"/>
      <c r="LOO24" s="218"/>
      <c r="LOP24" s="218"/>
      <c r="LOQ24" s="218"/>
      <c r="LOR24" s="218"/>
      <c r="LOS24" s="218"/>
      <c r="LOT24" s="218"/>
      <c r="LOU24" s="218"/>
      <c r="LOV24" s="218"/>
      <c r="LOW24" s="218"/>
      <c r="LOX24" s="218"/>
      <c r="LOY24" s="218"/>
      <c r="LOZ24" s="218"/>
      <c r="LPA24" s="218"/>
      <c r="LPB24" s="218"/>
      <c r="LPC24" s="218"/>
      <c r="LPD24" s="218"/>
      <c r="LPE24" s="218"/>
      <c r="LPF24" s="218"/>
      <c r="LPG24" s="218"/>
      <c r="LPH24" s="218"/>
      <c r="LPI24" s="218"/>
      <c r="LPJ24" s="218"/>
      <c r="LPK24" s="218"/>
      <c r="LPL24" s="218"/>
      <c r="LPM24" s="218"/>
      <c r="LPN24" s="218"/>
      <c r="LPO24" s="218"/>
      <c r="LPP24" s="218"/>
      <c r="LPQ24" s="218"/>
      <c r="LPR24" s="218"/>
      <c r="LPS24" s="218"/>
      <c r="LPT24" s="218"/>
      <c r="LPU24" s="218"/>
      <c r="LPV24" s="218"/>
      <c r="LPW24" s="218"/>
      <c r="LPX24" s="218"/>
      <c r="LPY24" s="218"/>
      <c r="LPZ24" s="218"/>
      <c r="LQA24" s="218"/>
      <c r="LQB24" s="218"/>
      <c r="LQC24" s="218"/>
      <c r="LQD24" s="218"/>
      <c r="LQE24" s="218"/>
      <c r="LQF24" s="218"/>
      <c r="LQG24" s="218"/>
      <c r="LQH24" s="218"/>
      <c r="LQI24" s="218"/>
      <c r="LQJ24" s="218"/>
      <c r="LQK24" s="218"/>
      <c r="LQL24" s="218"/>
      <c r="LQM24" s="218"/>
      <c r="LQN24" s="218"/>
      <c r="LQO24" s="218"/>
      <c r="LQP24" s="218"/>
      <c r="LQQ24" s="218"/>
      <c r="LQR24" s="218"/>
      <c r="LQS24" s="218"/>
      <c r="LQT24" s="218"/>
      <c r="LQU24" s="218"/>
      <c r="LQV24" s="218"/>
      <c r="LQW24" s="218"/>
      <c r="LQX24" s="218"/>
      <c r="LQY24" s="218"/>
      <c r="LQZ24" s="218"/>
      <c r="LRA24" s="218"/>
      <c r="LRB24" s="218"/>
      <c r="LRC24" s="218"/>
      <c r="LRD24" s="218"/>
      <c r="LRE24" s="218"/>
      <c r="LRF24" s="218"/>
      <c r="LRG24" s="218"/>
      <c r="LRH24" s="218"/>
      <c r="LRI24" s="218"/>
      <c r="LRJ24" s="218"/>
      <c r="LRK24" s="218"/>
      <c r="LRL24" s="218"/>
      <c r="LRM24" s="218"/>
      <c r="LRN24" s="218"/>
      <c r="LRO24" s="218"/>
      <c r="LRP24" s="218"/>
      <c r="LRQ24" s="218"/>
      <c r="LRR24" s="218"/>
      <c r="LRS24" s="218"/>
      <c r="LRT24" s="218"/>
      <c r="LRU24" s="218"/>
      <c r="LRV24" s="218"/>
      <c r="LRW24" s="218"/>
      <c r="LRX24" s="218"/>
      <c r="LRY24" s="218"/>
      <c r="LRZ24" s="218"/>
      <c r="LSA24" s="218"/>
      <c r="LSB24" s="218"/>
      <c r="LSC24" s="218"/>
      <c r="LSD24" s="218"/>
      <c r="LSE24" s="218"/>
      <c r="LSF24" s="218"/>
      <c r="LSG24" s="218"/>
      <c r="LSH24" s="218"/>
      <c r="LSI24" s="218"/>
      <c r="LSJ24" s="218"/>
      <c r="LSK24" s="218"/>
      <c r="LSL24" s="218"/>
      <c r="LSM24" s="218"/>
      <c r="LSN24" s="218"/>
      <c r="LSO24" s="218"/>
      <c r="LSP24" s="218"/>
      <c r="LSQ24" s="218"/>
      <c r="LSR24" s="218"/>
      <c r="LSS24" s="218"/>
      <c r="LST24" s="218"/>
      <c r="LSU24" s="218"/>
      <c r="LSV24" s="218"/>
      <c r="LSW24" s="218"/>
      <c r="LSX24" s="218"/>
      <c r="LSY24" s="218"/>
      <c r="LSZ24" s="218"/>
      <c r="LTA24" s="218"/>
      <c r="LTB24" s="218"/>
      <c r="LTC24" s="218"/>
      <c r="LTD24" s="218"/>
      <c r="LTE24" s="218"/>
      <c r="LTF24" s="218"/>
      <c r="LTG24" s="218"/>
      <c r="LTH24" s="218"/>
      <c r="LTI24" s="218"/>
      <c r="LTJ24" s="218"/>
      <c r="LTK24" s="218"/>
      <c r="LTL24" s="218"/>
      <c r="LTM24" s="218"/>
      <c r="LTN24" s="218"/>
      <c r="LTO24" s="218"/>
      <c r="LTP24" s="218"/>
      <c r="LTQ24" s="218"/>
      <c r="LTR24" s="218"/>
      <c r="LTS24" s="218"/>
      <c r="LTT24" s="218"/>
      <c r="LTU24" s="218"/>
      <c r="LTV24" s="218"/>
      <c r="LTW24" s="218"/>
      <c r="LTX24" s="218"/>
      <c r="LTY24" s="218"/>
      <c r="LTZ24" s="218"/>
      <c r="LUA24" s="218"/>
      <c r="LUB24" s="218"/>
      <c r="LUC24" s="218"/>
      <c r="LUD24" s="218"/>
      <c r="LUE24" s="218"/>
      <c r="LUF24" s="218"/>
      <c r="LUG24" s="218"/>
      <c r="LUH24" s="218"/>
      <c r="LUI24" s="218"/>
      <c r="LUJ24" s="218"/>
      <c r="LUK24" s="218"/>
      <c r="LUL24" s="218"/>
      <c r="LUM24" s="218"/>
      <c r="LUN24" s="218"/>
      <c r="LUO24" s="218"/>
      <c r="LUP24" s="218"/>
      <c r="LUQ24" s="218"/>
      <c r="LUR24" s="218"/>
      <c r="LUS24" s="218"/>
      <c r="LUT24" s="218"/>
      <c r="LUU24" s="218"/>
      <c r="LUV24" s="218"/>
      <c r="LUW24" s="218"/>
      <c r="LUX24" s="218"/>
      <c r="LUY24" s="218"/>
      <c r="LUZ24" s="218"/>
      <c r="LVA24" s="218"/>
      <c r="LVB24" s="218"/>
      <c r="LVC24" s="218"/>
      <c r="LVD24" s="218"/>
      <c r="LVE24" s="218"/>
      <c r="LVF24" s="218"/>
      <c r="LVG24" s="218"/>
      <c r="LVH24" s="218"/>
      <c r="LVI24" s="218"/>
      <c r="LVJ24" s="218"/>
      <c r="LVK24" s="218"/>
      <c r="LVL24" s="218"/>
      <c r="LVM24" s="218"/>
      <c r="LVN24" s="218"/>
      <c r="LVO24" s="218"/>
      <c r="LVP24" s="218"/>
      <c r="LVQ24" s="218"/>
      <c r="LVR24" s="218"/>
      <c r="LVS24" s="218"/>
      <c r="LVT24" s="218"/>
      <c r="LVU24" s="218"/>
      <c r="LVV24" s="218"/>
      <c r="LVW24" s="218"/>
      <c r="LVX24" s="218"/>
      <c r="LVY24" s="218"/>
      <c r="LVZ24" s="218"/>
      <c r="LWA24" s="218"/>
      <c r="LWB24" s="218"/>
      <c r="LWC24" s="218"/>
      <c r="LWD24" s="218"/>
      <c r="LWE24" s="218"/>
      <c r="LWF24" s="218"/>
      <c r="LWG24" s="218"/>
      <c r="LWH24" s="218"/>
      <c r="LWI24" s="218"/>
      <c r="LWJ24" s="218"/>
      <c r="LWK24" s="218"/>
      <c r="LWL24" s="218"/>
      <c r="LWM24" s="218"/>
      <c r="LWN24" s="218"/>
      <c r="LWO24" s="218"/>
      <c r="LWP24" s="218"/>
      <c r="LWQ24" s="218"/>
      <c r="LWR24" s="218"/>
      <c r="LWS24" s="218"/>
      <c r="LWT24" s="218"/>
      <c r="LWU24" s="218"/>
      <c r="LWV24" s="218"/>
      <c r="LWW24" s="218"/>
      <c r="LWX24" s="218"/>
      <c r="LWY24" s="218"/>
      <c r="LWZ24" s="218"/>
      <c r="LXA24" s="218"/>
      <c r="LXB24" s="218"/>
      <c r="LXC24" s="218"/>
      <c r="LXD24" s="218"/>
      <c r="LXE24" s="218"/>
      <c r="LXF24" s="218"/>
      <c r="LXG24" s="218"/>
      <c r="LXH24" s="218"/>
      <c r="LXI24" s="218"/>
      <c r="LXJ24" s="218"/>
      <c r="LXK24" s="218"/>
      <c r="LXL24" s="218"/>
      <c r="LXM24" s="218"/>
      <c r="LXN24" s="218"/>
      <c r="LXO24" s="218"/>
      <c r="LXP24" s="218"/>
      <c r="LXQ24" s="218"/>
      <c r="LXR24" s="218"/>
      <c r="LXS24" s="218"/>
      <c r="LXT24" s="218"/>
      <c r="LXU24" s="218"/>
      <c r="LXV24" s="218"/>
      <c r="LXW24" s="218"/>
      <c r="LXX24" s="218"/>
      <c r="LXY24" s="218"/>
      <c r="LXZ24" s="218"/>
      <c r="LYA24" s="218"/>
      <c r="LYB24" s="218"/>
      <c r="LYC24" s="218"/>
      <c r="LYD24" s="218"/>
      <c r="LYE24" s="218"/>
      <c r="LYF24" s="218"/>
      <c r="LYG24" s="218"/>
      <c r="LYH24" s="218"/>
      <c r="LYI24" s="218"/>
      <c r="LYJ24" s="218"/>
      <c r="LYK24" s="218"/>
      <c r="LYL24" s="218"/>
      <c r="LYM24" s="218"/>
      <c r="LYN24" s="218"/>
      <c r="LYO24" s="218"/>
      <c r="LYP24" s="218"/>
      <c r="LYQ24" s="218"/>
      <c r="LYR24" s="218"/>
      <c r="LYS24" s="218"/>
      <c r="LYT24" s="218"/>
      <c r="LYU24" s="218"/>
      <c r="LYV24" s="218"/>
      <c r="LYW24" s="218"/>
      <c r="LYX24" s="218"/>
      <c r="LYY24" s="218"/>
      <c r="LYZ24" s="218"/>
      <c r="LZA24" s="218"/>
      <c r="LZB24" s="218"/>
      <c r="LZC24" s="218"/>
      <c r="LZD24" s="218"/>
      <c r="LZE24" s="218"/>
      <c r="LZF24" s="218"/>
      <c r="LZG24" s="218"/>
      <c r="LZH24" s="218"/>
      <c r="LZI24" s="218"/>
      <c r="LZJ24" s="218"/>
      <c r="LZK24" s="218"/>
      <c r="LZL24" s="218"/>
      <c r="LZM24" s="218"/>
      <c r="LZN24" s="218"/>
      <c r="LZO24" s="218"/>
      <c r="LZP24" s="218"/>
      <c r="LZQ24" s="218"/>
      <c r="LZR24" s="218"/>
      <c r="LZS24" s="218"/>
      <c r="LZT24" s="218"/>
      <c r="LZU24" s="218"/>
      <c r="LZV24" s="218"/>
      <c r="LZW24" s="218"/>
      <c r="LZX24" s="218"/>
      <c r="LZY24" s="218"/>
      <c r="LZZ24" s="218"/>
      <c r="MAA24" s="218"/>
      <c r="MAB24" s="218"/>
      <c r="MAC24" s="218"/>
      <c r="MAD24" s="218"/>
      <c r="MAE24" s="218"/>
      <c r="MAF24" s="218"/>
      <c r="MAG24" s="218"/>
      <c r="MAH24" s="218"/>
      <c r="MAI24" s="218"/>
      <c r="MAJ24" s="218"/>
      <c r="MAK24" s="218"/>
      <c r="MAL24" s="218"/>
      <c r="MAM24" s="218"/>
      <c r="MAN24" s="218"/>
      <c r="MAO24" s="218"/>
      <c r="MAP24" s="218"/>
      <c r="MAQ24" s="218"/>
      <c r="MAR24" s="218"/>
      <c r="MAS24" s="218"/>
      <c r="MAT24" s="218"/>
      <c r="MAU24" s="218"/>
      <c r="MAV24" s="218"/>
      <c r="MAW24" s="218"/>
      <c r="MAX24" s="218"/>
      <c r="MAY24" s="218"/>
      <c r="MAZ24" s="218"/>
      <c r="MBA24" s="218"/>
      <c r="MBB24" s="218"/>
      <c r="MBC24" s="218"/>
      <c r="MBD24" s="218"/>
      <c r="MBE24" s="218"/>
      <c r="MBF24" s="218"/>
      <c r="MBG24" s="218"/>
      <c r="MBH24" s="218"/>
      <c r="MBI24" s="218"/>
      <c r="MBJ24" s="218"/>
      <c r="MBK24" s="218"/>
      <c r="MBL24" s="218"/>
      <c r="MBM24" s="218"/>
      <c r="MBN24" s="218"/>
      <c r="MBO24" s="218"/>
      <c r="MBP24" s="218"/>
      <c r="MBQ24" s="218"/>
      <c r="MBR24" s="218"/>
      <c r="MBS24" s="218"/>
      <c r="MBT24" s="218"/>
      <c r="MBU24" s="218"/>
      <c r="MBV24" s="218"/>
      <c r="MBW24" s="218"/>
      <c r="MBX24" s="218"/>
      <c r="MBY24" s="218"/>
      <c r="MBZ24" s="218"/>
      <c r="MCA24" s="218"/>
      <c r="MCB24" s="218"/>
      <c r="MCC24" s="218"/>
      <c r="MCD24" s="218"/>
      <c r="MCE24" s="218"/>
      <c r="MCF24" s="218"/>
      <c r="MCG24" s="218"/>
      <c r="MCH24" s="218"/>
      <c r="MCI24" s="218"/>
      <c r="MCJ24" s="218"/>
      <c r="MCK24" s="218"/>
      <c r="MCL24" s="218"/>
      <c r="MCM24" s="218"/>
      <c r="MCN24" s="218"/>
      <c r="MCO24" s="218"/>
      <c r="MCP24" s="218"/>
      <c r="MCQ24" s="218"/>
      <c r="MCR24" s="218"/>
      <c r="MCS24" s="218"/>
      <c r="MCT24" s="218"/>
      <c r="MCU24" s="218"/>
      <c r="MCV24" s="218"/>
      <c r="MCW24" s="218"/>
      <c r="MCX24" s="218"/>
      <c r="MCY24" s="218"/>
      <c r="MCZ24" s="218"/>
      <c r="MDA24" s="218"/>
      <c r="MDB24" s="218"/>
      <c r="MDC24" s="218"/>
      <c r="MDD24" s="218"/>
      <c r="MDE24" s="218"/>
      <c r="MDF24" s="218"/>
      <c r="MDG24" s="218"/>
      <c r="MDH24" s="218"/>
      <c r="MDI24" s="218"/>
      <c r="MDJ24" s="218"/>
      <c r="MDK24" s="218"/>
      <c r="MDL24" s="218"/>
      <c r="MDM24" s="218"/>
      <c r="MDN24" s="218"/>
      <c r="MDO24" s="218"/>
      <c r="MDP24" s="218"/>
      <c r="MDQ24" s="218"/>
      <c r="MDR24" s="218"/>
      <c r="MDS24" s="218"/>
      <c r="MDT24" s="218"/>
      <c r="MDU24" s="218"/>
      <c r="MDV24" s="218"/>
      <c r="MDW24" s="218"/>
      <c r="MDX24" s="218"/>
      <c r="MDY24" s="218"/>
      <c r="MDZ24" s="218"/>
      <c r="MEA24" s="218"/>
      <c r="MEB24" s="218"/>
      <c r="MEC24" s="218"/>
      <c r="MED24" s="218"/>
      <c r="MEE24" s="218"/>
      <c r="MEF24" s="218"/>
      <c r="MEG24" s="218"/>
      <c r="MEH24" s="218"/>
      <c r="MEI24" s="218"/>
      <c r="MEJ24" s="218"/>
      <c r="MEK24" s="218"/>
      <c r="MEL24" s="218"/>
      <c r="MEM24" s="218"/>
      <c r="MEN24" s="218"/>
      <c r="MEO24" s="218"/>
      <c r="MEP24" s="218"/>
      <c r="MEQ24" s="218"/>
      <c r="MER24" s="218"/>
      <c r="MES24" s="218"/>
      <c r="MET24" s="218"/>
      <c r="MEU24" s="218"/>
      <c r="MEV24" s="218"/>
      <c r="MEW24" s="218"/>
      <c r="MEX24" s="218"/>
      <c r="MEY24" s="218"/>
      <c r="MEZ24" s="218"/>
      <c r="MFA24" s="218"/>
      <c r="MFB24" s="218"/>
      <c r="MFC24" s="218"/>
      <c r="MFD24" s="218"/>
      <c r="MFE24" s="218"/>
      <c r="MFF24" s="218"/>
      <c r="MFG24" s="218"/>
      <c r="MFH24" s="218"/>
      <c r="MFI24" s="218"/>
      <c r="MFJ24" s="218"/>
      <c r="MFK24" s="218"/>
      <c r="MFL24" s="218"/>
      <c r="MFM24" s="218"/>
      <c r="MFN24" s="218"/>
      <c r="MFO24" s="218"/>
      <c r="MFP24" s="218"/>
      <c r="MFQ24" s="218"/>
      <c r="MFR24" s="218"/>
      <c r="MFS24" s="218"/>
      <c r="MFT24" s="218"/>
      <c r="MFU24" s="218"/>
      <c r="MFV24" s="218"/>
      <c r="MFW24" s="218"/>
      <c r="MFX24" s="218"/>
      <c r="MFY24" s="218"/>
      <c r="MFZ24" s="218"/>
      <c r="MGA24" s="218"/>
      <c r="MGB24" s="218"/>
      <c r="MGC24" s="218"/>
      <c r="MGD24" s="218"/>
      <c r="MGE24" s="218"/>
      <c r="MGF24" s="218"/>
      <c r="MGG24" s="218"/>
      <c r="MGH24" s="218"/>
      <c r="MGI24" s="218"/>
      <c r="MGJ24" s="218"/>
      <c r="MGK24" s="218"/>
      <c r="MGL24" s="218"/>
      <c r="MGM24" s="218"/>
      <c r="MGN24" s="218"/>
      <c r="MGO24" s="218"/>
      <c r="MGP24" s="218"/>
      <c r="MGQ24" s="218"/>
      <c r="MGR24" s="218"/>
      <c r="MGS24" s="218"/>
      <c r="MGT24" s="218"/>
      <c r="MGU24" s="218"/>
      <c r="MGV24" s="218"/>
      <c r="MGW24" s="218"/>
      <c r="MGX24" s="218"/>
      <c r="MGY24" s="218"/>
      <c r="MGZ24" s="218"/>
      <c r="MHA24" s="218"/>
      <c r="MHB24" s="218"/>
      <c r="MHC24" s="218"/>
      <c r="MHD24" s="218"/>
      <c r="MHE24" s="218"/>
      <c r="MHF24" s="218"/>
      <c r="MHG24" s="218"/>
      <c r="MHH24" s="218"/>
      <c r="MHI24" s="218"/>
      <c r="MHJ24" s="218"/>
      <c r="MHK24" s="218"/>
      <c r="MHL24" s="218"/>
      <c r="MHM24" s="218"/>
      <c r="MHN24" s="218"/>
      <c r="MHO24" s="218"/>
      <c r="MHP24" s="218"/>
      <c r="MHQ24" s="218"/>
      <c r="MHR24" s="218"/>
      <c r="MHS24" s="218"/>
      <c r="MHT24" s="218"/>
      <c r="MHU24" s="218"/>
      <c r="MHV24" s="218"/>
      <c r="MHW24" s="218"/>
      <c r="MHX24" s="218"/>
      <c r="MHY24" s="218"/>
      <c r="MHZ24" s="218"/>
      <c r="MIA24" s="218"/>
      <c r="MIB24" s="218"/>
      <c r="MIC24" s="218"/>
      <c r="MID24" s="218"/>
      <c r="MIE24" s="218"/>
      <c r="MIF24" s="218"/>
      <c r="MIG24" s="218"/>
      <c r="MIH24" s="218"/>
      <c r="MII24" s="218"/>
      <c r="MIJ24" s="218"/>
      <c r="MIK24" s="218"/>
      <c r="MIL24" s="218"/>
      <c r="MIM24" s="218"/>
      <c r="MIN24" s="218"/>
      <c r="MIO24" s="218"/>
      <c r="MIP24" s="218"/>
      <c r="MIQ24" s="218"/>
      <c r="MIR24" s="218"/>
      <c r="MIS24" s="218"/>
      <c r="MIT24" s="218"/>
      <c r="MIU24" s="218"/>
      <c r="MIV24" s="218"/>
      <c r="MIW24" s="218"/>
      <c r="MIX24" s="218"/>
      <c r="MIY24" s="218"/>
      <c r="MIZ24" s="218"/>
      <c r="MJA24" s="218"/>
      <c r="MJB24" s="218"/>
      <c r="MJC24" s="218"/>
      <c r="MJD24" s="218"/>
      <c r="MJE24" s="218"/>
      <c r="MJF24" s="218"/>
      <c r="MJG24" s="218"/>
      <c r="MJH24" s="218"/>
      <c r="MJI24" s="218"/>
      <c r="MJJ24" s="218"/>
      <c r="MJK24" s="218"/>
      <c r="MJL24" s="218"/>
      <c r="MJM24" s="218"/>
      <c r="MJN24" s="218"/>
      <c r="MJO24" s="218"/>
      <c r="MJP24" s="218"/>
      <c r="MJQ24" s="218"/>
      <c r="MJR24" s="218"/>
      <c r="MJS24" s="218"/>
      <c r="MJT24" s="218"/>
      <c r="MJU24" s="218"/>
      <c r="MJV24" s="218"/>
      <c r="MJW24" s="218"/>
      <c r="MJX24" s="218"/>
      <c r="MJY24" s="218"/>
      <c r="MJZ24" s="218"/>
      <c r="MKA24" s="218"/>
      <c r="MKB24" s="218"/>
      <c r="MKC24" s="218"/>
      <c r="MKD24" s="218"/>
      <c r="MKE24" s="218"/>
      <c r="MKF24" s="218"/>
      <c r="MKG24" s="218"/>
      <c r="MKH24" s="218"/>
      <c r="MKI24" s="218"/>
      <c r="MKJ24" s="218"/>
      <c r="MKK24" s="218"/>
      <c r="MKL24" s="218"/>
      <c r="MKM24" s="218"/>
      <c r="MKN24" s="218"/>
      <c r="MKO24" s="218"/>
      <c r="MKP24" s="218"/>
      <c r="MKQ24" s="218"/>
      <c r="MKR24" s="218"/>
      <c r="MKS24" s="218"/>
      <c r="MKT24" s="218"/>
      <c r="MKU24" s="218"/>
      <c r="MKV24" s="218"/>
      <c r="MKW24" s="218"/>
      <c r="MKX24" s="218"/>
      <c r="MKY24" s="218"/>
      <c r="MKZ24" s="218"/>
      <c r="MLA24" s="218"/>
      <c r="MLB24" s="218"/>
      <c r="MLC24" s="218"/>
      <c r="MLD24" s="218"/>
      <c r="MLE24" s="218"/>
      <c r="MLF24" s="218"/>
      <c r="MLG24" s="218"/>
      <c r="MLH24" s="218"/>
      <c r="MLI24" s="218"/>
      <c r="MLJ24" s="218"/>
      <c r="MLK24" s="218"/>
      <c r="MLL24" s="218"/>
      <c r="MLM24" s="218"/>
      <c r="MLN24" s="218"/>
      <c r="MLO24" s="218"/>
      <c r="MLP24" s="218"/>
      <c r="MLQ24" s="218"/>
      <c r="MLR24" s="218"/>
      <c r="MLS24" s="218"/>
      <c r="MLT24" s="218"/>
      <c r="MLU24" s="218"/>
      <c r="MLV24" s="218"/>
      <c r="MLW24" s="218"/>
      <c r="MLX24" s="218"/>
      <c r="MLY24" s="218"/>
      <c r="MLZ24" s="218"/>
      <c r="MMA24" s="218"/>
      <c r="MMB24" s="218"/>
      <c r="MMC24" s="218"/>
      <c r="MMD24" s="218"/>
      <c r="MME24" s="218"/>
      <c r="MMF24" s="218"/>
      <c r="MMG24" s="218"/>
      <c r="MMH24" s="218"/>
      <c r="MMI24" s="218"/>
      <c r="MMJ24" s="218"/>
      <c r="MMK24" s="218"/>
      <c r="MML24" s="218"/>
      <c r="MMM24" s="218"/>
      <c r="MMN24" s="218"/>
      <c r="MMO24" s="218"/>
      <c r="MMP24" s="218"/>
      <c r="MMQ24" s="218"/>
      <c r="MMR24" s="218"/>
      <c r="MMS24" s="218"/>
      <c r="MMT24" s="218"/>
      <c r="MMU24" s="218"/>
      <c r="MMV24" s="218"/>
      <c r="MMW24" s="218"/>
      <c r="MMX24" s="218"/>
      <c r="MMY24" s="218"/>
      <c r="MMZ24" s="218"/>
      <c r="MNA24" s="218"/>
      <c r="MNB24" s="218"/>
      <c r="MNC24" s="218"/>
      <c r="MND24" s="218"/>
      <c r="MNE24" s="218"/>
      <c r="MNF24" s="218"/>
      <c r="MNG24" s="218"/>
      <c r="MNH24" s="218"/>
      <c r="MNI24" s="218"/>
      <c r="MNJ24" s="218"/>
      <c r="MNK24" s="218"/>
      <c r="MNL24" s="218"/>
      <c r="MNM24" s="218"/>
      <c r="MNN24" s="218"/>
      <c r="MNO24" s="218"/>
      <c r="MNP24" s="218"/>
      <c r="MNQ24" s="218"/>
      <c r="MNR24" s="218"/>
      <c r="MNS24" s="218"/>
      <c r="MNT24" s="218"/>
      <c r="MNU24" s="218"/>
      <c r="MNV24" s="218"/>
      <c r="MNW24" s="218"/>
      <c r="MNX24" s="218"/>
      <c r="MNY24" s="218"/>
      <c r="MNZ24" s="218"/>
      <c r="MOA24" s="218"/>
      <c r="MOB24" s="218"/>
      <c r="MOC24" s="218"/>
      <c r="MOD24" s="218"/>
      <c r="MOE24" s="218"/>
      <c r="MOF24" s="218"/>
      <c r="MOG24" s="218"/>
      <c r="MOH24" s="218"/>
      <c r="MOI24" s="218"/>
      <c r="MOJ24" s="218"/>
      <c r="MOK24" s="218"/>
      <c r="MOL24" s="218"/>
      <c r="MOM24" s="218"/>
      <c r="MON24" s="218"/>
      <c r="MOO24" s="218"/>
      <c r="MOP24" s="218"/>
      <c r="MOQ24" s="218"/>
      <c r="MOR24" s="218"/>
      <c r="MOS24" s="218"/>
      <c r="MOT24" s="218"/>
      <c r="MOU24" s="218"/>
      <c r="MOV24" s="218"/>
      <c r="MOW24" s="218"/>
      <c r="MOX24" s="218"/>
      <c r="MOY24" s="218"/>
      <c r="MOZ24" s="218"/>
      <c r="MPA24" s="218"/>
      <c r="MPB24" s="218"/>
      <c r="MPC24" s="218"/>
      <c r="MPD24" s="218"/>
      <c r="MPE24" s="218"/>
      <c r="MPF24" s="218"/>
      <c r="MPG24" s="218"/>
      <c r="MPH24" s="218"/>
      <c r="MPI24" s="218"/>
      <c r="MPJ24" s="218"/>
      <c r="MPK24" s="218"/>
      <c r="MPL24" s="218"/>
      <c r="MPM24" s="218"/>
      <c r="MPN24" s="218"/>
      <c r="MPO24" s="218"/>
      <c r="MPP24" s="218"/>
      <c r="MPQ24" s="218"/>
      <c r="MPR24" s="218"/>
      <c r="MPS24" s="218"/>
      <c r="MPT24" s="218"/>
      <c r="MPU24" s="218"/>
      <c r="MPV24" s="218"/>
      <c r="MPW24" s="218"/>
      <c r="MPX24" s="218"/>
      <c r="MPY24" s="218"/>
      <c r="MPZ24" s="218"/>
      <c r="MQA24" s="218"/>
      <c r="MQB24" s="218"/>
      <c r="MQC24" s="218"/>
      <c r="MQD24" s="218"/>
      <c r="MQE24" s="218"/>
      <c r="MQF24" s="218"/>
      <c r="MQG24" s="218"/>
      <c r="MQH24" s="218"/>
      <c r="MQI24" s="218"/>
      <c r="MQJ24" s="218"/>
      <c r="MQK24" s="218"/>
      <c r="MQL24" s="218"/>
      <c r="MQM24" s="218"/>
      <c r="MQN24" s="218"/>
      <c r="MQO24" s="218"/>
      <c r="MQP24" s="218"/>
      <c r="MQQ24" s="218"/>
      <c r="MQR24" s="218"/>
      <c r="MQS24" s="218"/>
      <c r="MQT24" s="218"/>
      <c r="MQU24" s="218"/>
      <c r="MQV24" s="218"/>
      <c r="MQW24" s="218"/>
      <c r="MQX24" s="218"/>
      <c r="MQY24" s="218"/>
      <c r="MQZ24" s="218"/>
      <c r="MRA24" s="218"/>
      <c r="MRB24" s="218"/>
      <c r="MRC24" s="218"/>
      <c r="MRD24" s="218"/>
      <c r="MRE24" s="218"/>
      <c r="MRF24" s="218"/>
      <c r="MRG24" s="218"/>
      <c r="MRH24" s="218"/>
      <c r="MRI24" s="218"/>
      <c r="MRJ24" s="218"/>
      <c r="MRK24" s="218"/>
      <c r="MRL24" s="218"/>
      <c r="MRM24" s="218"/>
      <c r="MRN24" s="218"/>
      <c r="MRO24" s="218"/>
      <c r="MRP24" s="218"/>
      <c r="MRQ24" s="218"/>
      <c r="MRR24" s="218"/>
      <c r="MRS24" s="218"/>
      <c r="MRT24" s="218"/>
      <c r="MRU24" s="218"/>
      <c r="MRV24" s="218"/>
      <c r="MRW24" s="218"/>
      <c r="MRX24" s="218"/>
      <c r="MRY24" s="218"/>
      <c r="MRZ24" s="218"/>
      <c r="MSA24" s="218"/>
      <c r="MSB24" s="218"/>
      <c r="MSC24" s="218"/>
      <c r="MSD24" s="218"/>
      <c r="MSE24" s="218"/>
      <c r="MSF24" s="218"/>
      <c r="MSG24" s="218"/>
      <c r="MSH24" s="218"/>
      <c r="MSI24" s="218"/>
      <c r="MSJ24" s="218"/>
      <c r="MSK24" s="218"/>
      <c r="MSL24" s="218"/>
      <c r="MSM24" s="218"/>
      <c r="MSN24" s="218"/>
      <c r="MSO24" s="218"/>
      <c r="MSP24" s="218"/>
      <c r="MSQ24" s="218"/>
      <c r="MSR24" s="218"/>
      <c r="MSS24" s="218"/>
      <c r="MST24" s="218"/>
      <c r="MSU24" s="218"/>
      <c r="MSV24" s="218"/>
      <c r="MSW24" s="218"/>
      <c r="MSX24" s="218"/>
      <c r="MSY24" s="218"/>
      <c r="MSZ24" s="218"/>
      <c r="MTA24" s="218"/>
      <c r="MTB24" s="218"/>
      <c r="MTC24" s="218"/>
      <c r="MTD24" s="218"/>
      <c r="MTE24" s="218"/>
      <c r="MTF24" s="218"/>
      <c r="MTG24" s="218"/>
      <c r="MTH24" s="218"/>
      <c r="MTI24" s="218"/>
      <c r="MTJ24" s="218"/>
      <c r="MTK24" s="218"/>
      <c r="MTL24" s="218"/>
      <c r="MTM24" s="218"/>
      <c r="MTN24" s="218"/>
      <c r="MTO24" s="218"/>
      <c r="MTP24" s="218"/>
      <c r="MTQ24" s="218"/>
      <c r="MTR24" s="218"/>
      <c r="MTS24" s="218"/>
      <c r="MTT24" s="218"/>
      <c r="MTU24" s="218"/>
      <c r="MTV24" s="218"/>
      <c r="MTW24" s="218"/>
      <c r="MTX24" s="218"/>
      <c r="MTY24" s="218"/>
      <c r="MTZ24" s="218"/>
      <c r="MUA24" s="218"/>
      <c r="MUB24" s="218"/>
      <c r="MUC24" s="218"/>
      <c r="MUD24" s="218"/>
      <c r="MUE24" s="218"/>
      <c r="MUF24" s="218"/>
      <c r="MUG24" s="218"/>
      <c r="MUH24" s="218"/>
      <c r="MUI24" s="218"/>
      <c r="MUJ24" s="218"/>
      <c r="MUK24" s="218"/>
      <c r="MUL24" s="218"/>
      <c r="MUM24" s="218"/>
      <c r="MUN24" s="218"/>
      <c r="MUO24" s="218"/>
      <c r="MUP24" s="218"/>
      <c r="MUQ24" s="218"/>
      <c r="MUR24" s="218"/>
      <c r="MUS24" s="218"/>
      <c r="MUT24" s="218"/>
      <c r="MUU24" s="218"/>
      <c r="MUV24" s="218"/>
      <c r="MUW24" s="218"/>
      <c r="MUX24" s="218"/>
      <c r="MUY24" s="218"/>
      <c r="MUZ24" s="218"/>
      <c r="MVA24" s="218"/>
      <c r="MVB24" s="218"/>
      <c r="MVC24" s="218"/>
      <c r="MVD24" s="218"/>
      <c r="MVE24" s="218"/>
      <c r="MVF24" s="218"/>
      <c r="MVG24" s="218"/>
      <c r="MVH24" s="218"/>
      <c r="MVI24" s="218"/>
      <c r="MVJ24" s="218"/>
      <c r="MVK24" s="218"/>
      <c r="MVL24" s="218"/>
      <c r="MVM24" s="218"/>
      <c r="MVN24" s="218"/>
      <c r="MVO24" s="218"/>
      <c r="MVP24" s="218"/>
      <c r="MVQ24" s="218"/>
      <c r="MVR24" s="218"/>
      <c r="MVS24" s="218"/>
      <c r="MVT24" s="218"/>
      <c r="MVU24" s="218"/>
      <c r="MVV24" s="218"/>
      <c r="MVW24" s="218"/>
      <c r="MVX24" s="218"/>
      <c r="MVY24" s="218"/>
      <c r="MVZ24" s="218"/>
      <c r="MWA24" s="218"/>
      <c r="MWB24" s="218"/>
      <c r="MWC24" s="218"/>
      <c r="MWD24" s="218"/>
      <c r="MWE24" s="218"/>
      <c r="MWF24" s="218"/>
      <c r="MWG24" s="218"/>
      <c r="MWH24" s="218"/>
      <c r="MWI24" s="218"/>
      <c r="MWJ24" s="218"/>
      <c r="MWK24" s="218"/>
      <c r="MWL24" s="218"/>
      <c r="MWM24" s="218"/>
      <c r="MWN24" s="218"/>
      <c r="MWO24" s="218"/>
      <c r="MWP24" s="218"/>
      <c r="MWQ24" s="218"/>
      <c r="MWR24" s="218"/>
      <c r="MWS24" s="218"/>
      <c r="MWT24" s="218"/>
      <c r="MWU24" s="218"/>
      <c r="MWV24" s="218"/>
      <c r="MWW24" s="218"/>
      <c r="MWX24" s="218"/>
      <c r="MWY24" s="218"/>
      <c r="MWZ24" s="218"/>
      <c r="MXA24" s="218"/>
      <c r="MXB24" s="218"/>
      <c r="MXC24" s="218"/>
      <c r="MXD24" s="218"/>
      <c r="MXE24" s="218"/>
      <c r="MXF24" s="218"/>
      <c r="MXG24" s="218"/>
      <c r="MXH24" s="218"/>
      <c r="MXI24" s="218"/>
      <c r="MXJ24" s="218"/>
      <c r="MXK24" s="218"/>
      <c r="MXL24" s="218"/>
      <c r="MXM24" s="218"/>
      <c r="MXN24" s="218"/>
      <c r="MXO24" s="218"/>
      <c r="MXP24" s="218"/>
      <c r="MXQ24" s="218"/>
      <c r="MXR24" s="218"/>
      <c r="MXS24" s="218"/>
      <c r="MXT24" s="218"/>
      <c r="MXU24" s="218"/>
      <c r="MXV24" s="218"/>
      <c r="MXW24" s="218"/>
      <c r="MXX24" s="218"/>
      <c r="MXY24" s="218"/>
      <c r="MXZ24" s="218"/>
      <c r="MYA24" s="218"/>
      <c r="MYB24" s="218"/>
      <c r="MYC24" s="218"/>
      <c r="MYD24" s="218"/>
      <c r="MYE24" s="218"/>
      <c r="MYF24" s="218"/>
      <c r="MYG24" s="218"/>
      <c r="MYH24" s="218"/>
      <c r="MYI24" s="218"/>
      <c r="MYJ24" s="218"/>
      <c r="MYK24" s="218"/>
      <c r="MYL24" s="218"/>
      <c r="MYM24" s="218"/>
      <c r="MYN24" s="218"/>
      <c r="MYO24" s="218"/>
      <c r="MYP24" s="218"/>
      <c r="MYQ24" s="218"/>
      <c r="MYR24" s="218"/>
      <c r="MYS24" s="218"/>
      <c r="MYT24" s="218"/>
      <c r="MYU24" s="218"/>
      <c r="MYV24" s="218"/>
      <c r="MYW24" s="218"/>
      <c r="MYX24" s="218"/>
      <c r="MYY24" s="218"/>
      <c r="MYZ24" s="218"/>
      <c r="MZA24" s="218"/>
      <c r="MZB24" s="218"/>
      <c r="MZC24" s="218"/>
      <c r="MZD24" s="218"/>
      <c r="MZE24" s="218"/>
      <c r="MZF24" s="218"/>
      <c r="MZG24" s="218"/>
      <c r="MZH24" s="218"/>
      <c r="MZI24" s="218"/>
      <c r="MZJ24" s="218"/>
      <c r="MZK24" s="218"/>
      <c r="MZL24" s="218"/>
      <c r="MZM24" s="218"/>
      <c r="MZN24" s="218"/>
      <c r="MZO24" s="218"/>
      <c r="MZP24" s="218"/>
      <c r="MZQ24" s="218"/>
      <c r="MZR24" s="218"/>
      <c r="MZS24" s="218"/>
      <c r="MZT24" s="218"/>
      <c r="MZU24" s="218"/>
      <c r="MZV24" s="218"/>
      <c r="MZW24" s="218"/>
      <c r="MZX24" s="218"/>
      <c r="MZY24" s="218"/>
      <c r="MZZ24" s="218"/>
      <c r="NAA24" s="218"/>
      <c r="NAB24" s="218"/>
      <c r="NAC24" s="218"/>
      <c r="NAD24" s="218"/>
      <c r="NAE24" s="218"/>
      <c r="NAF24" s="218"/>
      <c r="NAG24" s="218"/>
      <c r="NAH24" s="218"/>
      <c r="NAI24" s="218"/>
      <c r="NAJ24" s="218"/>
      <c r="NAK24" s="218"/>
      <c r="NAL24" s="218"/>
      <c r="NAM24" s="218"/>
      <c r="NAN24" s="218"/>
      <c r="NAO24" s="218"/>
      <c r="NAP24" s="218"/>
      <c r="NAQ24" s="218"/>
      <c r="NAR24" s="218"/>
      <c r="NAS24" s="218"/>
      <c r="NAT24" s="218"/>
      <c r="NAU24" s="218"/>
      <c r="NAV24" s="218"/>
      <c r="NAW24" s="218"/>
      <c r="NAX24" s="218"/>
      <c r="NAY24" s="218"/>
      <c r="NAZ24" s="218"/>
      <c r="NBA24" s="218"/>
      <c r="NBB24" s="218"/>
      <c r="NBC24" s="218"/>
      <c r="NBD24" s="218"/>
      <c r="NBE24" s="218"/>
      <c r="NBF24" s="218"/>
      <c r="NBG24" s="218"/>
      <c r="NBH24" s="218"/>
      <c r="NBI24" s="218"/>
      <c r="NBJ24" s="218"/>
      <c r="NBK24" s="218"/>
      <c r="NBL24" s="218"/>
      <c r="NBM24" s="218"/>
      <c r="NBN24" s="218"/>
      <c r="NBO24" s="218"/>
      <c r="NBP24" s="218"/>
      <c r="NBQ24" s="218"/>
      <c r="NBR24" s="218"/>
      <c r="NBS24" s="218"/>
      <c r="NBT24" s="218"/>
      <c r="NBU24" s="218"/>
      <c r="NBV24" s="218"/>
      <c r="NBW24" s="218"/>
      <c r="NBX24" s="218"/>
      <c r="NBY24" s="218"/>
      <c r="NBZ24" s="218"/>
      <c r="NCA24" s="218"/>
      <c r="NCB24" s="218"/>
      <c r="NCC24" s="218"/>
      <c r="NCD24" s="218"/>
      <c r="NCE24" s="218"/>
      <c r="NCF24" s="218"/>
      <c r="NCG24" s="218"/>
      <c r="NCH24" s="218"/>
      <c r="NCI24" s="218"/>
      <c r="NCJ24" s="218"/>
      <c r="NCK24" s="218"/>
      <c r="NCL24" s="218"/>
      <c r="NCM24" s="218"/>
      <c r="NCN24" s="218"/>
      <c r="NCO24" s="218"/>
      <c r="NCP24" s="218"/>
      <c r="NCQ24" s="218"/>
      <c r="NCR24" s="218"/>
      <c r="NCS24" s="218"/>
      <c r="NCT24" s="218"/>
      <c r="NCU24" s="218"/>
      <c r="NCV24" s="218"/>
      <c r="NCW24" s="218"/>
      <c r="NCX24" s="218"/>
      <c r="NCY24" s="218"/>
      <c r="NCZ24" s="218"/>
      <c r="NDA24" s="218"/>
      <c r="NDB24" s="218"/>
      <c r="NDC24" s="218"/>
      <c r="NDD24" s="218"/>
      <c r="NDE24" s="218"/>
      <c r="NDF24" s="218"/>
      <c r="NDG24" s="218"/>
      <c r="NDH24" s="218"/>
      <c r="NDI24" s="218"/>
      <c r="NDJ24" s="218"/>
      <c r="NDK24" s="218"/>
      <c r="NDL24" s="218"/>
      <c r="NDM24" s="218"/>
      <c r="NDN24" s="218"/>
      <c r="NDO24" s="218"/>
      <c r="NDP24" s="218"/>
      <c r="NDQ24" s="218"/>
      <c r="NDR24" s="218"/>
      <c r="NDS24" s="218"/>
      <c r="NDT24" s="218"/>
      <c r="NDU24" s="218"/>
      <c r="NDV24" s="218"/>
      <c r="NDW24" s="218"/>
      <c r="NDX24" s="218"/>
      <c r="NDY24" s="218"/>
      <c r="NDZ24" s="218"/>
      <c r="NEA24" s="218"/>
      <c r="NEB24" s="218"/>
      <c r="NEC24" s="218"/>
      <c r="NED24" s="218"/>
      <c r="NEE24" s="218"/>
      <c r="NEF24" s="218"/>
      <c r="NEG24" s="218"/>
      <c r="NEH24" s="218"/>
      <c r="NEI24" s="218"/>
      <c r="NEJ24" s="218"/>
      <c r="NEK24" s="218"/>
      <c r="NEL24" s="218"/>
      <c r="NEM24" s="218"/>
      <c r="NEN24" s="218"/>
      <c r="NEO24" s="218"/>
      <c r="NEP24" s="218"/>
      <c r="NEQ24" s="218"/>
      <c r="NER24" s="218"/>
      <c r="NES24" s="218"/>
      <c r="NET24" s="218"/>
      <c r="NEU24" s="218"/>
      <c r="NEV24" s="218"/>
      <c r="NEW24" s="218"/>
      <c r="NEX24" s="218"/>
      <c r="NEY24" s="218"/>
      <c r="NEZ24" s="218"/>
      <c r="NFA24" s="218"/>
      <c r="NFB24" s="218"/>
      <c r="NFC24" s="218"/>
      <c r="NFD24" s="218"/>
      <c r="NFE24" s="218"/>
      <c r="NFF24" s="218"/>
      <c r="NFG24" s="218"/>
      <c r="NFH24" s="218"/>
      <c r="NFI24" s="218"/>
      <c r="NFJ24" s="218"/>
      <c r="NFK24" s="218"/>
      <c r="NFL24" s="218"/>
      <c r="NFM24" s="218"/>
      <c r="NFN24" s="218"/>
      <c r="NFO24" s="218"/>
      <c r="NFP24" s="218"/>
      <c r="NFQ24" s="218"/>
      <c r="NFR24" s="218"/>
      <c r="NFS24" s="218"/>
      <c r="NFT24" s="218"/>
      <c r="NFU24" s="218"/>
      <c r="NFV24" s="218"/>
      <c r="NFW24" s="218"/>
      <c r="NFX24" s="218"/>
      <c r="NFY24" s="218"/>
      <c r="NFZ24" s="218"/>
      <c r="NGA24" s="218"/>
      <c r="NGB24" s="218"/>
      <c r="NGC24" s="218"/>
      <c r="NGD24" s="218"/>
      <c r="NGE24" s="218"/>
      <c r="NGF24" s="218"/>
      <c r="NGG24" s="218"/>
      <c r="NGH24" s="218"/>
      <c r="NGI24" s="218"/>
      <c r="NGJ24" s="218"/>
      <c r="NGK24" s="218"/>
      <c r="NGL24" s="218"/>
      <c r="NGM24" s="218"/>
      <c r="NGN24" s="218"/>
      <c r="NGO24" s="218"/>
      <c r="NGP24" s="218"/>
      <c r="NGQ24" s="218"/>
      <c r="NGR24" s="218"/>
      <c r="NGS24" s="218"/>
      <c r="NGT24" s="218"/>
      <c r="NGU24" s="218"/>
      <c r="NGV24" s="218"/>
      <c r="NGW24" s="218"/>
      <c r="NGX24" s="218"/>
      <c r="NGY24" s="218"/>
      <c r="NGZ24" s="218"/>
      <c r="NHA24" s="218"/>
      <c r="NHB24" s="218"/>
      <c r="NHC24" s="218"/>
      <c r="NHD24" s="218"/>
      <c r="NHE24" s="218"/>
      <c r="NHF24" s="218"/>
      <c r="NHG24" s="218"/>
      <c r="NHH24" s="218"/>
      <c r="NHI24" s="218"/>
      <c r="NHJ24" s="218"/>
      <c r="NHK24" s="218"/>
      <c r="NHL24" s="218"/>
      <c r="NHM24" s="218"/>
      <c r="NHN24" s="218"/>
      <c r="NHO24" s="218"/>
      <c r="NHP24" s="218"/>
      <c r="NHQ24" s="218"/>
      <c r="NHR24" s="218"/>
      <c r="NHS24" s="218"/>
      <c r="NHT24" s="218"/>
      <c r="NHU24" s="218"/>
      <c r="NHV24" s="218"/>
      <c r="NHW24" s="218"/>
      <c r="NHX24" s="218"/>
      <c r="NHY24" s="218"/>
      <c r="NHZ24" s="218"/>
      <c r="NIA24" s="218"/>
      <c r="NIB24" s="218"/>
      <c r="NIC24" s="218"/>
      <c r="NID24" s="218"/>
      <c r="NIE24" s="218"/>
      <c r="NIF24" s="218"/>
      <c r="NIG24" s="218"/>
      <c r="NIH24" s="218"/>
      <c r="NII24" s="218"/>
      <c r="NIJ24" s="218"/>
      <c r="NIK24" s="218"/>
      <c r="NIL24" s="218"/>
      <c r="NIM24" s="218"/>
      <c r="NIN24" s="218"/>
      <c r="NIO24" s="218"/>
      <c r="NIP24" s="218"/>
      <c r="NIQ24" s="218"/>
      <c r="NIR24" s="218"/>
      <c r="NIS24" s="218"/>
      <c r="NIT24" s="218"/>
      <c r="NIU24" s="218"/>
      <c r="NIV24" s="218"/>
      <c r="NIW24" s="218"/>
      <c r="NIX24" s="218"/>
      <c r="NIY24" s="218"/>
      <c r="NIZ24" s="218"/>
      <c r="NJA24" s="218"/>
      <c r="NJB24" s="218"/>
      <c r="NJC24" s="218"/>
      <c r="NJD24" s="218"/>
      <c r="NJE24" s="218"/>
      <c r="NJF24" s="218"/>
      <c r="NJG24" s="218"/>
      <c r="NJH24" s="218"/>
      <c r="NJI24" s="218"/>
      <c r="NJJ24" s="218"/>
      <c r="NJK24" s="218"/>
      <c r="NJL24" s="218"/>
      <c r="NJM24" s="218"/>
      <c r="NJN24" s="218"/>
      <c r="NJO24" s="218"/>
      <c r="NJP24" s="218"/>
      <c r="NJQ24" s="218"/>
      <c r="NJR24" s="218"/>
      <c r="NJS24" s="218"/>
      <c r="NJT24" s="218"/>
      <c r="NJU24" s="218"/>
      <c r="NJV24" s="218"/>
      <c r="NJW24" s="218"/>
      <c r="NJX24" s="218"/>
      <c r="NJY24" s="218"/>
      <c r="NJZ24" s="218"/>
      <c r="NKA24" s="218"/>
      <c r="NKB24" s="218"/>
      <c r="NKC24" s="218"/>
      <c r="NKD24" s="218"/>
      <c r="NKE24" s="218"/>
      <c r="NKF24" s="218"/>
      <c r="NKG24" s="218"/>
      <c r="NKH24" s="218"/>
      <c r="NKI24" s="218"/>
      <c r="NKJ24" s="218"/>
      <c r="NKK24" s="218"/>
      <c r="NKL24" s="218"/>
      <c r="NKM24" s="218"/>
      <c r="NKN24" s="218"/>
      <c r="NKO24" s="218"/>
      <c r="NKP24" s="218"/>
      <c r="NKQ24" s="218"/>
      <c r="NKR24" s="218"/>
      <c r="NKS24" s="218"/>
      <c r="NKT24" s="218"/>
      <c r="NKU24" s="218"/>
      <c r="NKV24" s="218"/>
      <c r="NKW24" s="218"/>
      <c r="NKX24" s="218"/>
      <c r="NKY24" s="218"/>
      <c r="NKZ24" s="218"/>
      <c r="NLA24" s="218"/>
      <c r="NLB24" s="218"/>
      <c r="NLC24" s="218"/>
      <c r="NLD24" s="218"/>
      <c r="NLE24" s="218"/>
      <c r="NLF24" s="218"/>
      <c r="NLG24" s="218"/>
      <c r="NLH24" s="218"/>
      <c r="NLI24" s="218"/>
      <c r="NLJ24" s="218"/>
      <c r="NLK24" s="218"/>
      <c r="NLL24" s="218"/>
      <c r="NLM24" s="218"/>
      <c r="NLN24" s="218"/>
      <c r="NLO24" s="218"/>
      <c r="NLP24" s="218"/>
      <c r="NLQ24" s="218"/>
      <c r="NLR24" s="218"/>
      <c r="NLS24" s="218"/>
      <c r="NLT24" s="218"/>
      <c r="NLU24" s="218"/>
      <c r="NLV24" s="218"/>
      <c r="NLW24" s="218"/>
      <c r="NLX24" s="218"/>
      <c r="NLY24" s="218"/>
      <c r="NLZ24" s="218"/>
      <c r="NMA24" s="218"/>
      <c r="NMB24" s="218"/>
      <c r="NMC24" s="218"/>
      <c r="NMD24" s="218"/>
      <c r="NME24" s="218"/>
      <c r="NMF24" s="218"/>
      <c r="NMG24" s="218"/>
      <c r="NMH24" s="218"/>
      <c r="NMI24" s="218"/>
      <c r="NMJ24" s="218"/>
      <c r="NMK24" s="218"/>
      <c r="NML24" s="218"/>
      <c r="NMM24" s="218"/>
      <c r="NMN24" s="218"/>
      <c r="NMO24" s="218"/>
      <c r="NMP24" s="218"/>
      <c r="NMQ24" s="218"/>
      <c r="NMR24" s="218"/>
      <c r="NMS24" s="218"/>
      <c r="NMT24" s="218"/>
      <c r="NMU24" s="218"/>
      <c r="NMV24" s="218"/>
      <c r="NMW24" s="218"/>
      <c r="NMX24" s="218"/>
      <c r="NMY24" s="218"/>
      <c r="NMZ24" s="218"/>
      <c r="NNA24" s="218"/>
      <c r="NNB24" s="218"/>
      <c r="NNC24" s="218"/>
      <c r="NND24" s="218"/>
      <c r="NNE24" s="218"/>
      <c r="NNF24" s="218"/>
      <c r="NNG24" s="218"/>
      <c r="NNH24" s="218"/>
      <c r="NNI24" s="218"/>
      <c r="NNJ24" s="218"/>
      <c r="NNK24" s="218"/>
      <c r="NNL24" s="218"/>
      <c r="NNM24" s="218"/>
      <c r="NNN24" s="218"/>
      <c r="NNO24" s="218"/>
      <c r="NNP24" s="218"/>
      <c r="NNQ24" s="218"/>
      <c r="NNR24" s="218"/>
      <c r="NNS24" s="218"/>
      <c r="NNT24" s="218"/>
      <c r="NNU24" s="218"/>
      <c r="NNV24" s="218"/>
      <c r="NNW24" s="218"/>
      <c r="NNX24" s="218"/>
      <c r="NNY24" s="218"/>
      <c r="NNZ24" s="218"/>
      <c r="NOA24" s="218"/>
      <c r="NOB24" s="218"/>
      <c r="NOC24" s="218"/>
      <c r="NOD24" s="218"/>
      <c r="NOE24" s="218"/>
      <c r="NOF24" s="218"/>
      <c r="NOG24" s="218"/>
      <c r="NOH24" s="218"/>
      <c r="NOI24" s="218"/>
      <c r="NOJ24" s="218"/>
      <c r="NOK24" s="218"/>
      <c r="NOL24" s="218"/>
      <c r="NOM24" s="218"/>
      <c r="NON24" s="218"/>
      <c r="NOO24" s="218"/>
      <c r="NOP24" s="218"/>
      <c r="NOQ24" s="218"/>
      <c r="NOR24" s="218"/>
      <c r="NOS24" s="218"/>
      <c r="NOT24" s="218"/>
      <c r="NOU24" s="218"/>
      <c r="NOV24" s="218"/>
      <c r="NOW24" s="218"/>
      <c r="NOX24" s="218"/>
      <c r="NOY24" s="218"/>
      <c r="NOZ24" s="218"/>
      <c r="NPA24" s="218"/>
      <c r="NPB24" s="218"/>
      <c r="NPC24" s="218"/>
      <c r="NPD24" s="218"/>
      <c r="NPE24" s="218"/>
      <c r="NPF24" s="218"/>
      <c r="NPG24" s="218"/>
      <c r="NPH24" s="218"/>
      <c r="NPI24" s="218"/>
      <c r="NPJ24" s="218"/>
      <c r="NPK24" s="218"/>
      <c r="NPL24" s="218"/>
      <c r="NPM24" s="218"/>
      <c r="NPN24" s="218"/>
      <c r="NPO24" s="218"/>
      <c r="NPP24" s="218"/>
      <c r="NPQ24" s="218"/>
      <c r="NPR24" s="218"/>
      <c r="NPS24" s="218"/>
      <c r="NPT24" s="218"/>
      <c r="NPU24" s="218"/>
      <c r="NPV24" s="218"/>
      <c r="NPW24" s="218"/>
      <c r="NPX24" s="218"/>
      <c r="NPY24" s="218"/>
      <c r="NPZ24" s="218"/>
      <c r="NQA24" s="218"/>
      <c r="NQB24" s="218"/>
      <c r="NQC24" s="218"/>
      <c r="NQD24" s="218"/>
      <c r="NQE24" s="218"/>
      <c r="NQF24" s="218"/>
      <c r="NQG24" s="218"/>
      <c r="NQH24" s="218"/>
      <c r="NQI24" s="218"/>
      <c r="NQJ24" s="218"/>
      <c r="NQK24" s="218"/>
      <c r="NQL24" s="218"/>
      <c r="NQM24" s="218"/>
      <c r="NQN24" s="218"/>
      <c r="NQO24" s="218"/>
      <c r="NQP24" s="218"/>
      <c r="NQQ24" s="218"/>
      <c r="NQR24" s="218"/>
      <c r="NQS24" s="218"/>
      <c r="NQT24" s="218"/>
      <c r="NQU24" s="218"/>
      <c r="NQV24" s="218"/>
      <c r="NQW24" s="218"/>
      <c r="NQX24" s="218"/>
      <c r="NQY24" s="218"/>
      <c r="NQZ24" s="218"/>
      <c r="NRA24" s="218"/>
      <c r="NRB24" s="218"/>
      <c r="NRC24" s="218"/>
      <c r="NRD24" s="218"/>
      <c r="NRE24" s="218"/>
      <c r="NRF24" s="218"/>
      <c r="NRG24" s="218"/>
      <c r="NRH24" s="218"/>
      <c r="NRI24" s="218"/>
      <c r="NRJ24" s="218"/>
      <c r="NRK24" s="218"/>
      <c r="NRL24" s="218"/>
      <c r="NRM24" s="218"/>
      <c r="NRN24" s="218"/>
      <c r="NRO24" s="218"/>
      <c r="NRP24" s="218"/>
      <c r="NRQ24" s="218"/>
      <c r="NRR24" s="218"/>
      <c r="NRS24" s="218"/>
      <c r="NRT24" s="218"/>
      <c r="NRU24" s="218"/>
      <c r="NRV24" s="218"/>
      <c r="NRW24" s="218"/>
      <c r="NRX24" s="218"/>
      <c r="NRY24" s="218"/>
      <c r="NRZ24" s="218"/>
      <c r="NSA24" s="218"/>
      <c r="NSB24" s="218"/>
      <c r="NSC24" s="218"/>
      <c r="NSD24" s="218"/>
      <c r="NSE24" s="218"/>
      <c r="NSF24" s="218"/>
      <c r="NSG24" s="218"/>
      <c r="NSH24" s="218"/>
      <c r="NSI24" s="218"/>
      <c r="NSJ24" s="218"/>
      <c r="NSK24" s="218"/>
      <c r="NSL24" s="218"/>
      <c r="NSM24" s="218"/>
      <c r="NSN24" s="218"/>
      <c r="NSO24" s="218"/>
      <c r="NSP24" s="218"/>
      <c r="NSQ24" s="218"/>
      <c r="NSR24" s="218"/>
      <c r="NSS24" s="218"/>
      <c r="NST24" s="218"/>
      <c r="NSU24" s="218"/>
      <c r="NSV24" s="218"/>
      <c r="NSW24" s="218"/>
      <c r="NSX24" s="218"/>
      <c r="NSY24" s="218"/>
      <c r="NSZ24" s="218"/>
      <c r="NTA24" s="218"/>
      <c r="NTB24" s="218"/>
      <c r="NTC24" s="218"/>
      <c r="NTD24" s="218"/>
      <c r="NTE24" s="218"/>
      <c r="NTF24" s="218"/>
      <c r="NTG24" s="218"/>
      <c r="NTH24" s="218"/>
      <c r="NTI24" s="218"/>
      <c r="NTJ24" s="218"/>
      <c r="NTK24" s="218"/>
      <c r="NTL24" s="218"/>
      <c r="NTM24" s="218"/>
      <c r="NTN24" s="218"/>
      <c r="NTO24" s="218"/>
      <c r="NTP24" s="218"/>
      <c r="NTQ24" s="218"/>
      <c r="NTR24" s="218"/>
      <c r="NTS24" s="218"/>
      <c r="NTT24" s="218"/>
      <c r="NTU24" s="218"/>
      <c r="NTV24" s="218"/>
      <c r="NTW24" s="218"/>
      <c r="NTX24" s="218"/>
      <c r="NTY24" s="218"/>
      <c r="NTZ24" s="218"/>
      <c r="NUA24" s="218"/>
      <c r="NUB24" s="218"/>
      <c r="NUC24" s="218"/>
      <c r="NUD24" s="218"/>
      <c r="NUE24" s="218"/>
      <c r="NUF24" s="218"/>
      <c r="NUG24" s="218"/>
      <c r="NUH24" s="218"/>
      <c r="NUI24" s="218"/>
      <c r="NUJ24" s="218"/>
      <c r="NUK24" s="218"/>
      <c r="NUL24" s="218"/>
      <c r="NUM24" s="218"/>
      <c r="NUN24" s="218"/>
      <c r="NUO24" s="218"/>
      <c r="NUP24" s="218"/>
      <c r="NUQ24" s="218"/>
      <c r="NUR24" s="218"/>
      <c r="NUS24" s="218"/>
      <c r="NUT24" s="218"/>
      <c r="NUU24" s="218"/>
      <c r="NUV24" s="218"/>
      <c r="NUW24" s="218"/>
      <c r="NUX24" s="218"/>
      <c r="NUY24" s="218"/>
      <c r="NUZ24" s="218"/>
      <c r="NVA24" s="218"/>
      <c r="NVB24" s="218"/>
      <c r="NVC24" s="218"/>
      <c r="NVD24" s="218"/>
      <c r="NVE24" s="218"/>
      <c r="NVF24" s="218"/>
      <c r="NVG24" s="218"/>
      <c r="NVH24" s="218"/>
      <c r="NVI24" s="218"/>
      <c r="NVJ24" s="218"/>
      <c r="NVK24" s="218"/>
      <c r="NVL24" s="218"/>
      <c r="NVM24" s="218"/>
      <c r="NVN24" s="218"/>
      <c r="NVO24" s="218"/>
      <c r="NVP24" s="218"/>
      <c r="NVQ24" s="218"/>
      <c r="NVR24" s="218"/>
      <c r="NVS24" s="218"/>
      <c r="NVT24" s="218"/>
      <c r="NVU24" s="218"/>
      <c r="NVV24" s="218"/>
      <c r="NVW24" s="218"/>
      <c r="NVX24" s="218"/>
      <c r="NVY24" s="218"/>
      <c r="NVZ24" s="218"/>
      <c r="NWA24" s="218"/>
      <c r="NWB24" s="218"/>
      <c r="NWC24" s="218"/>
      <c r="NWD24" s="218"/>
      <c r="NWE24" s="218"/>
      <c r="NWF24" s="218"/>
      <c r="NWG24" s="218"/>
      <c r="NWH24" s="218"/>
      <c r="NWI24" s="218"/>
      <c r="NWJ24" s="218"/>
      <c r="NWK24" s="218"/>
      <c r="NWL24" s="218"/>
      <c r="NWM24" s="218"/>
      <c r="NWN24" s="218"/>
      <c r="NWO24" s="218"/>
      <c r="NWP24" s="218"/>
      <c r="NWQ24" s="218"/>
      <c r="NWR24" s="218"/>
      <c r="NWS24" s="218"/>
      <c r="NWT24" s="218"/>
      <c r="NWU24" s="218"/>
      <c r="NWV24" s="218"/>
      <c r="NWW24" s="218"/>
      <c r="NWX24" s="218"/>
      <c r="NWY24" s="218"/>
      <c r="NWZ24" s="218"/>
      <c r="NXA24" s="218"/>
      <c r="NXB24" s="218"/>
      <c r="NXC24" s="218"/>
      <c r="NXD24" s="218"/>
      <c r="NXE24" s="218"/>
      <c r="NXF24" s="218"/>
      <c r="NXG24" s="218"/>
      <c r="NXH24" s="218"/>
      <c r="NXI24" s="218"/>
      <c r="NXJ24" s="218"/>
      <c r="NXK24" s="218"/>
      <c r="NXL24" s="218"/>
      <c r="NXM24" s="218"/>
      <c r="NXN24" s="218"/>
      <c r="NXO24" s="218"/>
      <c r="NXP24" s="218"/>
      <c r="NXQ24" s="218"/>
      <c r="NXR24" s="218"/>
      <c r="NXS24" s="218"/>
      <c r="NXT24" s="218"/>
      <c r="NXU24" s="218"/>
      <c r="NXV24" s="218"/>
      <c r="NXW24" s="218"/>
      <c r="NXX24" s="218"/>
      <c r="NXY24" s="218"/>
      <c r="NXZ24" s="218"/>
      <c r="NYA24" s="218"/>
      <c r="NYB24" s="218"/>
      <c r="NYC24" s="218"/>
      <c r="NYD24" s="218"/>
      <c r="NYE24" s="218"/>
      <c r="NYF24" s="218"/>
      <c r="NYG24" s="218"/>
      <c r="NYH24" s="218"/>
      <c r="NYI24" s="218"/>
      <c r="NYJ24" s="218"/>
      <c r="NYK24" s="218"/>
      <c r="NYL24" s="218"/>
      <c r="NYM24" s="218"/>
      <c r="NYN24" s="218"/>
      <c r="NYO24" s="218"/>
      <c r="NYP24" s="218"/>
      <c r="NYQ24" s="218"/>
      <c r="NYR24" s="218"/>
      <c r="NYS24" s="218"/>
      <c r="NYT24" s="218"/>
      <c r="NYU24" s="218"/>
      <c r="NYV24" s="218"/>
      <c r="NYW24" s="218"/>
      <c r="NYX24" s="218"/>
      <c r="NYY24" s="218"/>
      <c r="NYZ24" s="218"/>
      <c r="NZA24" s="218"/>
      <c r="NZB24" s="218"/>
      <c r="NZC24" s="218"/>
      <c r="NZD24" s="218"/>
      <c r="NZE24" s="218"/>
      <c r="NZF24" s="218"/>
      <c r="NZG24" s="218"/>
      <c r="NZH24" s="218"/>
      <c r="NZI24" s="218"/>
      <c r="NZJ24" s="218"/>
      <c r="NZK24" s="218"/>
      <c r="NZL24" s="218"/>
      <c r="NZM24" s="218"/>
      <c r="NZN24" s="218"/>
      <c r="NZO24" s="218"/>
      <c r="NZP24" s="218"/>
      <c r="NZQ24" s="218"/>
      <c r="NZR24" s="218"/>
      <c r="NZS24" s="218"/>
      <c r="NZT24" s="218"/>
      <c r="NZU24" s="218"/>
      <c r="NZV24" s="218"/>
      <c r="NZW24" s="218"/>
      <c r="NZX24" s="218"/>
      <c r="NZY24" s="218"/>
      <c r="NZZ24" s="218"/>
      <c r="OAA24" s="218"/>
      <c r="OAB24" s="218"/>
      <c r="OAC24" s="218"/>
      <c r="OAD24" s="218"/>
      <c r="OAE24" s="218"/>
      <c r="OAF24" s="218"/>
      <c r="OAG24" s="218"/>
      <c r="OAH24" s="218"/>
      <c r="OAI24" s="218"/>
      <c r="OAJ24" s="218"/>
      <c r="OAK24" s="218"/>
      <c r="OAL24" s="218"/>
      <c r="OAM24" s="218"/>
      <c r="OAN24" s="218"/>
      <c r="OAO24" s="218"/>
      <c r="OAP24" s="218"/>
      <c r="OAQ24" s="218"/>
      <c r="OAR24" s="218"/>
      <c r="OAS24" s="218"/>
      <c r="OAT24" s="218"/>
      <c r="OAU24" s="218"/>
      <c r="OAV24" s="218"/>
      <c r="OAW24" s="218"/>
      <c r="OAX24" s="218"/>
      <c r="OAY24" s="218"/>
      <c r="OAZ24" s="218"/>
      <c r="OBA24" s="218"/>
      <c r="OBB24" s="218"/>
      <c r="OBC24" s="218"/>
      <c r="OBD24" s="218"/>
      <c r="OBE24" s="218"/>
      <c r="OBF24" s="218"/>
      <c r="OBG24" s="218"/>
      <c r="OBH24" s="218"/>
      <c r="OBI24" s="218"/>
      <c r="OBJ24" s="218"/>
      <c r="OBK24" s="218"/>
      <c r="OBL24" s="218"/>
      <c r="OBM24" s="218"/>
      <c r="OBN24" s="218"/>
      <c r="OBO24" s="218"/>
      <c r="OBP24" s="218"/>
      <c r="OBQ24" s="218"/>
      <c r="OBR24" s="218"/>
      <c r="OBS24" s="218"/>
      <c r="OBT24" s="218"/>
      <c r="OBU24" s="218"/>
      <c r="OBV24" s="218"/>
      <c r="OBW24" s="218"/>
      <c r="OBX24" s="218"/>
      <c r="OBY24" s="218"/>
      <c r="OBZ24" s="218"/>
      <c r="OCA24" s="218"/>
      <c r="OCB24" s="218"/>
      <c r="OCC24" s="218"/>
      <c r="OCD24" s="218"/>
      <c r="OCE24" s="218"/>
      <c r="OCF24" s="218"/>
      <c r="OCG24" s="218"/>
      <c r="OCH24" s="218"/>
      <c r="OCI24" s="218"/>
      <c r="OCJ24" s="218"/>
      <c r="OCK24" s="218"/>
      <c r="OCL24" s="218"/>
      <c r="OCM24" s="218"/>
      <c r="OCN24" s="218"/>
      <c r="OCO24" s="218"/>
      <c r="OCP24" s="218"/>
      <c r="OCQ24" s="218"/>
      <c r="OCR24" s="218"/>
      <c r="OCS24" s="218"/>
      <c r="OCT24" s="218"/>
      <c r="OCU24" s="218"/>
      <c r="OCV24" s="218"/>
      <c r="OCW24" s="218"/>
      <c r="OCX24" s="218"/>
      <c r="OCY24" s="218"/>
      <c r="OCZ24" s="218"/>
      <c r="ODA24" s="218"/>
      <c r="ODB24" s="218"/>
      <c r="ODC24" s="218"/>
      <c r="ODD24" s="218"/>
      <c r="ODE24" s="218"/>
      <c r="ODF24" s="218"/>
      <c r="ODG24" s="218"/>
      <c r="ODH24" s="218"/>
      <c r="ODI24" s="218"/>
      <c r="ODJ24" s="218"/>
      <c r="ODK24" s="218"/>
      <c r="ODL24" s="218"/>
      <c r="ODM24" s="218"/>
      <c r="ODN24" s="218"/>
      <c r="ODO24" s="218"/>
      <c r="ODP24" s="218"/>
      <c r="ODQ24" s="218"/>
      <c r="ODR24" s="218"/>
      <c r="ODS24" s="218"/>
      <c r="ODT24" s="218"/>
      <c r="ODU24" s="218"/>
      <c r="ODV24" s="218"/>
      <c r="ODW24" s="218"/>
      <c r="ODX24" s="218"/>
      <c r="ODY24" s="218"/>
      <c r="ODZ24" s="218"/>
      <c r="OEA24" s="218"/>
      <c r="OEB24" s="218"/>
      <c r="OEC24" s="218"/>
      <c r="OED24" s="218"/>
      <c r="OEE24" s="218"/>
      <c r="OEF24" s="218"/>
      <c r="OEG24" s="218"/>
      <c r="OEH24" s="218"/>
      <c r="OEI24" s="218"/>
      <c r="OEJ24" s="218"/>
      <c r="OEK24" s="218"/>
      <c r="OEL24" s="218"/>
      <c r="OEM24" s="218"/>
      <c r="OEN24" s="218"/>
      <c r="OEO24" s="218"/>
      <c r="OEP24" s="218"/>
      <c r="OEQ24" s="218"/>
      <c r="OER24" s="218"/>
      <c r="OES24" s="218"/>
      <c r="OET24" s="218"/>
      <c r="OEU24" s="218"/>
      <c r="OEV24" s="218"/>
      <c r="OEW24" s="218"/>
      <c r="OEX24" s="218"/>
      <c r="OEY24" s="218"/>
      <c r="OEZ24" s="218"/>
      <c r="OFA24" s="218"/>
      <c r="OFB24" s="218"/>
      <c r="OFC24" s="218"/>
      <c r="OFD24" s="218"/>
      <c r="OFE24" s="218"/>
      <c r="OFF24" s="218"/>
      <c r="OFG24" s="218"/>
      <c r="OFH24" s="218"/>
      <c r="OFI24" s="218"/>
      <c r="OFJ24" s="218"/>
      <c r="OFK24" s="218"/>
      <c r="OFL24" s="218"/>
      <c r="OFM24" s="218"/>
      <c r="OFN24" s="218"/>
      <c r="OFO24" s="218"/>
      <c r="OFP24" s="218"/>
      <c r="OFQ24" s="218"/>
      <c r="OFR24" s="218"/>
      <c r="OFS24" s="218"/>
      <c r="OFT24" s="218"/>
      <c r="OFU24" s="218"/>
      <c r="OFV24" s="218"/>
      <c r="OFW24" s="218"/>
      <c r="OFX24" s="218"/>
      <c r="OFY24" s="218"/>
      <c r="OFZ24" s="218"/>
      <c r="OGA24" s="218"/>
      <c r="OGB24" s="218"/>
      <c r="OGC24" s="218"/>
      <c r="OGD24" s="218"/>
      <c r="OGE24" s="218"/>
      <c r="OGF24" s="218"/>
      <c r="OGG24" s="218"/>
      <c r="OGH24" s="218"/>
      <c r="OGI24" s="218"/>
      <c r="OGJ24" s="218"/>
      <c r="OGK24" s="218"/>
      <c r="OGL24" s="218"/>
      <c r="OGM24" s="218"/>
      <c r="OGN24" s="218"/>
      <c r="OGO24" s="218"/>
      <c r="OGP24" s="218"/>
      <c r="OGQ24" s="218"/>
      <c r="OGR24" s="218"/>
      <c r="OGS24" s="218"/>
      <c r="OGT24" s="218"/>
      <c r="OGU24" s="218"/>
      <c r="OGV24" s="218"/>
      <c r="OGW24" s="218"/>
      <c r="OGX24" s="218"/>
      <c r="OGY24" s="218"/>
      <c r="OGZ24" s="218"/>
      <c r="OHA24" s="218"/>
      <c r="OHB24" s="218"/>
      <c r="OHC24" s="218"/>
      <c r="OHD24" s="218"/>
      <c r="OHE24" s="218"/>
      <c r="OHF24" s="218"/>
      <c r="OHG24" s="218"/>
      <c r="OHH24" s="218"/>
      <c r="OHI24" s="218"/>
      <c r="OHJ24" s="218"/>
      <c r="OHK24" s="218"/>
      <c r="OHL24" s="218"/>
      <c r="OHM24" s="218"/>
      <c r="OHN24" s="218"/>
      <c r="OHO24" s="218"/>
      <c r="OHP24" s="218"/>
      <c r="OHQ24" s="218"/>
      <c r="OHR24" s="218"/>
      <c r="OHS24" s="218"/>
      <c r="OHT24" s="218"/>
      <c r="OHU24" s="218"/>
      <c r="OHV24" s="218"/>
      <c r="OHW24" s="218"/>
      <c r="OHX24" s="218"/>
      <c r="OHY24" s="218"/>
      <c r="OHZ24" s="218"/>
      <c r="OIA24" s="218"/>
      <c r="OIB24" s="218"/>
      <c r="OIC24" s="218"/>
      <c r="OID24" s="218"/>
      <c r="OIE24" s="218"/>
      <c r="OIF24" s="218"/>
      <c r="OIG24" s="218"/>
      <c r="OIH24" s="218"/>
      <c r="OII24" s="218"/>
      <c r="OIJ24" s="218"/>
      <c r="OIK24" s="218"/>
      <c r="OIL24" s="218"/>
      <c r="OIM24" s="218"/>
      <c r="OIN24" s="218"/>
      <c r="OIO24" s="218"/>
      <c r="OIP24" s="218"/>
      <c r="OIQ24" s="218"/>
      <c r="OIR24" s="218"/>
      <c r="OIS24" s="218"/>
      <c r="OIT24" s="218"/>
      <c r="OIU24" s="218"/>
      <c r="OIV24" s="218"/>
      <c r="OIW24" s="218"/>
      <c r="OIX24" s="218"/>
      <c r="OIY24" s="218"/>
      <c r="OIZ24" s="218"/>
      <c r="OJA24" s="218"/>
      <c r="OJB24" s="218"/>
      <c r="OJC24" s="218"/>
      <c r="OJD24" s="218"/>
      <c r="OJE24" s="218"/>
      <c r="OJF24" s="218"/>
      <c r="OJG24" s="218"/>
      <c r="OJH24" s="218"/>
      <c r="OJI24" s="218"/>
      <c r="OJJ24" s="218"/>
      <c r="OJK24" s="218"/>
      <c r="OJL24" s="218"/>
      <c r="OJM24" s="218"/>
      <c r="OJN24" s="218"/>
      <c r="OJO24" s="218"/>
      <c r="OJP24" s="218"/>
      <c r="OJQ24" s="218"/>
      <c r="OJR24" s="218"/>
      <c r="OJS24" s="218"/>
      <c r="OJT24" s="218"/>
      <c r="OJU24" s="218"/>
      <c r="OJV24" s="218"/>
      <c r="OJW24" s="218"/>
      <c r="OJX24" s="218"/>
      <c r="OJY24" s="218"/>
      <c r="OJZ24" s="218"/>
      <c r="OKA24" s="218"/>
      <c r="OKB24" s="218"/>
      <c r="OKC24" s="218"/>
      <c r="OKD24" s="218"/>
      <c r="OKE24" s="218"/>
      <c r="OKF24" s="218"/>
      <c r="OKG24" s="218"/>
      <c r="OKH24" s="218"/>
      <c r="OKI24" s="218"/>
      <c r="OKJ24" s="218"/>
      <c r="OKK24" s="218"/>
      <c r="OKL24" s="218"/>
      <c r="OKM24" s="218"/>
      <c r="OKN24" s="218"/>
      <c r="OKO24" s="218"/>
      <c r="OKP24" s="218"/>
      <c r="OKQ24" s="218"/>
      <c r="OKR24" s="218"/>
      <c r="OKS24" s="218"/>
      <c r="OKT24" s="218"/>
      <c r="OKU24" s="218"/>
      <c r="OKV24" s="218"/>
      <c r="OKW24" s="218"/>
      <c r="OKX24" s="218"/>
      <c r="OKY24" s="218"/>
      <c r="OKZ24" s="218"/>
      <c r="OLA24" s="218"/>
      <c r="OLB24" s="218"/>
      <c r="OLC24" s="218"/>
      <c r="OLD24" s="218"/>
      <c r="OLE24" s="218"/>
      <c r="OLF24" s="218"/>
      <c r="OLG24" s="218"/>
      <c r="OLH24" s="218"/>
      <c r="OLI24" s="218"/>
      <c r="OLJ24" s="218"/>
      <c r="OLK24" s="218"/>
      <c r="OLL24" s="218"/>
      <c r="OLM24" s="218"/>
      <c r="OLN24" s="218"/>
      <c r="OLO24" s="218"/>
      <c r="OLP24" s="218"/>
      <c r="OLQ24" s="218"/>
      <c r="OLR24" s="218"/>
      <c r="OLS24" s="218"/>
      <c r="OLT24" s="218"/>
      <c r="OLU24" s="218"/>
      <c r="OLV24" s="218"/>
      <c r="OLW24" s="218"/>
      <c r="OLX24" s="218"/>
      <c r="OLY24" s="218"/>
      <c r="OLZ24" s="218"/>
      <c r="OMA24" s="218"/>
      <c r="OMB24" s="218"/>
      <c r="OMC24" s="218"/>
      <c r="OMD24" s="218"/>
      <c r="OME24" s="218"/>
      <c r="OMF24" s="218"/>
      <c r="OMG24" s="218"/>
      <c r="OMH24" s="218"/>
      <c r="OMI24" s="218"/>
      <c r="OMJ24" s="218"/>
      <c r="OMK24" s="218"/>
      <c r="OML24" s="218"/>
      <c r="OMM24" s="218"/>
      <c r="OMN24" s="218"/>
      <c r="OMO24" s="218"/>
      <c r="OMP24" s="218"/>
      <c r="OMQ24" s="218"/>
      <c r="OMR24" s="218"/>
      <c r="OMS24" s="218"/>
      <c r="OMT24" s="218"/>
      <c r="OMU24" s="218"/>
      <c r="OMV24" s="218"/>
      <c r="OMW24" s="218"/>
      <c r="OMX24" s="218"/>
      <c r="OMY24" s="218"/>
      <c r="OMZ24" s="218"/>
      <c r="ONA24" s="218"/>
      <c r="ONB24" s="218"/>
      <c r="ONC24" s="218"/>
      <c r="OND24" s="218"/>
      <c r="ONE24" s="218"/>
      <c r="ONF24" s="218"/>
      <c r="ONG24" s="218"/>
      <c r="ONH24" s="218"/>
      <c r="ONI24" s="218"/>
      <c r="ONJ24" s="218"/>
      <c r="ONK24" s="218"/>
      <c r="ONL24" s="218"/>
      <c r="ONM24" s="218"/>
      <c r="ONN24" s="218"/>
      <c r="ONO24" s="218"/>
      <c r="ONP24" s="218"/>
      <c r="ONQ24" s="218"/>
      <c r="ONR24" s="218"/>
      <c r="ONS24" s="218"/>
      <c r="ONT24" s="218"/>
      <c r="ONU24" s="218"/>
      <c r="ONV24" s="218"/>
      <c r="ONW24" s="218"/>
      <c r="ONX24" s="218"/>
      <c r="ONY24" s="218"/>
      <c r="ONZ24" s="218"/>
      <c r="OOA24" s="218"/>
      <c r="OOB24" s="218"/>
      <c r="OOC24" s="218"/>
      <c r="OOD24" s="218"/>
      <c r="OOE24" s="218"/>
      <c r="OOF24" s="218"/>
      <c r="OOG24" s="218"/>
      <c r="OOH24" s="218"/>
      <c r="OOI24" s="218"/>
      <c r="OOJ24" s="218"/>
      <c r="OOK24" s="218"/>
      <c r="OOL24" s="218"/>
      <c r="OOM24" s="218"/>
      <c r="OON24" s="218"/>
      <c r="OOO24" s="218"/>
      <c r="OOP24" s="218"/>
      <c r="OOQ24" s="218"/>
      <c r="OOR24" s="218"/>
      <c r="OOS24" s="218"/>
      <c r="OOT24" s="218"/>
      <c r="OOU24" s="218"/>
      <c r="OOV24" s="218"/>
      <c r="OOW24" s="218"/>
      <c r="OOX24" s="218"/>
      <c r="OOY24" s="218"/>
      <c r="OOZ24" s="218"/>
      <c r="OPA24" s="218"/>
      <c r="OPB24" s="218"/>
      <c r="OPC24" s="218"/>
      <c r="OPD24" s="218"/>
      <c r="OPE24" s="218"/>
      <c r="OPF24" s="218"/>
      <c r="OPG24" s="218"/>
      <c r="OPH24" s="218"/>
      <c r="OPI24" s="218"/>
      <c r="OPJ24" s="218"/>
      <c r="OPK24" s="218"/>
      <c r="OPL24" s="218"/>
      <c r="OPM24" s="218"/>
      <c r="OPN24" s="218"/>
      <c r="OPO24" s="218"/>
      <c r="OPP24" s="218"/>
      <c r="OPQ24" s="218"/>
      <c r="OPR24" s="218"/>
      <c r="OPS24" s="218"/>
      <c r="OPT24" s="218"/>
      <c r="OPU24" s="218"/>
      <c r="OPV24" s="218"/>
      <c r="OPW24" s="218"/>
      <c r="OPX24" s="218"/>
      <c r="OPY24" s="218"/>
      <c r="OPZ24" s="218"/>
      <c r="OQA24" s="218"/>
      <c r="OQB24" s="218"/>
      <c r="OQC24" s="218"/>
      <c r="OQD24" s="218"/>
      <c r="OQE24" s="218"/>
      <c r="OQF24" s="218"/>
      <c r="OQG24" s="218"/>
      <c r="OQH24" s="218"/>
      <c r="OQI24" s="218"/>
      <c r="OQJ24" s="218"/>
      <c r="OQK24" s="218"/>
      <c r="OQL24" s="218"/>
      <c r="OQM24" s="218"/>
      <c r="OQN24" s="218"/>
      <c r="OQO24" s="218"/>
      <c r="OQP24" s="218"/>
      <c r="OQQ24" s="218"/>
      <c r="OQR24" s="218"/>
      <c r="OQS24" s="218"/>
      <c r="OQT24" s="218"/>
      <c r="OQU24" s="218"/>
      <c r="OQV24" s="218"/>
      <c r="OQW24" s="218"/>
      <c r="OQX24" s="218"/>
      <c r="OQY24" s="218"/>
      <c r="OQZ24" s="218"/>
      <c r="ORA24" s="218"/>
      <c r="ORB24" s="218"/>
      <c r="ORC24" s="218"/>
      <c r="ORD24" s="218"/>
      <c r="ORE24" s="218"/>
      <c r="ORF24" s="218"/>
      <c r="ORG24" s="218"/>
      <c r="ORH24" s="218"/>
      <c r="ORI24" s="218"/>
      <c r="ORJ24" s="218"/>
      <c r="ORK24" s="218"/>
      <c r="ORL24" s="218"/>
      <c r="ORM24" s="218"/>
      <c r="ORN24" s="218"/>
      <c r="ORO24" s="218"/>
      <c r="ORP24" s="218"/>
      <c r="ORQ24" s="218"/>
      <c r="ORR24" s="218"/>
      <c r="ORS24" s="218"/>
      <c r="ORT24" s="218"/>
      <c r="ORU24" s="218"/>
      <c r="ORV24" s="218"/>
      <c r="ORW24" s="218"/>
      <c r="ORX24" s="218"/>
      <c r="ORY24" s="218"/>
      <c r="ORZ24" s="218"/>
      <c r="OSA24" s="218"/>
      <c r="OSB24" s="218"/>
      <c r="OSC24" s="218"/>
      <c r="OSD24" s="218"/>
      <c r="OSE24" s="218"/>
      <c r="OSF24" s="218"/>
      <c r="OSG24" s="218"/>
      <c r="OSH24" s="218"/>
      <c r="OSI24" s="218"/>
      <c r="OSJ24" s="218"/>
      <c r="OSK24" s="218"/>
      <c r="OSL24" s="218"/>
      <c r="OSM24" s="218"/>
      <c r="OSN24" s="218"/>
      <c r="OSO24" s="218"/>
      <c r="OSP24" s="218"/>
      <c r="OSQ24" s="218"/>
      <c r="OSR24" s="218"/>
      <c r="OSS24" s="218"/>
      <c r="OST24" s="218"/>
      <c r="OSU24" s="218"/>
      <c r="OSV24" s="218"/>
      <c r="OSW24" s="218"/>
      <c r="OSX24" s="218"/>
      <c r="OSY24" s="218"/>
      <c r="OSZ24" s="218"/>
      <c r="OTA24" s="218"/>
      <c r="OTB24" s="218"/>
      <c r="OTC24" s="218"/>
      <c r="OTD24" s="218"/>
      <c r="OTE24" s="218"/>
      <c r="OTF24" s="218"/>
      <c r="OTG24" s="218"/>
      <c r="OTH24" s="218"/>
      <c r="OTI24" s="218"/>
      <c r="OTJ24" s="218"/>
      <c r="OTK24" s="218"/>
      <c r="OTL24" s="218"/>
      <c r="OTM24" s="218"/>
      <c r="OTN24" s="218"/>
      <c r="OTO24" s="218"/>
      <c r="OTP24" s="218"/>
      <c r="OTQ24" s="218"/>
      <c r="OTR24" s="218"/>
      <c r="OTS24" s="218"/>
      <c r="OTT24" s="218"/>
      <c r="OTU24" s="218"/>
      <c r="OTV24" s="218"/>
      <c r="OTW24" s="218"/>
      <c r="OTX24" s="218"/>
      <c r="OTY24" s="218"/>
      <c r="OTZ24" s="218"/>
      <c r="OUA24" s="218"/>
      <c r="OUB24" s="218"/>
      <c r="OUC24" s="218"/>
      <c r="OUD24" s="218"/>
      <c r="OUE24" s="218"/>
      <c r="OUF24" s="218"/>
      <c r="OUG24" s="218"/>
      <c r="OUH24" s="218"/>
      <c r="OUI24" s="218"/>
      <c r="OUJ24" s="218"/>
      <c r="OUK24" s="218"/>
      <c r="OUL24" s="218"/>
      <c r="OUM24" s="218"/>
      <c r="OUN24" s="218"/>
      <c r="OUO24" s="218"/>
      <c r="OUP24" s="218"/>
      <c r="OUQ24" s="218"/>
      <c r="OUR24" s="218"/>
      <c r="OUS24" s="218"/>
      <c r="OUT24" s="218"/>
      <c r="OUU24" s="218"/>
      <c r="OUV24" s="218"/>
      <c r="OUW24" s="218"/>
      <c r="OUX24" s="218"/>
      <c r="OUY24" s="218"/>
      <c r="OUZ24" s="218"/>
      <c r="OVA24" s="218"/>
      <c r="OVB24" s="218"/>
      <c r="OVC24" s="218"/>
      <c r="OVD24" s="218"/>
      <c r="OVE24" s="218"/>
      <c r="OVF24" s="218"/>
      <c r="OVG24" s="218"/>
      <c r="OVH24" s="218"/>
      <c r="OVI24" s="218"/>
      <c r="OVJ24" s="218"/>
      <c r="OVK24" s="218"/>
      <c r="OVL24" s="218"/>
      <c r="OVM24" s="218"/>
      <c r="OVN24" s="218"/>
      <c r="OVO24" s="218"/>
      <c r="OVP24" s="218"/>
      <c r="OVQ24" s="218"/>
      <c r="OVR24" s="218"/>
      <c r="OVS24" s="218"/>
      <c r="OVT24" s="218"/>
      <c r="OVU24" s="218"/>
      <c r="OVV24" s="218"/>
      <c r="OVW24" s="218"/>
      <c r="OVX24" s="218"/>
      <c r="OVY24" s="218"/>
      <c r="OVZ24" s="218"/>
      <c r="OWA24" s="218"/>
      <c r="OWB24" s="218"/>
      <c r="OWC24" s="218"/>
      <c r="OWD24" s="218"/>
      <c r="OWE24" s="218"/>
      <c r="OWF24" s="218"/>
      <c r="OWG24" s="218"/>
      <c r="OWH24" s="218"/>
      <c r="OWI24" s="218"/>
      <c r="OWJ24" s="218"/>
      <c r="OWK24" s="218"/>
      <c r="OWL24" s="218"/>
      <c r="OWM24" s="218"/>
      <c r="OWN24" s="218"/>
      <c r="OWO24" s="218"/>
      <c r="OWP24" s="218"/>
      <c r="OWQ24" s="218"/>
      <c r="OWR24" s="218"/>
      <c r="OWS24" s="218"/>
      <c r="OWT24" s="218"/>
      <c r="OWU24" s="218"/>
      <c r="OWV24" s="218"/>
      <c r="OWW24" s="218"/>
      <c r="OWX24" s="218"/>
      <c r="OWY24" s="218"/>
      <c r="OWZ24" s="218"/>
      <c r="OXA24" s="218"/>
      <c r="OXB24" s="218"/>
      <c r="OXC24" s="218"/>
      <c r="OXD24" s="218"/>
      <c r="OXE24" s="218"/>
      <c r="OXF24" s="218"/>
      <c r="OXG24" s="218"/>
      <c r="OXH24" s="218"/>
      <c r="OXI24" s="218"/>
      <c r="OXJ24" s="218"/>
      <c r="OXK24" s="218"/>
      <c r="OXL24" s="218"/>
      <c r="OXM24" s="218"/>
      <c r="OXN24" s="218"/>
      <c r="OXO24" s="218"/>
      <c r="OXP24" s="218"/>
      <c r="OXQ24" s="218"/>
      <c r="OXR24" s="218"/>
      <c r="OXS24" s="218"/>
      <c r="OXT24" s="218"/>
      <c r="OXU24" s="218"/>
      <c r="OXV24" s="218"/>
      <c r="OXW24" s="218"/>
      <c r="OXX24" s="218"/>
      <c r="OXY24" s="218"/>
      <c r="OXZ24" s="218"/>
      <c r="OYA24" s="218"/>
      <c r="OYB24" s="218"/>
      <c r="OYC24" s="218"/>
      <c r="OYD24" s="218"/>
      <c r="OYE24" s="218"/>
      <c r="OYF24" s="218"/>
      <c r="OYG24" s="218"/>
      <c r="OYH24" s="218"/>
      <c r="OYI24" s="218"/>
      <c r="OYJ24" s="218"/>
      <c r="OYK24" s="218"/>
      <c r="OYL24" s="218"/>
      <c r="OYM24" s="218"/>
      <c r="OYN24" s="218"/>
      <c r="OYO24" s="218"/>
      <c r="OYP24" s="218"/>
      <c r="OYQ24" s="218"/>
      <c r="OYR24" s="218"/>
      <c r="OYS24" s="218"/>
      <c r="OYT24" s="218"/>
      <c r="OYU24" s="218"/>
      <c r="OYV24" s="218"/>
      <c r="OYW24" s="218"/>
      <c r="OYX24" s="218"/>
      <c r="OYY24" s="218"/>
      <c r="OYZ24" s="218"/>
      <c r="OZA24" s="218"/>
      <c r="OZB24" s="218"/>
      <c r="OZC24" s="218"/>
      <c r="OZD24" s="218"/>
      <c r="OZE24" s="218"/>
      <c r="OZF24" s="218"/>
      <c r="OZG24" s="218"/>
      <c r="OZH24" s="218"/>
      <c r="OZI24" s="218"/>
      <c r="OZJ24" s="218"/>
      <c r="OZK24" s="218"/>
      <c r="OZL24" s="218"/>
      <c r="OZM24" s="218"/>
      <c r="OZN24" s="218"/>
      <c r="OZO24" s="218"/>
      <c r="OZP24" s="218"/>
      <c r="OZQ24" s="218"/>
      <c r="OZR24" s="218"/>
      <c r="OZS24" s="218"/>
      <c r="OZT24" s="218"/>
      <c r="OZU24" s="218"/>
      <c r="OZV24" s="218"/>
      <c r="OZW24" s="218"/>
      <c r="OZX24" s="218"/>
      <c r="OZY24" s="218"/>
      <c r="OZZ24" s="218"/>
      <c r="PAA24" s="218"/>
      <c r="PAB24" s="218"/>
      <c r="PAC24" s="218"/>
      <c r="PAD24" s="218"/>
      <c r="PAE24" s="218"/>
      <c r="PAF24" s="218"/>
      <c r="PAG24" s="218"/>
      <c r="PAH24" s="218"/>
      <c r="PAI24" s="218"/>
      <c r="PAJ24" s="218"/>
      <c r="PAK24" s="218"/>
      <c r="PAL24" s="218"/>
      <c r="PAM24" s="218"/>
      <c r="PAN24" s="218"/>
      <c r="PAO24" s="218"/>
      <c r="PAP24" s="218"/>
      <c r="PAQ24" s="218"/>
      <c r="PAR24" s="218"/>
      <c r="PAS24" s="218"/>
      <c r="PAT24" s="218"/>
      <c r="PAU24" s="218"/>
      <c r="PAV24" s="218"/>
      <c r="PAW24" s="218"/>
      <c r="PAX24" s="218"/>
      <c r="PAY24" s="218"/>
      <c r="PAZ24" s="218"/>
      <c r="PBA24" s="218"/>
      <c r="PBB24" s="218"/>
      <c r="PBC24" s="218"/>
      <c r="PBD24" s="218"/>
      <c r="PBE24" s="218"/>
      <c r="PBF24" s="218"/>
      <c r="PBG24" s="218"/>
      <c r="PBH24" s="218"/>
      <c r="PBI24" s="218"/>
      <c r="PBJ24" s="218"/>
      <c r="PBK24" s="218"/>
      <c r="PBL24" s="218"/>
      <c r="PBM24" s="218"/>
      <c r="PBN24" s="218"/>
      <c r="PBO24" s="218"/>
      <c r="PBP24" s="218"/>
      <c r="PBQ24" s="218"/>
      <c r="PBR24" s="218"/>
      <c r="PBS24" s="218"/>
      <c r="PBT24" s="218"/>
      <c r="PBU24" s="218"/>
      <c r="PBV24" s="218"/>
      <c r="PBW24" s="218"/>
      <c r="PBX24" s="218"/>
      <c r="PBY24" s="218"/>
      <c r="PBZ24" s="218"/>
      <c r="PCA24" s="218"/>
      <c r="PCB24" s="218"/>
      <c r="PCC24" s="218"/>
      <c r="PCD24" s="218"/>
      <c r="PCE24" s="218"/>
      <c r="PCF24" s="218"/>
      <c r="PCG24" s="218"/>
      <c r="PCH24" s="218"/>
      <c r="PCI24" s="218"/>
      <c r="PCJ24" s="218"/>
      <c r="PCK24" s="218"/>
      <c r="PCL24" s="218"/>
      <c r="PCM24" s="218"/>
      <c r="PCN24" s="218"/>
      <c r="PCO24" s="218"/>
      <c r="PCP24" s="218"/>
      <c r="PCQ24" s="218"/>
      <c r="PCR24" s="218"/>
      <c r="PCS24" s="218"/>
      <c r="PCT24" s="218"/>
      <c r="PCU24" s="218"/>
      <c r="PCV24" s="218"/>
      <c r="PCW24" s="218"/>
      <c r="PCX24" s="218"/>
      <c r="PCY24" s="218"/>
      <c r="PCZ24" s="218"/>
      <c r="PDA24" s="218"/>
      <c r="PDB24" s="218"/>
      <c r="PDC24" s="218"/>
      <c r="PDD24" s="218"/>
      <c r="PDE24" s="218"/>
      <c r="PDF24" s="218"/>
      <c r="PDG24" s="218"/>
      <c r="PDH24" s="218"/>
      <c r="PDI24" s="218"/>
      <c r="PDJ24" s="218"/>
      <c r="PDK24" s="218"/>
      <c r="PDL24" s="218"/>
      <c r="PDM24" s="218"/>
      <c r="PDN24" s="218"/>
      <c r="PDO24" s="218"/>
      <c r="PDP24" s="218"/>
      <c r="PDQ24" s="218"/>
      <c r="PDR24" s="218"/>
      <c r="PDS24" s="218"/>
      <c r="PDT24" s="218"/>
      <c r="PDU24" s="218"/>
      <c r="PDV24" s="218"/>
      <c r="PDW24" s="218"/>
      <c r="PDX24" s="218"/>
      <c r="PDY24" s="218"/>
      <c r="PDZ24" s="218"/>
      <c r="PEA24" s="218"/>
      <c r="PEB24" s="218"/>
      <c r="PEC24" s="218"/>
      <c r="PED24" s="218"/>
      <c r="PEE24" s="218"/>
      <c r="PEF24" s="218"/>
      <c r="PEG24" s="218"/>
      <c r="PEH24" s="218"/>
      <c r="PEI24" s="218"/>
      <c r="PEJ24" s="218"/>
      <c r="PEK24" s="218"/>
      <c r="PEL24" s="218"/>
      <c r="PEM24" s="218"/>
      <c r="PEN24" s="218"/>
      <c r="PEO24" s="218"/>
      <c r="PEP24" s="218"/>
      <c r="PEQ24" s="218"/>
      <c r="PER24" s="218"/>
      <c r="PES24" s="218"/>
      <c r="PET24" s="218"/>
      <c r="PEU24" s="218"/>
      <c r="PEV24" s="218"/>
      <c r="PEW24" s="218"/>
      <c r="PEX24" s="218"/>
      <c r="PEY24" s="218"/>
      <c r="PEZ24" s="218"/>
      <c r="PFA24" s="218"/>
      <c r="PFB24" s="218"/>
      <c r="PFC24" s="218"/>
      <c r="PFD24" s="218"/>
      <c r="PFE24" s="218"/>
      <c r="PFF24" s="218"/>
      <c r="PFG24" s="218"/>
      <c r="PFH24" s="218"/>
      <c r="PFI24" s="218"/>
      <c r="PFJ24" s="218"/>
      <c r="PFK24" s="218"/>
      <c r="PFL24" s="218"/>
      <c r="PFM24" s="218"/>
      <c r="PFN24" s="218"/>
      <c r="PFO24" s="218"/>
      <c r="PFP24" s="218"/>
      <c r="PFQ24" s="218"/>
      <c r="PFR24" s="218"/>
      <c r="PFS24" s="218"/>
      <c r="PFT24" s="218"/>
      <c r="PFU24" s="218"/>
      <c r="PFV24" s="218"/>
      <c r="PFW24" s="218"/>
      <c r="PFX24" s="218"/>
      <c r="PFY24" s="218"/>
      <c r="PFZ24" s="218"/>
      <c r="PGA24" s="218"/>
      <c r="PGB24" s="218"/>
      <c r="PGC24" s="218"/>
      <c r="PGD24" s="218"/>
      <c r="PGE24" s="218"/>
      <c r="PGF24" s="218"/>
      <c r="PGG24" s="218"/>
      <c r="PGH24" s="218"/>
      <c r="PGI24" s="218"/>
      <c r="PGJ24" s="218"/>
      <c r="PGK24" s="218"/>
      <c r="PGL24" s="218"/>
      <c r="PGM24" s="218"/>
      <c r="PGN24" s="218"/>
      <c r="PGO24" s="218"/>
      <c r="PGP24" s="218"/>
      <c r="PGQ24" s="218"/>
      <c r="PGR24" s="218"/>
      <c r="PGS24" s="218"/>
      <c r="PGT24" s="218"/>
      <c r="PGU24" s="218"/>
      <c r="PGV24" s="218"/>
      <c r="PGW24" s="218"/>
      <c r="PGX24" s="218"/>
      <c r="PGY24" s="218"/>
      <c r="PGZ24" s="218"/>
      <c r="PHA24" s="218"/>
      <c r="PHB24" s="218"/>
      <c r="PHC24" s="218"/>
      <c r="PHD24" s="218"/>
      <c r="PHE24" s="218"/>
      <c r="PHF24" s="218"/>
      <c r="PHG24" s="218"/>
      <c r="PHH24" s="218"/>
      <c r="PHI24" s="218"/>
      <c r="PHJ24" s="218"/>
      <c r="PHK24" s="218"/>
      <c r="PHL24" s="218"/>
      <c r="PHM24" s="218"/>
      <c r="PHN24" s="218"/>
      <c r="PHO24" s="218"/>
      <c r="PHP24" s="218"/>
      <c r="PHQ24" s="218"/>
      <c r="PHR24" s="218"/>
      <c r="PHS24" s="218"/>
      <c r="PHT24" s="218"/>
      <c r="PHU24" s="218"/>
      <c r="PHV24" s="218"/>
      <c r="PHW24" s="218"/>
      <c r="PHX24" s="218"/>
      <c r="PHY24" s="218"/>
      <c r="PHZ24" s="218"/>
      <c r="PIA24" s="218"/>
      <c r="PIB24" s="218"/>
      <c r="PIC24" s="218"/>
      <c r="PID24" s="218"/>
      <c r="PIE24" s="218"/>
      <c r="PIF24" s="218"/>
      <c r="PIG24" s="218"/>
      <c r="PIH24" s="218"/>
      <c r="PII24" s="218"/>
      <c r="PIJ24" s="218"/>
      <c r="PIK24" s="218"/>
      <c r="PIL24" s="218"/>
      <c r="PIM24" s="218"/>
      <c r="PIN24" s="218"/>
      <c r="PIO24" s="218"/>
      <c r="PIP24" s="218"/>
      <c r="PIQ24" s="218"/>
      <c r="PIR24" s="218"/>
      <c r="PIS24" s="218"/>
      <c r="PIT24" s="218"/>
      <c r="PIU24" s="218"/>
      <c r="PIV24" s="218"/>
      <c r="PIW24" s="218"/>
      <c r="PIX24" s="218"/>
      <c r="PIY24" s="218"/>
      <c r="PIZ24" s="218"/>
      <c r="PJA24" s="218"/>
      <c r="PJB24" s="218"/>
      <c r="PJC24" s="218"/>
      <c r="PJD24" s="218"/>
      <c r="PJE24" s="218"/>
      <c r="PJF24" s="218"/>
      <c r="PJG24" s="218"/>
      <c r="PJH24" s="218"/>
      <c r="PJI24" s="218"/>
      <c r="PJJ24" s="218"/>
      <c r="PJK24" s="218"/>
      <c r="PJL24" s="218"/>
      <c r="PJM24" s="218"/>
      <c r="PJN24" s="218"/>
      <c r="PJO24" s="218"/>
      <c r="PJP24" s="218"/>
      <c r="PJQ24" s="218"/>
      <c r="PJR24" s="218"/>
      <c r="PJS24" s="218"/>
      <c r="PJT24" s="218"/>
      <c r="PJU24" s="218"/>
      <c r="PJV24" s="218"/>
      <c r="PJW24" s="218"/>
      <c r="PJX24" s="218"/>
      <c r="PJY24" s="218"/>
      <c r="PJZ24" s="218"/>
      <c r="PKA24" s="218"/>
      <c r="PKB24" s="218"/>
      <c r="PKC24" s="218"/>
      <c r="PKD24" s="218"/>
      <c r="PKE24" s="218"/>
      <c r="PKF24" s="218"/>
      <c r="PKG24" s="218"/>
      <c r="PKH24" s="218"/>
      <c r="PKI24" s="218"/>
      <c r="PKJ24" s="218"/>
      <c r="PKK24" s="218"/>
      <c r="PKL24" s="218"/>
      <c r="PKM24" s="218"/>
      <c r="PKN24" s="218"/>
      <c r="PKO24" s="218"/>
      <c r="PKP24" s="218"/>
      <c r="PKQ24" s="218"/>
      <c r="PKR24" s="218"/>
      <c r="PKS24" s="218"/>
      <c r="PKT24" s="218"/>
      <c r="PKU24" s="218"/>
      <c r="PKV24" s="218"/>
      <c r="PKW24" s="218"/>
      <c r="PKX24" s="218"/>
      <c r="PKY24" s="218"/>
      <c r="PKZ24" s="218"/>
      <c r="PLA24" s="218"/>
      <c r="PLB24" s="218"/>
      <c r="PLC24" s="218"/>
      <c r="PLD24" s="218"/>
      <c r="PLE24" s="218"/>
      <c r="PLF24" s="218"/>
      <c r="PLG24" s="218"/>
      <c r="PLH24" s="218"/>
      <c r="PLI24" s="218"/>
      <c r="PLJ24" s="218"/>
      <c r="PLK24" s="218"/>
      <c r="PLL24" s="218"/>
      <c r="PLM24" s="218"/>
      <c r="PLN24" s="218"/>
      <c r="PLO24" s="218"/>
      <c r="PLP24" s="218"/>
      <c r="PLQ24" s="218"/>
      <c r="PLR24" s="218"/>
      <c r="PLS24" s="218"/>
      <c r="PLT24" s="218"/>
      <c r="PLU24" s="218"/>
      <c r="PLV24" s="218"/>
      <c r="PLW24" s="218"/>
      <c r="PLX24" s="218"/>
      <c r="PLY24" s="218"/>
      <c r="PLZ24" s="218"/>
      <c r="PMA24" s="218"/>
      <c r="PMB24" s="218"/>
      <c r="PMC24" s="218"/>
      <c r="PMD24" s="218"/>
      <c r="PME24" s="218"/>
      <c r="PMF24" s="218"/>
      <c r="PMG24" s="218"/>
      <c r="PMH24" s="218"/>
      <c r="PMI24" s="218"/>
      <c r="PMJ24" s="218"/>
      <c r="PMK24" s="218"/>
      <c r="PML24" s="218"/>
      <c r="PMM24" s="218"/>
      <c r="PMN24" s="218"/>
      <c r="PMO24" s="218"/>
      <c r="PMP24" s="218"/>
      <c r="PMQ24" s="218"/>
      <c r="PMR24" s="218"/>
      <c r="PMS24" s="218"/>
      <c r="PMT24" s="218"/>
      <c r="PMU24" s="218"/>
      <c r="PMV24" s="218"/>
      <c r="PMW24" s="218"/>
      <c r="PMX24" s="218"/>
      <c r="PMY24" s="218"/>
      <c r="PMZ24" s="218"/>
      <c r="PNA24" s="218"/>
      <c r="PNB24" s="218"/>
      <c r="PNC24" s="218"/>
      <c r="PND24" s="218"/>
      <c r="PNE24" s="218"/>
      <c r="PNF24" s="218"/>
      <c r="PNG24" s="218"/>
      <c r="PNH24" s="218"/>
      <c r="PNI24" s="218"/>
      <c r="PNJ24" s="218"/>
      <c r="PNK24" s="218"/>
      <c r="PNL24" s="218"/>
      <c r="PNM24" s="218"/>
      <c r="PNN24" s="218"/>
      <c r="PNO24" s="218"/>
      <c r="PNP24" s="218"/>
      <c r="PNQ24" s="218"/>
      <c r="PNR24" s="218"/>
      <c r="PNS24" s="218"/>
      <c r="PNT24" s="218"/>
      <c r="PNU24" s="218"/>
      <c r="PNV24" s="218"/>
      <c r="PNW24" s="218"/>
      <c r="PNX24" s="218"/>
      <c r="PNY24" s="218"/>
      <c r="PNZ24" s="218"/>
      <c r="POA24" s="218"/>
      <c r="POB24" s="218"/>
      <c r="POC24" s="218"/>
      <c r="POD24" s="218"/>
      <c r="POE24" s="218"/>
      <c r="POF24" s="218"/>
      <c r="POG24" s="218"/>
      <c r="POH24" s="218"/>
      <c r="POI24" s="218"/>
      <c r="POJ24" s="218"/>
      <c r="POK24" s="218"/>
      <c r="POL24" s="218"/>
      <c r="POM24" s="218"/>
      <c r="PON24" s="218"/>
      <c r="POO24" s="218"/>
      <c r="POP24" s="218"/>
      <c r="POQ24" s="218"/>
      <c r="POR24" s="218"/>
      <c r="POS24" s="218"/>
      <c r="POT24" s="218"/>
      <c r="POU24" s="218"/>
      <c r="POV24" s="218"/>
      <c r="POW24" s="218"/>
      <c r="POX24" s="218"/>
      <c r="POY24" s="218"/>
      <c r="POZ24" s="218"/>
      <c r="PPA24" s="218"/>
      <c r="PPB24" s="218"/>
      <c r="PPC24" s="218"/>
      <c r="PPD24" s="218"/>
      <c r="PPE24" s="218"/>
      <c r="PPF24" s="218"/>
      <c r="PPG24" s="218"/>
      <c r="PPH24" s="218"/>
      <c r="PPI24" s="218"/>
      <c r="PPJ24" s="218"/>
      <c r="PPK24" s="218"/>
      <c r="PPL24" s="218"/>
      <c r="PPM24" s="218"/>
      <c r="PPN24" s="218"/>
      <c r="PPO24" s="218"/>
      <c r="PPP24" s="218"/>
      <c r="PPQ24" s="218"/>
      <c r="PPR24" s="218"/>
      <c r="PPS24" s="218"/>
      <c r="PPT24" s="218"/>
      <c r="PPU24" s="218"/>
      <c r="PPV24" s="218"/>
      <c r="PPW24" s="218"/>
      <c r="PPX24" s="218"/>
      <c r="PPY24" s="218"/>
      <c r="PPZ24" s="218"/>
      <c r="PQA24" s="218"/>
      <c r="PQB24" s="218"/>
      <c r="PQC24" s="218"/>
      <c r="PQD24" s="218"/>
      <c r="PQE24" s="218"/>
      <c r="PQF24" s="218"/>
      <c r="PQG24" s="218"/>
      <c r="PQH24" s="218"/>
      <c r="PQI24" s="218"/>
      <c r="PQJ24" s="218"/>
      <c r="PQK24" s="218"/>
      <c r="PQL24" s="218"/>
      <c r="PQM24" s="218"/>
      <c r="PQN24" s="218"/>
      <c r="PQO24" s="218"/>
      <c r="PQP24" s="218"/>
      <c r="PQQ24" s="218"/>
      <c r="PQR24" s="218"/>
      <c r="PQS24" s="218"/>
      <c r="PQT24" s="218"/>
      <c r="PQU24" s="218"/>
      <c r="PQV24" s="218"/>
      <c r="PQW24" s="218"/>
      <c r="PQX24" s="218"/>
      <c r="PQY24" s="218"/>
      <c r="PQZ24" s="218"/>
      <c r="PRA24" s="218"/>
      <c r="PRB24" s="218"/>
      <c r="PRC24" s="218"/>
      <c r="PRD24" s="218"/>
      <c r="PRE24" s="218"/>
      <c r="PRF24" s="218"/>
      <c r="PRG24" s="218"/>
      <c r="PRH24" s="218"/>
      <c r="PRI24" s="218"/>
      <c r="PRJ24" s="218"/>
      <c r="PRK24" s="218"/>
      <c r="PRL24" s="218"/>
      <c r="PRM24" s="218"/>
      <c r="PRN24" s="218"/>
      <c r="PRO24" s="218"/>
      <c r="PRP24" s="218"/>
      <c r="PRQ24" s="218"/>
      <c r="PRR24" s="218"/>
      <c r="PRS24" s="218"/>
      <c r="PRT24" s="218"/>
      <c r="PRU24" s="218"/>
      <c r="PRV24" s="218"/>
      <c r="PRW24" s="218"/>
      <c r="PRX24" s="218"/>
      <c r="PRY24" s="218"/>
      <c r="PRZ24" s="218"/>
      <c r="PSA24" s="218"/>
      <c r="PSB24" s="218"/>
      <c r="PSC24" s="218"/>
      <c r="PSD24" s="218"/>
      <c r="PSE24" s="218"/>
      <c r="PSF24" s="218"/>
      <c r="PSG24" s="218"/>
      <c r="PSH24" s="218"/>
      <c r="PSI24" s="218"/>
      <c r="PSJ24" s="218"/>
      <c r="PSK24" s="218"/>
      <c r="PSL24" s="218"/>
      <c r="PSM24" s="218"/>
      <c r="PSN24" s="218"/>
      <c r="PSO24" s="218"/>
      <c r="PSP24" s="218"/>
      <c r="PSQ24" s="218"/>
      <c r="PSR24" s="218"/>
      <c r="PSS24" s="218"/>
      <c r="PST24" s="218"/>
      <c r="PSU24" s="218"/>
      <c r="PSV24" s="218"/>
      <c r="PSW24" s="218"/>
      <c r="PSX24" s="218"/>
      <c r="PSY24" s="218"/>
      <c r="PSZ24" s="218"/>
      <c r="PTA24" s="218"/>
      <c r="PTB24" s="218"/>
      <c r="PTC24" s="218"/>
      <c r="PTD24" s="218"/>
      <c r="PTE24" s="218"/>
      <c r="PTF24" s="218"/>
      <c r="PTG24" s="218"/>
      <c r="PTH24" s="218"/>
      <c r="PTI24" s="218"/>
      <c r="PTJ24" s="218"/>
      <c r="PTK24" s="218"/>
      <c r="PTL24" s="218"/>
      <c r="PTM24" s="218"/>
      <c r="PTN24" s="218"/>
      <c r="PTO24" s="218"/>
      <c r="PTP24" s="218"/>
      <c r="PTQ24" s="218"/>
      <c r="PTR24" s="218"/>
      <c r="PTS24" s="218"/>
      <c r="PTT24" s="218"/>
      <c r="PTU24" s="218"/>
      <c r="PTV24" s="218"/>
      <c r="PTW24" s="218"/>
      <c r="PTX24" s="218"/>
      <c r="PTY24" s="218"/>
      <c r="PTZ24" s="218"/>
      <c r="PUA24" s="218"/>
      <c r="PUB24" s="218"/>
      <c r="PUC24" s="218"/>
      <c r="PUD24" s="218"/>
      <c r="PUE24" s="218"/>
      <c r="PUF24" s="218"/>
      <c r="PUG24" s="218"/>
      <c r="PUH24" s="218"/>
      <c r="PUI24" s="218"/>
      <c r="PUJ24" s="218"/>
      <c r="PUK24" s="218"/>
      <c r="PUL24" s="218"/>
      <c r="PUM24" s="218"/>
      <c r="PUN24" s="218"/>
      <c r="PUO24" s="218"/>
      <c r="PUP24" s="218"/>
      <c r="PUQ24" s="218"/>
      <c r="PUR24" s="218"/>
      <c r="PUS24" s="218"/>
      <c r="PUT24" s="218"/>
      <c r="PUU24" s="218"/>
      <c r="PUV24" s="218"/>
      <c r="PUW24" s="218"/>
      <c r="PUX24" s="218"/>
      <c r="PUY24" s="218"/>
      <c r="PUZ24" s="218"/>
      <c r="PVA24" s="218"/>
      <c r="PVB24" s="218"/>
      <c r="PVC24" s="218"/>
      <c r="PVD24" s="218"/>
      <c r="PVE24" s="218"/>
      <c r="PVF24" s="218"/>
      <c r="PVG24" s="218"/>
      <c r="PVH24" s="218"/>
      <c r="PVI24" s="218"/>
      <c r="PVJ24" s="218"/>
      <c r="PVK24" s="218"/>
      <c r="PVL24" s="218"/>
      <c r="PVM24" s="218"/>
      <c r="PVN24" s="218"/>
      <c r="PVO24" s="218"/>
      <c r="PVP24" s="218"/>
      <c r="PVQ24" s="218"/>
      <c r="PVR24" s="218"/>
      <c r="PVS24" s="218"/>
      <c r="PVT24" s="218"/>
      <c r="PVU24" s="218"/>
      <c r="PVV24" s="218"/>
      <c r="PVW24" s="218"/>
      <c r="PVX24" s="218"/>
      <c r="PVY24" s="218"/>
      <c r="PVZ24" s="218"/>
      <c r="PWA24" s="218"/>
      <c r="PWB24" s="218"/>
      <c r="PWC24" s="218"/>
      <c r="PWD24" s="218"/>
      <c r="PWE24" s="218"/>
      <c r="PWF24" s="218"/>
      <c r="PWG24" s="218"/>
      <c r="PWH24" s="218"/>
      <c r="PWI24" s="218"/>
      <c r="PWJ24" s="218"/>
      <c r="PWK24" s="218"/>
      <c r="PWL24" s="218"/>
      <c r="PWM24" s="218"/>
      <c r="PWN24" s="218"/>
      <c r="PWO24" s="218"/>
      <c r="PWP24" s="218"/>
      <c r="PWQ24" s="218"/>
      <c r="PWR24" s="218"/>
      <c r="PWS24" s="218"/>
      <c r="PWT24" s="218"/>
      <c r="PWU24" s="218"/>
      <c r="PWV24" s="218"/>
      <c r="PWW24" s="218"/>
      <c r="PWX24" s="218"/>
      <c r="PWY24" s="218"/>
      <c r="PWZ24" s="218"/>
      <c r="PXA24" s="218"/>
      <c r="PXB24" s="218"/>
      <c r="PXC24" s="218"/>
      <c r="PXD24" s="218"/>
      <c r="PXE24" s="218"/>
      <c r="PXF24" s="218"/>
      <c r="PXG24" s="218"/>
      <c r="PXH24" s="218"/>
      <c r="PXI24" s="218"/>
      <c r="PXJ24" s="218"/>
      <c r="PXK24" s="218"/>
      <c r="PXL24" s="218"/>
      <c r="PXM24" s="218"/>
      <c r="PXN24" s="218"/>
      <c r="PXO24" s="218"/>
      <c r="PXP24" s="218"/>
      <c r="PXQ24" s="218"/>
      <c r="PXR24" s="218"/>
      <c r="PXS24" s="218"/>
      <c r="PXT24" s="218"/>
      <c r="PXU24" s="218"/>
      <c r="PXV24" s="218"/>
      <c r="PXW24" s="218"/>
      <c r="PXX24" s="218"/>
      <c r="PXY24" s="218"/>
      <c r="PXZ24" s="218"/>
      <c r="PYA24" s="218"/>
      <c r="PYB24" s="218"/>
      <c r="PYC24" s="218"/>
      <c r="PYD24" s="218"/>
      <c r="PYE24" s="218"/>
      <c r="PYF24" s="218"/>
      <c r="PYG24" s="218"/>
      <c r="PYH24" s="218"/>
      <c r="PYI24" s="218"/>
      <c r="PYJ24" s="218"/>
      <c r="PYK24" s="218"/>
      <c r="PYL24" s="218"/>
      <c r="PYM24" s="218"/>
      <c r="PYN24" s="218"/>
      <c r="PYO24" s="218"/>
      <c r="PYP24" s="218"/>
      <c r="PYQ24" s="218"/>
      <c r="PYR24" s="218"/>
      <c r="PYS24" s="218"/>
      <c r="PYT24" s="218"/>
      <c r="PYU24" s="218"/>
      <c r="PYV24" s="218"/>
      <c r="PYW24" s="218"/>
      <c r="PYX24" s="218"/>
      <c r="PYY24" s="218"/>
      <c r="PYZ24" s="218"/>
      <c r="PZA24" s="218"/>
      <c r="PZB24" s="218"/>
      <c r="PZC24" s="218"/>
      <c r="PZD24" s="218"/>
      <c r="PZE24" s="218"/>
      <c r="PZF24" s="218"/>
      <c r="PZG24" s="218"/>
      <c r="PZH24" s="218"/>
      <c r="PZI24" s="218"/>
      <c r="PZJ24" s="218"/>
      <c r="PZK24" s="218"/>
      <c r="PZL24" s="218"/>
      <c r="PZM24" s="218"/>
      <c r="PZN24" s="218"/>
      <c r="PZO24" s="218"/>
      <c r="PZP24" s="218"/>
      <c r="PZQ24" s="218"/>
      <c r="PZR24" s="218"/>
      <c r="PZS24" s="218"/>
      <c r="PZT24" s="218"/>
      <c r="PZU24" s="218"/>
      <c r="PZV24" s="218"/>
      <c r="PZW24" s="218"/>
      <c r="PZX24" s="218"/>
      <c r="PZY24" s="218"/>
      <c r="PZZ24" s="218"/>
      <c r="QAA24" s="218"/>
      <c r="QAB24" s="218"/>
      <c r="QAC24" s="218"/>
      <c r="QAD24" s="218"/>
      <c r="QAE24" s="218"/>
      <c r="QAF24" s="218"/>
      <c r="QAG24" s="218"/>
      <c r="QAH24" s="218"/>
      <c r="QAI24" s="218"/>
      <c r="QAJ24" s="218"/>
      <c r="QAK24" s="218"/>
      <c r="QAL24" s="218"/>
      <c r="QAM24" s="218"/>
      <c r="QAN24" s="218"/>
      <c r="QAO24" s="218"/>
      <c r="QAP24" s="218"/>
      <c r="QAQ24" s="218"/>
      <c r="QAR24" s="218"/>
      <c r="QAS24" s="218"/>
      <c r="QAT24" s="218"/>
      <c r="QAU24" s="218"/>
      <c r="QAV24" s="218"/>
      <c r="QAW24" s="218"/>
      <c r="QAX24" s="218"/>
      <c r="QAY24" s="218"/>
      <c r="QAZ24" s="218"/>
      <c r="QBA24" s="218"/>
      <c r="QBB24" s="218"/>
      <c r="QBC24" s="218"/>
      <c r="QBD24" s="218"/>
      <c r="QBE24" s="218"/>
      <c r="QBF24" s="218"/>
      <c r="QBG24" s="218"/>
      <c r="QBH24" s="218"/>
      <c r="QBI24" s="218"/>
      <c r="QBJ24" s="218"/>
      <c r="QBK24" s="218"/>
      <c r="QBL24" s="218"/>
      <c r="QBM24" s="218"/>
      <c r="QBN24" s="218"/>
      <c r="QBO24" s="218"/>
      <c r="QBP24" s="218"/>
      <c r="QBQ24" s="218"/>
      <c r="QBR24" s="218"/>
      <c r="QBS24" s="218"/>
      <c r="QBT24" s="218"/>
      <c r="QBU24" s="218"/>
      <c r="QBV24" s="218"/>
      <c r="QBW24" s="218"/>
      <c r="QBX24" s="218"/>
      <c r="QBY24" s="218"/>
      <c r="QBZ24" s="218"/>
      <c r="QCA24" s="218"/>
      <c r="QCB24" s="218"/>
      <c r="QCC24" s="218"/>
      <c r="QCD24" s="218"/>
      <c r="QCE24" s="218"/>
      <c r="QCF24" s="218"/>
      <c r="QCG24" s="218"/>
      <c r="QCH24" s="218"/>
      <c r="QCI24" s="218"/>
      <c r="QCJ24" s="218"/>
      <c r="QCK24" s="218"/>
      <c r="QCL24" s="218"/>
      <c r="QCM24" s="218"/>
      <c r="QCN24" s="218"/>
      <c r="QCO24" s="218"/>
      <c r="QCP24" s="218"/>
      <c r="QCQ24" s="218"/>
      <c r="QCR24" s="218"/>
      <c r="QCS24" s="218"/>
      <c r="QCT24" s="218"/>
      <c r="QCU24" s="218"/>
      <c r="QCV24" s="218"/>
      <c r="QCW24" s="218"/>
      <c r="QCX24" s="218"/>
      <c r="QCY24" s="218"/>
      <c r="QCZ24" s="218"/>
      <c r="QDA24" s="218"/>
      <c r="QDB24" s="218"/>
      <c r="QDC24" s="218"/>
      <c r="QDD24" s="218"/>
      <c r="QDE24" s="218"/>
      <c r="QDF24" s="218"/>
      <c r="QDG24" s="218"/>
      <c r="QDH24" s="218"/>
      <c r="QDI24" s="218"/>
      <c r="QDJ24" s="218"/>
      <c r="QDK24" s="218"/>
      <c r="QDL24" s="218"/>
      <c r="QDM24" s="218"/>
      <c r="QDN24" s="218"/>
      <c r="QDO24" s="218"/>
      <c r="QDP24" s="218"/>
      <c r="QDQ24" s="218"/>
      <c r="QDR24" s="218"/>
      <c r="QDS24" s="218"/>
      <c r="QDT24" s="218"/>
      <c r="QDU24" s="218"/>
      <c r="QDV24" s="218"/>
      <c r="QDW24" s="218"/>
      <c r="QDX24" s="218"/>
      <c r="QDY24" s="218"/>
      <c r="QDZ24" s="218"/>
      <c r="QEA24" s="218"/>
      <c r="QEB24" s="218"/>
      <c r="QEC24" s="218"/>
      <c r="QED24" s="218"/>
      <c r="QEE24" s="218"/>
      <c r="QEF24" s="218"/>
      <c r="QEG24" s="218"/>
      <c r="QEH24" s="218"/>
      <c r="QEI24" s="218"/>
      <c r="QEJ24" s="218"/>
      <c r="QEK24" s="218"/>
      <c r="QEL24" s="218"/>
      <c r="QEM24" s="218"/>
      <c r="QEN24" s="218"/>
      <c r="QEO24" s="218"/>
      <c r="QEP24" s="218"/>
      <c r="QEQ24" s="218"/>
      <c r="QER24" s="218"/>
      <c r="QES24" s="218"/>
      <c r="QET24" s="218"/>
      <c r="QEU24" s="218"/>
      <c r="QEV24" s="218"/>
      <c r="QEW24" s="218"/>
      <c r="QEX24" s="218"/>
      <c r="QEY24" s="218"/>
      <c r="QEZ24" s="218"/>
      <c r="QFA24" s="218"/>
      <c r="QFB24" s="218"/>
      <c r="QFC24" s="218"/>
      <c r="QFD24" s="218"/>
      <c r="QFE24" s="218"/>
      <c r="QFF24" s="218"/>
      <c r="QFG24" s="218"/>
      <c r="QFH24" s="218"/>
      <c r="QFI24" s="218"/>
      <c r="QFJ24" s="218"/>
      <c r="QFK24" s="218"/>
      <c r="QFL24" s="218"/>
      <c r="QFM24" s="218"/>
      <c r="QFN24" s="218"/>
      <c r="QFO24" s="218"/>
      <c r="QFP24" s="218"/>
      <c r="QFQ24" s="218"/>
      <c r="QFR24" s="218"/>
      <c r="QFS24" s="218"/>
      <c r="QFT24" s="218"/>
      <c r="QFU24" s="218"/>
      <c r="QFV24" s="218"/>
      <c r="QFW24" s="218"/>
      <c r="QFX24" s="218"/>
      <c r="QFY24" s="218"/>
      <c r="QFZ24" s="218"/>
      <c r="QGA24" s="218"/>
      <c r="QGB24" s="218"/>
      <c r="QGC24" s="218"/>
      <c r="QGD24" s="218"/>
      <c r="QGE24" s="218"/>
      <c r="QGF24" s="218"/>
      <c r="QGG24" s="218"/>
      <c r="QGH24" s="218"/>
      <c r="QGI24" s="218"/>
      <c r="QGJ24" s="218"/>
      <c r="QGK24" s="218"/>
      <c r="QGL24" s="218"/>
      <c r="QGM24" s="218"/>
      <c r="QGN24" s="218"/>
      <c r="QGO24" s="218"/>
      <c r="QGP24" s="218"/>
      <c r="QGQ24" s="218"/>
      <c r="QGR24" s="218"/>
      <c r="QGS24" s="218"/>
      <c r="QGT24" s="218"/>
      <c r="QGU24" s="218"/>
      <c r="QGV24" s="218"/>
      <c r="QGW24" s="218"/>
      <c r="QGX24" s="218"/>
      <c r="QGY24" s="218"/>
      <c r="QGZ24" s="218"/>
      <c r="QHA24" s="218"/>
      <c r="QHB24" s="218"/>
      <c r="QHC24" s="218"/>
      <c r="QHD24" s="218"/>
      <c r="QHE24" s="218"/>
      <c r="QHF24" s="218"/>
      <c r="QHG24" s="218"/>
      <c r="QHH24" s="218"/>
      <c r="QHI24" s="218"/>
      <c r="QHJ24" s="218"/>
      <c r="QHK24" s="218"/>
      <c r="QHL24" s="218"/>
      <c r="QHM24" s="218"/>
      <c r="QHN24" s="218"/>
      <c r="QHO24" s="218"/>
      <c r="QHP24" s="218"/>
      <c r="QHQ24" s="218"/>
      <c r="QHR24" s="218"/>
      <c r="QHS24" s="218"/>
      <c r="QHT24" s="218"/>
      <c r="QHU24" s="218"/>
      <c r="QHV24" s="218"/>
      <c r="QHW24" s="218"/>
      <c r="QHX24" s="218"/>
      <c r="QHY24" s="218"/>
      <c r="QHZ24" s="218"/>
      <c r="QIA24" s="218"/>
      <c r="QIB24" s="218"/>
      <c r="QIC24" s="218"/>
      <c r="QID24" s="218"/>
      <c r="QIE24" s="218"/>
      <c r="QIF24" s="218"/>
      <c r="QIG24" s="218"/>
      <c r="QIH24" s="218"/>
      <c r="QII24" s="218"/>
      <c r="QIJ24" s="218"/>
      <c r="QIK24" s="218"/>
      <c r="QIL24" s="218"/>
      <c r="QIM24" s="218"/>
      <c r="QIN24" s="218"/>
      <c r="QIO24" s="218"/>
      <c r="QIP24" s="218"/>
      <c r="QIQ24" s="218"/>
      <c r="QIR24" s="218"/>
      <c r="QIS24" s="218"/>
      <c r="QIT24" s="218"/>
      <c r="QIU24" s="218"/>
      <c r="QIV24" s="218"/>
      <c r="QIW24" s="218"/>
      <c r="QIX24" s="218"/>
      <c r="QIY24" s="218"/>
      <c r="QIZ24" s="218"/>
      <c r="QJA24" s="218"/>
      <c r="QJB24" s="218"/>
      <c r="QJC24" s="218"/>
      <c r="QJD24" s="218"/>
      <c r="QJE24" s="218"/>
      <c r="QJF24" s="218"/>
      <c r="QJG24" s="218"/>
      <c r="QJH24" s="218"/>
      <c r="QJI24" s="218"/>
      <c r="QJJ24" s="218"/>
      <c r="QJK24" s="218"/>
      <c r="QJL24" s="218"/>
      <c r="QJM24" s="218"/>
      <c r="QJN24" s="218"/>
      <c r="QJO24" s="218"/>
      <c r="QJP24" s="218"/>
      <c r="QJQ24" s="218"/>
      <c r="QJR24" s="218"/>
      <c r="QJS24" s="218"/>
      <c r="QJT24" s="218"/>
      <c r="QJU24" s="218"/>
      <c r="QJV24" s="218"/>
      <c r="QJW24" s="218"/>
      <c r="QJX24" s="218"/>
      <c r="QJY24" s="218"/>
      <c r="QJZ24" s="218"/>
      <c r="QKA24" s="218"/>
      <c r="QKB24" s="218"/>
      <c r="QKC24" s="218"/>
      <c r="QKD24" s="218"/>
      <c r="QKE24" s="218"/>
      <c r="QKF24" s="218"/>
      <c r="QKG24" s="218"/>
      <c r="QKH24" s="218"/>
      <c r="QKI24" s="218"/>
      <c r="QKJ24" s="218"/>
      <c r="QKK24" s="218"/>
      <c r="QKL24" s="218"/>
      <c r="QKM24" s="218"/>
      <c r="QKN24" s="218"/>
      <c r="QKO24" s="218"/>
      <c r="QKP24" s="218"/>
      <c r="QKQ24" s="218"/>
      <c r="QKR24" s="218"/>
      <c r="QKS24" s="218"/>
      <c r="QKT24" s="218"/>
      <c r="QKU24" s="218"/>
      <c r="QKV24" s="218"/>
      <c r="QKW24" s="218"/>
      <c r="QKX24" s="218"/>
      <c r="QKY24" s="218"/>
      <c r="QKZ24" s="218"/>
      <c r="QLA24" s="218"/>
      <c r="QLB24" s="218"/>
      <c r="QLC24" s="218"/>
      <c r="QLD24" s="218"/>
      <c r="QLE24" s="218"/>
      <c r="QLF24" s="218"/>
      <c r="QLG24" s="218"/>
      <c r="QLH24" s="218"/>
      <c r="QLI24" s="218"/>
      <c r="QLJ24" s="218"/>
      <c r="QLK24" s="218"/>
      <c r="QLL24" s="218"/>
      <c r="QLM24" s="218"/>
      <c r="QLN24" s="218"/>
      <c r="QLO24" s="218"/>
      <c r="QLP24" s="218"/>
      <c r="QLQ24" s="218"/>
      <c r="QLR24" s="218"/>
      <c r="QLS24" s="218"/>
      <c r="QLT24" s="218"/>
      <c r="QLU24" s="218"/>
      <c r="QLV24" s="218"/>
      <c r="QLW24" s="218"/>
      <c r="QLX24" s="218"/>
      <c r="QLY24" s="218"/>
      <c r="QLZ24" s="218"/>
      <c r="QMA24" s="218"/>
      <c r="QMB24" s="218"/>
      <c r="QMC24" s="218"/>
      <c r="QMD24" s="218"/>
      <c r="QME24" s="218"/>
      <c r="QMF24" s="218"/>
      <c r="QMG24" s="218"/>
      <c r="QMH24" s="218"/>
      <c r="QMI24" s="218"/>
      <c r="QMJ24" s="218"/>
      <c r="QMK24" s="218"/>
      <c r="QML24" s="218"/>
      <c r="QMM24" s="218"/>
      <c r="QMN24" s="218"/>
      <c r="QMO24" s="218"/>
      <c r="QMP24" s="218"/>
      <c r="QMQ24" s="218"/>
      <c r="QMR24" s="218"/>
      <c r="QMS24" s="218"/>
      <c r="QMT24" s="218"/>
      <c r="QMU24" s="218"/>
      <c r="QMV24" s="218"/>
      <c r="QMW24" s="218"/>
      <c r="QMX24" s="218"/>
      <c r="QMY24" s="218"/>
      <c r="QMZ24" s="218"/>
      <c r="QNA24" s="218"/>
      <c r="QNB24" s="218"/>
      <c r="QNC24" s="218"/>
      <c r="QND24" s="218"/>
      <c r="QNE24" s="218"/>
      <c r="QNF24" s="218"/>
      <c r="QNG24" s="218"/>
      <c r="QNH24" s="218"/>
      <c r="QNI24" s="218"/>
      <c r="QNJ24" s="218"/>
      <c r="QNK24" s="218"/>
      <c r="QNL24" s="218"/>
      <c r="QNM24" s="218"/>
      <c r="QNN24" s="218"/>
      <c r="QNO24" s="218"/>
      <c r="QNP24" s="218"/>
      <c r="QNQ24" s="218"/>
      <c r="QNR24" s="218"/>
      <c r="QNS24" s="218"/>
      <c r="QNT24" s="218"/>
      <c r="QNU24" s="218"/>
      <c r="QNV24" s="218"/>
      <c r="QNW24" s="218"/>
      <c r="QNX24" s="218"/>
      <c r="QNY24" s="218"/>
      <c r="QNZ24" s="218"/>
      <c r="QOA24" s="218"/>
      <c r="QOB24" s="218"/>
      <c r="QOC24" s="218"/>
      <c r="QOD24" s="218"/>
      <c r="QOE24" s="218"/>
      <c r="QOF24" s="218"/>
      <c r="QOG24" s="218"/>
      <c r="QOH24" s="218"/>
      <c r="QOI24" s="218"/>
      <c r="QOJ24" s="218"/>
      <c r="QOK24" s="218"/>
      <c r="QOL24" s="218"/>
      <c r="QOM24" s="218"/>
      <c r="QON24" s="218"/>
      <c r="QOO24" s="218"/>
      <c r="QOP24" s="218"/>
      <c r="QOQ24" s="218"/>
      <c r="QOR24" s="218"/>
      <c r="QOS24" s="218"/>
      <c r="QOT24" s="218"/>
      <c r="QOU24" s="218"/>
      <c r="QOV24" s="218"/>
      <c r="QOW24" s="218"/>
      <c r="QOX24" s="218"/>
      <c r="QOY24" s="218"/>
      <c r="QOZ24" s="218"/>
      <c r="QPA24" s="218"/>
      <c r="QPB24" s="218"/>
      <c r="QPC24" s="218"/>
      <c r="QPD24" s="218"/>
      <c r="QPE24" s="218"/>
      <c r="QPF24" s="218"/>
      <c r="QPG24" s="218"/>
      <c r="QPH24" s="218"/>
      <c r="QPI24" s="218"/>
      <c r="QPJ24" s="218"/>
      <c r="QPK24" s="218"/>
      <c r="QPL24" s="218"/>
      <c r="QPM24" s="218"/>
      <c r="QPN24" s="218"/>
      <c r="QPO24" s="218"/>
      <c r="QPP24" s="218"/>
      <c r="QPQ24" s="218"/>
      <c r="QPR24" s="218"/>
      <c r="QPS24" s="218"/>
      <c r="QPT24" s="218"/>
      <c r="QPU24" s="218"/>
      <c r="QPV24" s="218"/>
      <c r="QPW24" s="218"/>
      <c r="QPX24" s="218"/>
      <c r="QPY24" s="218"/>
      <c r="QPZ24" s="218"/>
      <c r="QQA24" s="218"/>
      <c r="QQB24" s="218"/>
      <c r="QQC24" s="218"/>
      <c r="QQD24" s="218"/>
      <c r="QQE24" s="218"/>
      <c r="QQF24" s="218"/>
      <c r="QQG24" s="218"/>
      <c r="QQH24" s="218"/>
      <c r="QQI24" s="218"/>
      <c r="QQJ24" s="218"/>
      <c r="QQK24" s="218"/>
      <c r="QQL24" s="218"/>
      <c r="QQM24" s="218"/>
      <c r="QQN24" s="218"/>
      <c r="QQO24" s="218"/>
      <c r="QQP24" s="218"/>
      <c r="QQQ24" s="218"/>
      <c r="QQR24" s="218"/>
      <c r="QQS24" s="218"/>
      <c r="QQT24" s="218"/>
      <c r="QQU24" s="218"/>
      <c r="QQV24" s="218"/>
      <c r="QQW24" s="218"/>
      <c r="QQX24" s="218"/>
      <c r="QQY24" s="218"/>
      <c r="QQZ24" s="218"/>
      <c r="QRA24" s="218"/>
      <c r="QRB24" s="218"/>
      <c r="QRC24" s="218"/>
      <c r="QRD24" s="218"/>
      <c r="QRE24" s="218"/>
      <c r="QRF24" s="218"/>
      <c r="QRG24" s="218"/>
      <c r="QRH24" s="218"/>
      <c r="QRI24" s="218"/>
      <c r="QRJ24" s="218"/>
      <c r="QRK24" s="218"/>
      <c r="QRL24" s="218"/>
      <c r="QRM24" s="218"/>
      <c r="QRN24" s="218"/>
      <c r="QRO24" s="218"/>
      <c r="QRP24" s="218"/>
      <c r="QRQ24" s="218"/>
      <c r="QRR24" s="218"/>
      <c r="QRS24" s="218"/>
      <c r="QRT24" s="218"/>
      <c r="QRU24" s="218"/>
      <c r="QRV24" s="218"/>
      <c r="QRW24" s="218"/>
      <c r="QRX24" s="218"/>
      <c r="QRY24" s="218"/>
      <c r="QRZ24" s="218"/>
      <c r="QSA24" s="218"/>
      <c r="QSB24" s="218"/>
      <c r="QSC24" s="218"/>
      <c r="QSD24" s="218"/>
      <c r="QSE24" s="218"/>
      <c r="QSF24" s="218"/>
      <c r="QSG24" s="218"/>
      <c r="QSH24" s="218"/>
      <c r="QSI24" s="218"/>
      <c r="QSJ24" s="218"/>
      <c r="QSK24" s="218"/>
      <c r="QSL24" s="218"/>
      <c r="QSM24" s="218"/>
      <c r="QSN24" s="218"/>
      <c r="QSO24" s="218"/>
      <c r="QSP24" s="218"/>
      <c r="QSQ24" s="218"/>
      <c r="QSR24" s="218"/>
      <c r="QSS24" s="218"/>
      <c r="QST24" s="218"/>
      <c r="QSU24" s="218"/>
      <c r="QSV24" s="218"/>
      <c r="QSW24" s="218"/>
      <c r="QSX24" s="218"/>
      <c r="QSY24" s="218"/>
      <c r="QSZ24" s="218"/>
      <c r="QTA24" s="218"/>
      <c r="QTB24" s="218"/>
      <c r="QTC24" s="218"/>
      <c r="QTD24" s="218"/>
      <c r="QTE24" s="218"/>
      <c r="QTF24" s="218"/>
      <c r="QTG24" s="218"/>
      <c r="QTH24" s="218"/>
      <c r="QTI24" s="218"/>
      <c r="QTJ24" s="218"/>
      <c r="QTK24" s="218"/>
      <c r="QTL24" s="218"/>
      <c r="QTM24" s="218"/>
      <c r="QTN24" s="218"/>
      <c r="QTO24" s="218"/>
      <c r="QTP24" s="218"/>
      <c r="QTQ24" s="218"/>
      <c r="QTR24" s="218"/>
      <c r="QTS24" s="218"/>
      <c r="QTT24" s="218"/>
      <c r="QTU24" s="218"/>
      <c r="QTV24" s="218"/>
      <c r="QTW24" s="218"/>
      <c r="QTX24" s="218"/>
      <c r="QTY24" s="218"/>
      <c r="QTZ24" s="218"/>
      <c r="QUA24" s="218"/>
      <c r="QUB24" s="218"/>
      <c r="QUC24" s="218"/>
      <c r="QUD24" s="218"/>
      <c r="QUE24" s="218"/>
      <c r="QUF24" s="218"/>
      <c r="QUG24" s="218"/>
      <c r="QUH24" s="218"/>
      <c r="QUI24" s="218"/>
      <c r="QUJ24" s="218"/>
      <c r="QUK24" s="218"/>
      <c r="QUL24" s="218"/>
      <c r="QUM24" s="218"/>
      <c r="QUN24" s="218"/>
      <c r="QUO24" s="218"/>
      <c r="QUP24" s="218"/>
      <c r="QUQ24" s="218"/>
      <c r="QUR24" s="218"/>
      <c r="QUS24" s="218"/>
      <c r="QUT24" s="218"/>
      <c r="QUU24" s="218"/>
      <c r="QUV24" s="218"/>
      <c r="QUW24" s="218"/>
      <c r="QUX24" s="218"/>
      <c r="QUY24" s="218"/>
      <c r="QUZ24" s="218"/>
      <c r="QVA24" s="218"/>
      <c r="QVB24" s="218"/>
      <c r="QVC24" s="218"/>
      <c r="QVD24" s="218"/>
      <c r="QVE24" s="218"/>
      <c r="QVF24" s="218"/>
      <c r="QVG24" s="218"/>
      <c r="QVH24" s="218"/>
      <c r="QVI24" s="218"/>
      <c r="QVJ24" s="218"/>
      <c r="QVK24" s="218"/>
      <c r="QVL24" s="218"/>
      <c r="QVM24" s="218"/>
      <c r="QVN24" s="218"/>
      <c r="QVO24" s="218"/>
      <c r="QVP24" s="218"/>
      <c r="QVQ24" s="218"/>
      <c r="QVR24" s="218"/>
      <c r="QVS24" s="218"/>
      <c r="QVT24" s="218"/>
      <c r="QVU24" s="218"/>
      <c r="QVV24" s="218"/>
      <c r="QVW24" s="218"/>
      <c r="QVX24" s="218"/>
      <c r="QVY24" s="218"/>
      <c r="QVZ24" s="218"/>
      <c r="QWA24" s="218"/>
      <c r="QWB24" s="218"/>
      <c r="QWC24" s="218"/>
      <c r="QWD24" s="218"/>
      <c r="QWE24" s="218"/>
      <c r="QWF24" s="218"/>
      <c r="QWG24" s="218"/>
      <c r="QWH24" s="218"/>
      <c r="QWI24" s="218"/>
      <c r="QWJ24" s="218"/>
      <c r="QWK24" s="218"/>
      <c r="QWL24" s="218"/>
      <c r="QWM24" s="218"/>
      <c r="QWN24" s="218"/>
      <c r="QWO24" s="218"/>
      <c r="QWP24" s="218"/>
      <c r="QWQ24" s="218"/>
      <c r="QWR24" s="218"/>
      <c r="QWS24" s="218"/>
      <c r="QWT24" s="218"/>
      <c r="QWU24" s="218"/>
      <c r="QWV24" s="218"/>
      <c r="QWW24" s="218"/>
      <c r="QWX24" s="218"/>
      <c r="QWY24" s="218"/>
      <c r="QWZ24" s="218"/>
      <c r="QXA24" s="218"/>
      <c r="QXB24" s="218"/>
      <c r="QXC24" s="218"/>
      <c r="QXD24" s="218"/>
      <c r="QXE24" s="218"/>
      <c r="QXF24" s="218"/>
      <c r="QXG24" s="218"/>
      <c r="QXH24" s="218"/>
      <c r="QXI24" s="218"/>
      <c r="QXJ24" s="218"/>
      <c r="QXK24" s="218"/>
      <c r="QXL24" s="218"/>
      <c r="QXM24" s="218"/>
      <c r="QXN24" s="218"/>
      <c r="QXO24" s="218"/>
      <c r="QXP24" s="218"/>
      <c r="QXQ24" s="218"/>
      <c r="QXR24" s="218"/>
      <c r="QXS24" s="218"/>
      <c r="QXT24" s="218"/>
      <c r="QXU24" s="218"/>
      <c r="QXV24" s="218"/>
      <c r="QXW24" s="218"/>
      <c r="QXX24" s="218"/>
      <c r="QXY24" s="218"/>
      <c r="QXZ24" s="218"/>
      <c r="QYA24" s="218"/>
      <c r="QYB24" s="218"/>
      <c r="QYC24" s="218"/>
      <c r="QYD24" s="218"/>
      <c r="QYE24" s="218"/>
      <c r="QYF24" s="218"/>
      <c r="QYG24" s="218"/>
      <c r="QYH24" s="218"/>
      <c r="QYI24" s="218"/>
      <c r="QYJ24" s="218"/>
      <c r="QYK24" s="218"/>
      <c r="QYL24" s="218"/>
      <c r="QYM24" s="218"/>
      <c r="QYN24" s="218"/>
      <c r="QYO24" s="218"/>
      <c r="QYP24" s="218"/>
      <c r="QYQ24" s="218"/>
      <c r="QYR24" s="218"/>
      <c r="QYS24" s="218"/>
      <c r="QYT24" s="218"/>
      <c r="QYU24" s="218"/>
      <c r="QYV24" s="218"/>
      <c r="QYW24" s="218"/>
      <c r="QYX24" s="218"/>
      <c r="QYY24" s="218"/>
      <c r="QYZ24" s="218"/>
      <c r="QZA24" s="218"/>
      <c r="QZB24" s="218"/>
      <c r="QZC24" s="218"/>
      <c r="QZD24" s="218"/>
      <c r="QZE24" s="218"/>
      <c r="QZF24" s="218"/>
      <c r="QZG24" s="218"/>
      <c r="QZH24" s="218"/>
      <c r="QZI24" s="218"/>
      <c r="QZJ24" s="218"/>
      <c r="QZK24" s="218"/>
      <c r="QZL24" s="218"/>
      <c r="QZM24" s="218"/>
      <c r="QZN24" s="218"/>
      <c r="QZO24" s="218"/>
      <c r="QZP24" s="218"/>
      <c r="QZQ24" s="218"/>
      <c r="QZR24" s="218"/>
      <c r="QZS24" s="218"/>
      <c r="QZT24" s="218"/>
      <c r="QZU24" s="218"/>
      <c r="QZV24" s="218"/>
      <c r="QZW24" s="218"/>
      <c r="QZX24" s="218"/>
      <c r="QZY24" s="218"/>
      <c r="QZZ24" s="218"/>
      <c r="RAA24" s="218"/>
      <c r="RAB24" s="218"/>
      <c r="RAC24" s="218"/>
      <c r="RAD24" s="218"/>
      <c r="RAE24" s="218"/>
      <c r="RAF24" s="218"/>
      <c r="RAG24" s="218"/>
      <c r="RAH24" s="218"/>
      <c r="RAI24" s="218"/>
      <c r="RAJ24" s="218"/>
      <c r="RAK24" s="218"/>
      <c r="RAL24" s="218"/>
      <c r="RAM24" s="218"/>
      <c r="RAN24" s="218"/>
      <c r="RAO24" s="218"/>
      <c r="RAP24" s="218"/>
      <c r="RAQ24" s="218"/>
      <c r="RAR24" s="218"/>
      <c r="RAS24" s="218"/>
      <c r="RAT24" s="218"/>
      <c r="RAU24" s="218"/>
      <c r="RAV24" s="218"/>
      <c r="RAW24" s="218"/>
      <c r="RAX24" s="218"/>
      <c r="RAY24" s="218"/>
      <c r="RAZ24" s="218"/>
      <c r="RBA24" s="218"/>
      <c r="RBB24" s="218"/>
      <c r="RBC24" s="218"/>
      <c r="RBD24" s="218"/>
      <c r="RBE24" s="218"/>
      <c r="RBF24" s="218"/>
      <c r="RBG24" s="218"/>
      <c r="RBH24" s="218"/>
      <c r="RBI24" s="218"/>
      <c r="RBJ24" s="218"/>
      <c r="RBK24" s="218"/>
      <c r="RBL24" s="218"/>
      <c r="RBM24" s="218"/>
      <c r="RBN24" s="218"/>
      <c r="RBO24" s="218"/>
      <c r="RBP24" s="218"/>
      <c r="RBQ24" s="218"/>
      <c r="RBR24" s="218"/>
      <c r="RBS24" s="218"/>
      <c r="RBT24" s="218"/>
      <c r="RBU24" s="218"/>
      <c r="RBV24" s="218"/>
      <c r="RBW24" s="218"/>
      <c r="RBX24" s="218"/>
      <c r="RBY24" s="218"/>
      <c r="RBZ24" s="218"/>
      <c r="RCA24" s="218"/>
      <c r="RCB24" s="218"/>
      <c r="RCC24" s="218"/>
      <c r="RCD24" s="218"/>
      <c r="RCE24" s="218"/>
      <c r="RCF24" s="218"/>
      <c r="RCG24" s="218"/>
      <c r="RCH24" s="218"/>
      <c r="RCI24" s="218"/>
      <c r="RCJ24" s="218"/>
      <c r="RCK24" s="218"/>
      <c r="RCL24" s="218"/>
      <c r="RCM24" s="218"/>
      <c r="RCN24" s="218"/>
      <c r="RCO24" s="218"/>
      <c r="RCP24" s="218"/>
      <c r="RCQ24" s="218"/>
      <c r="RCR24" s="218"/>
      <c r="RCS24" s="218"/>
      <c r="RCT24" s="218"/>
      <c r="RCU24" s="218"/>
      <c r="RCV24" s="218"/>
      <c r="RCW24" s="218"/>
      <c r="RCX24" s="218"/>
      <c r="RCY24" s="218"/>
      <c r="RCZ24" s="218"/>
      <c r="RDA24" s="218"/>
      <c r="RDB24" s="218"/>
      <c r="RDC24" s="218"/>
      <c r="RDD24" s="218"/>
      <c r="RDE24" s="218"/>
      <c r="RDF24" s="218"/>
      <c r="RDG24" s="218"/>
      <c r="RDH24" s="218"/>
      <c r="RDI24" s="218"/>
      <c r="RDJ24" s="218"/>
      <c r="RDK24" s="218"/>
      <c r="RDL24" s="218"/>
      <c r="RDM24" s="218"/>
      <c r="RDN24" s="218"/>
      <c r="RDO24" s="218"/>
      <c r="RDP24" s="218"/>
      <c r="RDQ24" s="218"/>
      <c r="RDR24" s="218"/>
      <c r="RDS24" s="218"/>
      <c r="RDT24" s="218"/>
      <c r="RDU24" s="218"/>
      <c r="RDV24" s="218"/>
      <c r="RDW24" s="218"/>
      <c r="RDX24" s="218"/>
      <c r="RDY24" s="218"/>
      <c r="RDZ24" s="218"/>
      <c r="REA24" s="218"/>
      <c r="REB24" s="218"/>
      <c r="REC24" s="218"/>
      <c r="RED24" s="218"/>
      <c r="REE24" s="218"/>
      <c r="REF24" s="218"/>
      <c r="REG24" s="218"/>
      <c r="REH24" s="218"/>
      <c r="REI24" s="218"/>
      <c r="REJ24" s="218"/>
      <c r="REK24" s="218"/>
      <c r="REL24" s="218"/>
      <c r="REM24" s="218"/>
      <c r="REN24" s="218"/>
      <c r="REO24" s="218"/>
      <c r="REP24" s="218"/>
      <c r="REQ24" s="218"/>
      <c r="RER24" s="218"/>
      <c r="RES24" s="218"/>
      <c r="RET24" s="218"/>
      <c r="REU24" s="218"/>
      <c r="REV24" s="218"/>
      <c r="REW24" s="218"/>
      <c r="REX24" s="218"/>
      <c r="REY24" s="218"/>
      <c r="REZ24" s="218"/>
      <c r="RFA24" s="218"/>
      <c r="RFB24" s="218"/>
      <c r="RFC24" s="218"/>
      <c r="RFD24" s="218"/>
      <c r="RFE24" s="218"/>
      <c r="RFF24" s="218"/>
      <c r="RFG24" s="218"/>
      <c r="RFH24" s="218"/>
      <c r="RFI24" s="218"/>
      <c r="RFJ24" s="218"/>
      <c r="RFK24" s="218"/>
      <c r="RFL24" s="218"/>
      <c r="RFM24" s="218"/>
      <c r="RFN24" s="218"/>
      <c r="RFO24" s="218"/>
      <c r="RFP24" s="218"/>
      <c r="RFQ24" s="218"/>
      <c r="RFR24" s="218"/>
      <c r="RFS24" s="218"/>
      <c r="RFT24" s="218"/>
      <c r="RFU24" s="218"/>
      <c r="RFV24" s="218"/>
      <c r="RFW24" s="218"/>
      <c r="RFX24" s="218"/>
      <c r="RFY24" s="218"/>
      <c r="RFZ24" s="218"/>
      <c r="RGA24" s="218"/>
      <c r="RGB24" s="218"/>
      <c r="RGC24" s="218"/>
      <c r="RGD24" s="218"/>
      <c r="RGE24" s="218"/>
      <c r="RGF24" s="218"/>
      <c r="RGG24" s="218"/>
      <c r="RGH24" s="218"/>
      <c r="RGI24" s="218"/>
      <c r="RGJ24" s="218"/>
      <c r="RGK24" s="218"/>
      <c r="RGL24" s="218"/>
      <c r="RGM24" s="218"/>
      <c r="RGN24" s="218"/>
      <c r="RGO24" s="218"/>
      <c r="RGP24" s="218"/>
      <c r="RGQ24" s="218"/>
      <c r="RGR24" s="218"/>
      <c r="RGS24" s="218"/>
      <c r="RGT24" s="218"/>
      <c r="RGU24" s="218"/>
      <c r="RGV24" s="218"/>
      <c r="RGW24" s="218"/>
      <c r="RGX24" s="218"/>
      <c r="RGY24" s="218"/>
      <c r="RGZ24" s="218"/>
      <c r="RHA24" s="218"/>
      <c r="RHB24" s="218"/>
      <c r="RHC24" s="218"/>
      <c r="RHD24" s="218"/>
      <c r="RHE24" s="218"/>
      <c r="RHF24" s="218"/>
      <c r="RHG24" s="218"/>
      <c r="RHH24" s="218"/>
      <c r="RHI24" s="218"/>
      <c r="RHJ24" s="218"/>
      <c r="RHK24" s="218"/>
      <c r="RHL24" s="218"/>
      <c r="RHM24" s="218"/>
      <c r="RHN24" s="218"/>
      <c r="RHO24" s="218"/>
      <c r="RHP24" s="218"/>
      <c r="RHQ24" s="218"/>
      <c r="RHR24" s="218"/>
      <c r="RHS24" s="218"/>
      <c r="RHT24" s="218"/>
      <c r="RHU24" s="218"/>
      <c r="RHV24" s="218"/>
      <c r="RHW24" s="218"/>
      <c r="RHX24" s="218"/>
      <c r="RHY24" s="218"/>
      <c r="RHZ24" s="218"/>
      <c r="RIA24" s="218"/>
      <c r="RIB24" s="218"/>
      <c r="RIC24" s="218"/>
      <c r="RID24" s="218"/>
      <c r="RIE24" s="218"/>
      <c r="RIF24" s="218"/>
      <c r="RIG24" s="218"/>
      <c r="RIH24" s="218"/>
      <c r="RII24" s="218"/>
      <c r="RIJ24" s="218"/>
      <c r="RIK24" s="218"/>
      <c r="RIL24" s="218"/>
      <c r="RIM24" s="218"/>
      <c r="RIN24" s="218"/>
      <c r="RIO24" s="218"/>
      <c r="RIP24" s="218"/>
      <c r="RIQ24" s="218"/>
      <c r="RIR24" s="218"/>
      <c r="RIS24" s="218"/>
      <c r="RIT24" s="218"/>
      <c r="RIU24" s="218"/>
      <c r="RIV24" s="218"/>
      <c r="RIW24" s="218"/>
      <c r="RIX24" s="218"/>
      <c r="RIY24" s="218"/>
      <c r="RIZ24" s="218"/>
      <c r="RJA24" s="218"/>
      <c r="RJB24" s="218"/>
      <c r="RJC24" s="218"/>
      <c r="RJD24" s="218"/>
      <c r="RJE24" s="218"/>
      <c r="RJF24" s="218"/>
      <c r="RJG24" s="218"/>
      <c r="RJH24" s="218"/>
      <c r="RJI24" s="218"/>
      <c r="RJJ24" s="218"/>
      <c r="RJK24" s="218"/>
      <c r="RJL24" s="218"/>
      <c r="RJM24" s="218"/>
      <c r="RJN24" s="218"/>
      <c r="RJO24" s="218"/>
      <c r="RJP24" s="218"/>
      <c r="RJQ24" s="218"/>
      <c r="RJR24" s="218"/>
      <c r="RJS24" s="218"/>
      <c r="RJT24" s="218"/>
      <c r="RJU24" s="218"/>
      <c r="RJV24" s="218"/>
      <c r="RJW24" s="218"/>
      <c r="RJX24" s="218"/>
      <c r="RJY24" s="218"/>
      <c r="RJZ24" s="218"/>
      <c r="RKA24" s="218"/>
      <c r="RKB24" s="218"/>
      <c r="RKC24" s="218"/>
      <c r="RKD24" s="218"/>
      <c r="RKE24" s="218"/>
      <c r="RKF24" s="218"/>
      <c r="RKG24" s="218"/>
      <c r="RKH24" s="218"/>
      <c r="RKI24" s="218"/>
      <c r="RKJ24" s="218"/>
      <c r="RKK24" s="218"/>
      <c r="RKL24" s="218"/>
      <c r="RKM24" s="218"/>
      <c r="RKN24" s="218"/>
      <c r="RKO24" s="218"/>
      <c r="RKP24" s="218"/>
      <c r="RKQ24" s="218"/>
      <c r="RKR24" s="218"/>
      <c r="RKS24" s="218"/>
      <c r="RKT24" s="218"/>
      <c r="RKU24" s="218"/>
      <c r="RKV24" s="218"/>
      <c r="RKW24" s="218"/>
      <c r="RKX24" s="218"/>
      <c r="RKY24" s="218"/>
      <c r="RKZ24" s="218"/>
      <c r="RLA24" s="218"/>
      <c r="RLB24" s="218"/>
      <c r="RLC24" s="218"/>
      <c r="RLD24" s="218"/>
      <c r="RLE24" s="218"/>
      <c r="RLF24" s="218"/>
      <c r="RLG24" s="218"/>
      <c r="RLH24" s="218"/>
      <c r="RLI24" s="218"/>
      <c r="RLJ24" s="218"/>
      <c r="RLK24" s="218"/>
      <c r="RLL24" s="218"/>
      <c r="RLM24" s="218"/>
      <c r="RLN24" s="218"/>
      <c r="RLO24" s="218"/>
      <c r="RLP24" s="218"/>
      <c r="RLQ24" s="218"/>
      <c r="RLR24" s="218"/>
      <c r="RLS24" s="218"/>
      <c r="RLT24" s="218"/>
      <c r="RLU24" s="218"/>
      <c r="RLV24" s="218"/>
      <c r="RLW24" s="218"/>
      <c r="RLX24" s="218"/>
      <c r="RLY24" s="218"/>
      <c r="RLZ24" s="218"/>
      <c r="RMA24" s="218"/>
      <c r="RMB24" s="218"/>
      <c r="RMC24" s="218"/>
      <c r="RMD24" s="218"/>
      <c r="RME24" s="218"/>
      <c r="RMF24" s="218"/>
      <c r="RMG24" s="218"/>
      <c r="RMH24" s="218"/>
      <c r="RMI24" s="218"/>
      <c r="RMJ24" s="218"/>
      <c r="RMK24" s="218"/>
      <c r="RML24" s="218"/>
      <c r="RMM24" s="218"/>
      <c r="RMN24" s="218"/>
      <c r="RMO24" s="218"/>
      <c r="RMP24" s="218"/>
      <c r="RMQ24" s="218"/>
      <c r="RMR24" s="218"/>
      <c r="RMS24" s="218"/>
      <c r="RMT24" s="218"/>
      <c r="RMU24" s="218"/>
      <c r="RMV24" s="218"/>
      <c r="RMW24" s="218"/>
      <c r="RMX24" s="218"/>
      <c r="RMY24" s="218"/>
      <c r="RMZ24" s="218"/>
      <c r="RNA24" s="218"/>
      <c r="RNB24" s="218"/>
      <c r="RNC24" s="218"/>
      <c r="RND24" s="218"/>
      <c r="RNE24" s="218"/>
      <c r="RNF24" s="218"/>
      <c r="RNG24" s="218"/>
      <c r="RNH24" s="218"/>
      <c r="RNI24" s="218"/>
      <c r="RNJ24" s="218"/>
      <c r="RNK24" s="218"/>
      <c r="RNL24" s="218"/>
      <c r="RNM24" s="218"/>
      <c r="RNN24" s="218"/>
      <c r="RNO24" s="218"/>
      <c r="RNP24" s="218"/>
      <c r="RNQ24" s="218"/>
      <c r="RNR24" s="218"/>
      <c r="RNS24" s="218"/>
      <c r="RNT24" s="218"/>
      <c r="RNU24" s="218"/>
      <c r="RNV24" s="218"/>
      <c r="RNW24" s="218"/>
      <c r="RNX24" s="218"/>
      <c r="RNY24" s="218"/>
      <c r="RNZ24" s="218"/>
      <c r="ROA24" s="218"/>
      <c r="ROB24" s="218"/>
      <c r="ROC24" s="218"/>
      <c r="ROD24" s="218"/>
      <c r="ROE24" s="218"/>
      <c r="ROF24" s="218"/>
      <c r="ROG24" s="218"/>
      <c r="ROH24" s="218"/>
      <c r="ROI24" s="218"/>
      <c r="ROJ24" s="218"/>
      <c r="ROK24" s="218"/>
      <c r="ROL24" s="218"/>
      <c r="ROM24" s="218"/>
      <c r="RON24" s="218"/>
      <c r="ROO24" s="218"/>
      <c r="ROP24" s="218"/>
      <c r="ROQ24" s="218"/>
      <c r="ROR24" s="218"/>
      <c r="ROS24" s="218"/>
      <c r="ROT24" s="218"/>
      <c r="ROU24" s="218"/>
      <c r="ROV24" s="218"/>
      <c r="ROW24" s="218"/>
      <c r="ROX24" s="218"/>
      <c r="ROY24" s="218"/>
      <c r="ROZ24" s="218"/>
      <c r="RPA24" s="218"/>
      <c r="RPB24" s="218"/>
      <c r="RPC24" s="218"/>
      <c r="RPD24" s="218"/>
      <c r="RPE24" s="218"/>
      <c r="RPF24" s="218"/>
      <c r="RPG24" s="218"/>
      <c r="RPH24" s="218"/>
      <c r="RPI24" s="218"/>
      <c r="RPJ24" s="218"/>
      <c r="RPK24" s="218"/>
      <c r="RPL24" s="218"/>
      <c r="RPM24" s="218"/>
      <c r="RPN24" s="218"/>
      <c r="RPO24" s="218"/>
      <c r="RPP24" s="218"/>
      <c r="RPQ24" s="218"/>
      <c r="RPR24" s="218"/>
      <c r="RPS24" s="218"/>
      <c r="RPT24" s="218"/>
      <c r="RPU24" s="218"/>
      <c r="RPV24" s="218"/>
      <c r="RPW24" s="218"/>
      <c r="RPX24" s="218"/>
      <c r="RPY24" s="218"/>
      <c r="RPZ24" s="218"/>
      <c r="RQA24" s="218"/>
      <c r="RQB24" s="218"/>
      <c r="RQC24" s="218"/>
      <c r="RQD24" s="218"/>
      <c r="RQE24" s="218"/>
      <c r="RQF24" s="218"/>
      <c r="RQG24" s="218"/>
      <c r="RQH24" s="218"/>
      <c r="RQI24" s="218"/>
      <c r="RQJ24" s="218"/>
      <c r="RQK24" s="218"/>
      <c r="RQL24" s="218"/>
      <c r="RQM24" s="218"/>
      <c r="RQN24" s="218"/>
      <c r="RQO24" s="218"/>
      <c r="RQP24" s="218"/>
      <c r="RQQ24" s="218"/>
      <c r="RQR24" s="218"/>
      <c r="RQS24" s="218"/>
      <c r="RQT24" s="218"/>
      <c r="RQU24" s="218"/>
      <c r="RQV24" s="218"/>
      <c r="RQW24" s="218"/>
      <c r="RQX24" s="218"/>
      <c r="RQY24" s="218"/>
      <c r="RQZ24" s="218"/>
      <c r="RRA24" s="218"/>
      <c r="RRB24" s="218"/>
      <c r="RRC24" s="218"/>
      <c r="RRD24" s="218"/>
      <c r="RRE24" s="218"/>
      <c r="RRF24" s="218"/>
      <c r="RRG24" s="218"/>
      <c r="RRH24" s="218"/>
      <c r="RRI24" s="218"/>
      <c r="RRJ24" s="218"/>
      <c r="RRK24" s="218"/>
      <c r="RRL24" s="218"/>
      <c r="RRM24" s="218"/>
      <c r="RRN24" s="218"/>
      <c r="RRO24" s="218"/>
      <c r="RRP24" s="218"/>
      <c r="RRQ24" s="218"/>
      <c r="RRR24" s="218"/>
      <c r="RRS24" s="218"/>
      <c r="RRT24" s="218"/>
      <c r="RRU24" s="218"/>
      <c r="RRV24" s="218"/>
      <c r="RRW24" s="218"/>
      <c r="RRX24" s="218"/>
      <c r="RRY24" s="218"/>
      <c r="RRZ24" s="218"/>
      <c r="RSA24" s="218"/>
      <c r="RSB24" s="218"/>
      <c r="RSC24" s="218"/>
      <c r="RSD24" s="218"/>
      <c r="RSE24" s="218"/>
      <c r="RSF24" s="218"/>
      <c r="RSG24" s="218"/>
      <c r="RSH24" s="218"/>
      <c r="RSI24" s="218"/>
      <c r="RSJ24" s="218"/>
      <c r="RSK24" s="218"/>
      <c r="RSL24" s="218"/>
      <c r="RSM24" s="218"/>
      <c r="RSN24" s="218"/>
      <c r="RSO24" s="218"/>
      <c r="RSP24" s="218"/>
      <c r="RSQ24" s="218"/>
      <c r="RSR24" s="218"/>
      <c r="RSS24" s="218"/>
      <c r="RST24" s="218"/>
      <c r="RSU24" s="218"/>
      <c r="RSV24" s="218"/>
      <c r="RSW24" s="218"/>
      <c r="RSX24" s="218"/>
      <c r="RSY24" s="218"/>
      <c r="RSZ24" s="218"/>
      <c r="RTA24" s="218"/>
      <c r="RTB24" s="218"/>
      <c r="RTC24" s="218"/>
      <c r="RTD24" s="218"/>
      <c r="RTE24" s="218"/>
      <c r="RTF24" s="218"/>
      <c r="RTG24" s="218"/>
      <c r="RTH24" s="218"/>
      <c r="RTI24" s="218"/>
      <c r="RTJ24" s="218"/>
      <c r="RTK24" s="218"/>
      <c r="RTL24" s="218"/>
      <c r="RTM24" s="218"/>
      <c r="RTN24" s="218"/>
      <c r="RTO24" s="218"/>
      <c r="RTP24" s="218"/>
      <c r="RTQ24" s="218"/>
      <c r="RTR24" s="218"/>
      <c r="RTS24" s="218"/>
      <c r="RTT24" s="218"/>
      <c r="RTU24" s="218"/>
      <c r="RTV24" s="218"/>
      <c r="RTW24" s="218"/>
      <c r="RTX24" s="218"/>
      <c r="RTY24" s="218"/>
      <c r="RTZ24" s="218"/>
      <c r="RUA24" s="218"/>
      <c r="RUB24" s="218"/>
      <c r="RUC24" s="218"/>
      <c r="RUD24" s="218"/>
      <c r="RUE24" s="218"/>
      <c r="RUF24" s="218"/>
      <c r="RUG24" s="218"/>
      <c r="RUH24" s="218"/>
      <c r="RUI24" s="218"/>
      <c r="RUJ24" s="218"/>
      <c r="RUK24" s="218"/>
      <c r="RUL24" s="218"/>
      <c r="RUM24" s="218"/>
      <c r="RUN24" s="218"/>
      <c r="RUO24" s="218"/>
      <c r="RUP24" s="218"/>
      <c r="RUQ24" s="218"/>
      <c r="RUR24" s="218"/>
      <c r="RUS24" s="218"/>
      <c r="RUT24" s="218"/>
      <c r="RUU24" s="218"/>
      <c r="RUV24" s="218"/>
      <c r="RUW24" s="218"/>
      <c r="RUX24" s="218"/>
      <c r="RUY24" s="218"/>
      <c r="RUZ24" s="218"/>
      <c r="RVA24" s="218"/>
      <c r="RVB24" s="218"/>
      <c r="RVC24" s="218"/>
      <c r="RVD24" s="218"/>
      <c r="RVE24" s="218"/>
      <c r="RVF24" s="218"/>
      <c r="RVG24" s="218"/>
      <c r="RVH24" s="218"/>
      <c r="RVI24" s="218"/>
      <c r="RVJ24" s="218"/>
      <c r="RVK24" s="218"/>
      <c r="RVL24" s="218"/>
      <c r="RVM24" s="218"/>
      <c r="RVN24" s="218"/>
      <c r="RVO24" s="218"/>
      <c r="RVP24" s="218"/>
      <c r="RVQ24" s="218"/>
      <c r="RVR24" s="218"/>
      <c r="RVS24" s="218"/>
      <c r="RVT24" s="218"/>
      <c r="RVU24" s="218"/>
      <c r="RVV24" s="218"/>
      <c r="RVW24" s="218"/>
      <c r="RVX24" s="218"/>
      <c r="RVY24" s="218"/>
      <c r="RVZ24" s="218"/>
      <c r="RWA24" s="218"/>
      <c r="RWB24" s="218"/>
      <c r="RWC24" s="218"/>
      <c r="RWD24" s="218"/>
      <c r="RWE24" s="218"/>
      <c r="RWF24" s="218"/>
      <c r="RWG24" s="218"/>
      <c r="RWH24" s="218"/>
      <c r="RWI24" s="218"/>
      <c r="RWJ24" s="218"/>
      <c r="RWK24" s="218"/>
      <c r="RWL24" s="218"/>
      <c r="RWM24" s="218"/>
      <c r="RWN24" s="218"/>
      <c r="RWO24" s="218"/>
      <c r="RWP24" s="218"/>
      <c r="RWQ24" s="218"/>
      <c r="RWR24" s="218"/>
      <c r="RWS24" s="218"/>
      <c r="RWT24" s="218"/>
      <c r="RWU24" s="218"/>
      <c r="RWV24" s="218"/>
      <c r="RWW24" s="218"/>
      <c r="RWX24" s="218"/>
      <c r="RWY24" s="218"/>
      <c r="RWZ24" s="218"/>
      <c r="RXA24" s="218"/>
      <c r="RXB24" s="218"/>
      <c r="RXC24" s="218"/>
      <c r="RXD24" s="218"/>
      <c r="RXE24" s="218"/>
      <c r="RXF24" s="218"/>
      <c r="RXG24" s="218"/>
      <c r="RXH24" s="218"/>
      <c r="RXI24" s="218"/>
      <c r="RXJ24" s="218"/>
      <c r="RXK24" s="218"/>
      <c r="RXL24" s="218"/>
      <c r="RXM24" s="218"/>
      <c r="RXN24" s="218"/>
      <c r="RXO24" s="218"/>
      <c r="RXP24" s="218"/>
      <c r="RXQ24" s="218"/>
      <c r="RXR24" s="218"/>
      <c r="RXS24" s="218"/>
      <c r="RXT24" s="218"/>
      <c r="RXU24" s="218"/>
      <c r="RXV24" s="218"/>
      <c r="RXW24" s="218"/>
      <c r="RXX24" s="218"/>
      <c r="RXY24" s="218"/>
      <c r="RXZ24" s="218"/>
      <c r="RYA24" s="218"/>
      <c r="RYB24" s="218"/>
      <c r="RYC24" s="218"/>
      <c r="RYD24" s="218"/>
      <c r="RYE24" s="218"/>
      <c r="RYF24" s="218"/>
      <c r="RYG24" s="218"/>
      <c r="RYH24" s="218"/>
      <c r="RYI24" s="218"/>
      <c r="RYJ24" s="218"/>
      <c r="RYK24" s="218"/>
      <c r="RYL24" s="218"/>
      <c r="RYM24" s="218"/>
      <c r="RYN24" s="218"/>
      <c r="RYO24" s="218"/>
      <c r="RYP24" s="218"/>
      <c r="RYQ24" s="218"/>
      <c r="RYR24" s="218"/>
      <c r="RYS24" s="218"/>
      <c r="RYT24" s="218"/>
      <c r="RYU24" s="218"/>
      <c r="RYV24" s="218"/>
      <c r="RYW24" s="218"/>
      <c r="RYX24" s="218"/>
      <c r="RYY24" s="218"/>
      <c r="RYZ24" s="218"/>
      <c r="RZA24" s="218"/>
      <c r="RZB24" s="218"/>
      <c r="RZC24" s="218"/>
      <c r="RZD24" s="218"/>
      <c r="RZE24" s="218"/>
      <c r="RZF24" s="218"/>
      <c r="RZG24" s="218"/>
      <c r="RZH24" s="218"/>
      <c r="RZI24" s="218"/>
      <c r="RZJ24" s="218"/>
      <c r="RZK24" s="218"/>
      <c r="RZL24" s="218"/>
      <c r="RZM24" s="218"/>
      <c r="RZN24" s="218"/>
      <c r="RZO24" s="218"/>
      <c r="RZP24" s="218"/>
      <c r="RZQ24" s="218"/>
      <c r="RZR24" s="218"/>
      <c r="RZS24" s="218"/>
      <c r="RZT24" s="218"/>
      <c r="RZU24" s="218"/>
      <c r="RZV24" s="218"/>
      <c r="RZW24" s="218"/>
      <c r="RZX24" s="218"/>
      <c r="RZY24" s="218"/>
      <c r="RZZ24" s="218"/>
      <c r="SAA24" s="218"/>
      <c r="SAB24" s="218"/>
      <c r="SAC24" s="218"/>
      <c r="SAD24" s="218"/>
      <c r="SAE24" s="218"/>
      <c r="SAF24" s="218"/>
      <c r="SAG24" s="218"/>
      <c r="SAH24" s="218"/>
      <c r="SAI24" s="218"/>
      <c r="SAJ24" s="218"/>
      <c r="SAK24" s="218"/>
      <c r="SAL24" s="218"/>
      <c r="SAM24" s="218"/>
      <c r="SAN24" s="218"/>
      <c r="SAO24" s="218"/>
      <c r="SAP24" s="218"/>
      <c r="SAQ24" s="218"/>
      <c r="SAR24" s="218"/>
      <c r="SAS24" s="218"/>
      <c r="SAT24" s="218"/>
      <c r="SAU24" s="218"/>
      <c r="SAV24" s="218"/>
      <c r="SAW24" s="218"/>
      <c r="SAX24" s="218"/>
      <c r="SAY24" s="218"/>
      <c r="SAZ24" s="218"/>
      <c r="SBA24" s="218"/>
      <c r="SBB24" s="218"/>
      <c r="SBC24" s="218"/>
      <c r="SBD24" s="218"/>
      <c r="SBE24" s="218"/>
      <c r="SBF24" s="218"/>
      <c r="SBG24" s="218"/>
      <c r="SBH24" s="218"/>
      <c r="SBI24" s="218"/>
      <c r="SBJ24" s="218"/>
      <c r="SBK24" s="218"/>
      <c r="SBL24" s="218"/>
      <c r="SBM24" s="218"/>
      <c r="SBN24" s="218"/>
      <c r="SBO24" s="218"/>
      <c r="SBP24" s="218"/>
      <c r="SBQ24" s="218"/>
      <c r="SBR24" s="218"/>
      <c r="SBS24" s="218"/>
      <c r="SBT24" s="218"/>
      <c r="SBU24" s="218"/>
      <c r="SBV24" s="218"/>
      <c r="SBW24" s="218"/>
      <c r="SBX24" s="218"/>
      <c r="SBY24" s="218"/>
      <c r="SBZ24" s="218"/>
      <c r="SCA24" s="218"/>
      <c r="SCB24" s="218"/>
      <c r="SCC24" s="218"/>
      <c r="SCD24" s="218"/>
      <c r="SCE24" s="218"/>
      <c r="SCF24" s="218"/>
      <c r="SCG24" s="218"/>
      <c r="SCH24" s="218"/>
      <c r="SCI24" s="218"/>
      <c r="SCJ24" s="218"/>
      <c r="SCK24" s="218"/>
      <c r="SCL24" s="218"/>
      <c r="SCM24" s="218"/>
      <c r="SCN24" s="218"/>
      <c r="SCO24" s="218"/>
      <c r="SCP24" s="218"/>
      <c r="SCQ24" s="218"/>
      <c r="SCR24" s="218"/>
      <c r="SCS24" s="218"/>
      <c r="SCT24" s="218"/>
      <c r="SCU24" s="218"/>
      <c r="SCV24" s="218"/>
      <c r="SCW24" s="218"/>
      <c r="SCX24" s="218"/>
      <c r="SCY24" s="218"/>
      <c r="SCZ24" s="218"/>
      <c r="SDA24" s="218"/>
      <c r="SDB24" s="218"/>
      <c r="SDC24" s="218"/>
      <c r="SDD24" s="218"/>
      <c r="SDE24" s="218"/>
      <c r="SDF24" s="218"/>
      <c r="SDG24" s="218"/>
      <c r="SDH24" s="218"/>
      <c r="SDI24" s="218"/>
      <c r="SDJ24" s="218"/>
      <c r="SDK24" s="218"/>
      <c r="SDL24" s="218"/>
      <c r="SDM24" s="218"/>
      <c r="SDN24" s="218"/>
      <c r="SDO24" s="218"/>
      <c r="SDP24" s="218"/>
      <c r="SDQ24" s="218"/>
      <c r="SDR24" s="218"/>
      <c r="SDS24" s="218"/>
      <c r="SDT24" s="218"/>
      <c r="SDU24" s="218"/>
      <c r="SDV24" s="218"/>
      <c r="SDW24" s="218"/>
      <c r="SDX24" s="218"/>
      <c r="SDY24" s="218"/>
      <c r="SDZ24" s="218"/>
      <c r="SEA24" s="218"/>
      <c r="SEB24" s="218"/>
      <c r="SEC24" s="218"/>
      <c r="SED24" s="218"/>
      <c r="SEE24" s="218"/>
      <c r="SEF24" s="218"/>
      <c r="SEG24" s="218"/>
      <c r="SEH24" s="218"/>
      <c r="SEI24" s="218"/>
      <c r="SEJ24" s="218"/>
      <c r="SEK24" s="218"/>
      <c r="SEL24" s="218"/>
      <c r="SEM24" s="218"/>
      <c r="SEN24" s="218"/>
      <c r="SEO24" s="218"/>
      <c r="SEP24" s="218"/>
      <c r="SEQ24" s="218"/>
      <c r="SER24" s="218"/>
      <c r="SES24" s="218"/>
      <c r="SET24" s="218"/>
      <c r="SEU24" s="218"/>
      <c r="SEV24" s="218"/>
      <c r="SEW24" s="218"/>
      <c r="SEX24" s="218"/>
      <c r="SEY24" s="218"/>
      <c r="SEZ24" s="218"/>
      <c r="SFA24" s="218"/>
      <c r="SFB24" s="218"/>
      <c r="SFC24" s="218"/>
      <c r="SFD24" s="218"/>
      <c r="SFE24" s="218"/>
      <c r="SFF24" s="218"/>
      <c r="SFG24" s="218"/>
      <c r="SFH24" s="218"/>
      <c r="SFI24" s="218"/>
      <c r="SFJ24" s="218"/>
      <c r="SFK24" s="218"/>
      <c r="SFL24" s="218"/>
      <c r="SFM24" s="218"/>
      <c r="SFN24" s="218"/>
      <c r="SFO24" s="218"/>
      <c r="SFP24" s="218"/>
      <c r="SFQ24" s="218"/>
      <c r="SFR24" s="218"/>
      <c r="SFS24" s="218"/>
      <c r="SFT24" s="218"/>
      <c r="SFU24" s="218"/>
      <c r="SFV24" s="218"/>
      <c r="SFW24" s="218"/>
      <c r="SFX24" s="218"/>
      <c r="SFY24" s="218"/>
      <c r="SFZ24" s="218"/>
      <c r="SGA24" s="218"/>
      <c r="SGB24" s="218"/>
      <c r="SGC24" s="218"/>
      <c r="SGD24" s="218"/>
      <c r="SGE24" s="218"/>
      <c r="SGF24" s="218"/>
      <c r="SGG24" s="218"/>
      <c r="SGH24" s="218"/>
      <c r="SGI24" s="218"/>
      <c r="SGJ24" s="218"/>
      <c r="SGK24" s="218"/>
      <c r="SGL24" s="218"/>
      <c r="SGM24" s="218"/>
      <c r="SGN24" s="218"/>
      <c r="SGO24" s="218"/>
      <c r="SGP24" s="218"/>
      <c r="SGQ24" s="218"/>
      <c r="SGR24" s="218"/>
      <c r="SGS24" s="218"/>
      <c r="SGT24" s="218"/>
      <c r="SGU24" s="218"/>
      <c r="SGV24" s="218"/>
      <c r="SGW24" s="218"/>
      <c r="SGX24" s="218"/>
      <c r="SGY24" s="218"/>
      <c r="SGZ24" s="218"/>
      <c r="SHA24" s="218"/>
      <c r="SHB24" s="218"/>
      <c r="SHC24" s="218"/>
      <c r="SHD24" s="218"/>
      <c r="SHE24" s="218"/>
      <c r="SHF24" s="218"/>
      <c r="SHG24" s="218"/>
      <c r="SHH24" s="218"/>
      <c r="SHI24" s="218"/>
      <c r="SHJ24" s="218"/>
      <c r="SHK24" s="218"/>
      <c r="SHL24" s="218"/>
      <c r="SHM24" s="218"/>
      <c r="SHN24" s="218"/>
      <c r="SHO24" s="218"/>
      <c r="SHP24" s="218"/>
      <c r="SHQ24" s="218"/>
      <c r="SHR24" s="218"/>
      <c r="SHS24" s="218"/>
      <c r="SHT24" s="218"/>
      <c r="SHU24" s="218"/>
      <c r="SHV24" s="218"/>
      <c r="SHW24" s="218"/>
      <c r="SHX24" s="218"/>
      <c r="SHY24" s="218"/>
      <c r="SHZ24" s="218"/>
      <c r="SIA24" s="218"/>
      <c r="SIB24" s="218"/>
      <c r="SIC24" s="218"/>
      <c r="SID24" s="218"/>
      <c r="SIE24" s="218"/>
      <c r="SIF24" s="218"/>
      <c r="SIG24" s="218"/>
      <c r="SIH24" s="218"/>
      <c r="SII24" s="218"/>
      <c r="SIJ24" s="218"/>
      <c r="SIK24" s="218"/>
      <c r="SIL24" s="218"/>
      <c r="SIM24" s="218"/>
      <c r="SIN24" s="218"/>
      <c r="SIO24" s="218"/>
      <c r="SIP24" s="218"/>
      <c r="SIQ24" s="218"/>
      <c r="SIR24" s="218"/>
      <c r="SIS24" s="218"/>
      <c r="SIT24" s="218"/>
      <c r="SIU24" s="218"/>
      <c r="SIV24" s="218"/>
      <c r="SIW24" s="218"/>
      <c r="SIX24" s="218"/>
      <c r="SIY24" s="218"/>
      <c r="SIZ24" s="218"/>
      <c r="SJA24" s="218"/>
      <c r="SJB24" s="218"/>
      <c r="SJC24" s="218"/>
      <c r="SJD24" s="218"/>
      <c r="SJE24" s="218"/>
      <c r="SJF24" s="218"/>
      <c r="SJG24" s="218"/>
      <c r="SJH24" s="218"/>
      <c r="SJI24" s="218"/>
      <c r="SJJ24" s="218"/>
      <c r="SJK24" s="218"/>
      <c r="SJL24" s="218"/>
      <c r="SJM24" s="218"/>
      <c r="SJN24" s="218"/>
      <c r="SJO24" s="218"/>
      <c r="SJP24" s="218"/>
      <c r="SJQ24" s="218"/>
      <c r="SJR24" s="218"/>
      <c r="SJS24" s="218"/>
      <c r="SJT24" s="218"/>
      <c r="SJU24" s="218"/>
      <c r="SJV24" s="218"/>
      <c r="SJW24" s="218"/>
      <c r="SJX24" s="218"/>
      <c r="SJY24" s="218"/>
      <c r="SJZ24" s="218"/>
      <c r="SKA24" s="218"/>
      <c r="SKB24" s="218"/>
      <c r="SKC24" s="218"/>
      <c r="SKD24" s="218"/>
      <c r="SKE24" s="218"/>
      <c r="SKF24" s="218"/>
      <c r="SKG24" s="218"/>
      <c r="SKH24" s="218"/>
      <c r="SKI24" s="218"/>
      <c r="SKJ24" s="218"/>
      <c r="SKK24" s="218"/>
      <c r="SKL24" s="218"/>
      <c r="SKM24" s="218"/>
      <c r="SKN24" s="218"/>
      <c r="SKO24" s="218"/>
      <c r="SKP24" s="218"/>
      <c r="SKQ24" s="218"/>
      <c r="SKR24" s="218"/>
      <c r="SKS24" s="218"/>
      <c r="SKT24" s="218"/>
      <c r="SKU24" s="218"/>
      <c r="SKV24" s="218"/>
      <c r="SKW24" s="218"/>
      <c r="SKX24" s="218"/>
      <c r="SKY24" s="218"/>
      <c r="SKZ24" s="218"/>
      <c r="SLA24" s="218"/>
      <c r="SLB24" s="218"/>
      <c r="SLC24" s="218"/>
      <c r="SLD24" s="218"/>
      <c r="SLE24" s="218"/>
      <c r="SLF24" s="218"/>
      <c r="SLG24" s="218"/>
      <c r="SLH24" s="218"/>
      <c r="SLI24" s="218"/>
      <c r="SLJ24" s="218"/>
      <c r="SLK24" s="218"/>
      <c r="SLL24" s="218"/>
      <c r="SLM24" s="218"/>
      <c r="SLN24" s="218"/>
      <c r="SLO24" s="218"/>
      <c r="SLP24" s="218"/>
      <c r="SLQ24" s="218"/>
      <c r="SLR24" s="218"/>
      <c r="SLS24" s="218"/>
      <c r="SLT24" s="218"/>
      <c r="SLU24" s="218"/>
      <c r="SLV24" s="218"/>
      <c r="SLW24" s="218"/>
      <c r="SLX24" s="218"/>
      <c r="SLY24" s="218"/>
      <c r="SLZ24" s="218"/>
      <c r="SMA24" s="218"/>
      <c r="SMB24" s="218"/>
      <c r="SMC24" s="218"/>
      <c r="SMD24" s="218"/>
      <c r="SME24" s="218"/>
      <c r="SMF24" s="218"/>
      <c r="SMG24" s="218"/>
      <c r="SMH24" s="218"/>
      <c r="SMI24" s="218"/>
      <c r="SMJ24" s="218"/>
      <c r="SMK24" s="218"/>
      <c r="SML24" s="218"/>
      <c r="SMM24" s="218"/>
      <c r="SMN24" s="218"/>
      <c r="SMO24" s="218"/>
      <c r="SMP24" s="218"/>
      <c r="SMQ24" s="218"/>
      <c r="SMR24" s="218"/>
      <c r="SMS24" s="218"/>
      <c r="SMT24" s="218"/>
      <c r="SMU24" s="218"/>
      <c r="SMV24" s="218"/>
      <c r="SMW24" s="218"/>
      <c r="SMX24" s="218"/>
      <c r="SMY24" s="218"/>
      <c r="SMZ24" s="218"/>
      <c r="SNA24" s="218"/>
      <c r="SNB24" s="218"/>
      <c r="SNC24" s="218"/>
      <c r="SND24" s="218"/>
      <c r="SNE24" s="218"/>
      <c r="SNF24" s="218"/>
      <c r="SNG24" s="218"/>
      <c r="SNH24" s="218"/>
      <c r="SNI24" s="218"/>
      <c r="SNJ24" s="218"/>
      <c r="SNK24" s="218"/>
      <c r="SNL24" s="218"/>
      <c r="SNM24" s="218"/>
      <c r="SNN24" s="218"/>
      <c r="SNO24" s="218"/>
      <c r="SNP24" s="218"/>
      <c r="SNQ24" s="218"/>
      <c r="SNR24" s="218"/>
      <c r="SNS24" s="218"/>
      <c r="SNT24" s="218"/>
      <c r="SNU24" s="218"/>
      <c r="SNV24" s="218"/>
      <c r="SNW24" s="218"/>
      <c r="SNX24" s="218"/>
      <c r="SNY24" s="218"/>
      <c r="SNZ24" s="218"/>
      <c r="SOA24" s="218"/>
      <c r="SOB24" s="218"/>
      <c r="SOC24" s="218"/>
      <c r="SOD24" s="218"/>
      <c r="SOE24" s="218"/>
      <c r="SOF24" s="218"/>
      <c r="SOG24" s="218"/>
      <c r="SOH24" s="218"/>
      <c r="SOI24" s="218"/>
      <c r="SOJ24" s="218"/>
      <c r="SOK24" s="218"/>
      <c r="SOL24" s="218"/>
      <c r="SOM24" s="218"/>
      <c r="SON24" s="218"/>
      <c r="SOO24" s="218"/>
      <c r="SOP24" s="218"/>
      <c r="SOQ24" s="218"/>
      <c r="SOR24" s="218"/>
      <c r="SOS24" s="218"/>
      <c r="SOT24" s="218"/>
      <c r="SOU24" s="218"/>
      <c r="SOV24" s="218"/>
      <c r="SOW24" s="218"/>
      <c r="SOX24" s="218"/>
      <c r="SOY24" s="218"/>
      <c r="SOZ24" s="218"/>
      <c r="SPA24" s="218"/>
      <c r="SPB24" s="218"/>
      <c r="SPC24" s="218"/>
      <c r="SPD24" s="218"/>
      <c r="SPE24" s="218"/>
      <c r="SPF24" s="218"/>
      <c r="SPG24" s="218"/>
      <c r="SPH24" s="218"/>
      <c r="SPI24" s="218"/>
      <c r="SPJ24" s="218"/>
      <c r="SPK24" s="218"/>
      <c r="SPL24" s="218"/>
      <c r="SPM24" s="218"/>
      <c r="SPN24" s="218"/>
      <c r="SPO24" s="218"/>
      <c r="SPP24" s="218"/>
      <c r="SPQ24" s="218"/>
      <c r="SPR24" s="218"/>
      <c r="SPS24" s="218"/>
      <c r="SPT24" s="218"/>
      <c r="SPU24" s="218"/>
      <c r="SPV24" s="218"/>
      <c r="SPW24" s="218"/>
      <c r="SPX24" s="218"/>
      <c r="SPY24" s="218"/>
      <c r="SPZ24" s="218"/>
      <c r="SQA24" s="218"/>
      <c r="SQB24" s="218"/>
      <c r="SQC24" s="218"/>
      <c r="SQD24" s="218"/>
      <c r="SQE24" s="218"/>
      <c r="SQF24" s="218"/>
      <c r="SQG24" s="218"/>
      <c r="SQH24" s="218"/>
      <c r="SQI24" s="218"/>
      <c r="SQJ24" s="218"/>
      <c r="SQK24" s="218"/>
      <c r="SQL24" s="218"/>
      <c r="SQM24" s="218"/>
      <c r="SQN24" s="218"/>
      <c r="SQO24" s="218"/>
      <c r="SQP24" s="218"/>
      <c r="SQQ24" s="218"/>
      <c r="SQR24" s="218"/>
      <c r="SQS24" s="218"/>
      <c r="SQT24" s="218"/>
      <c r="SQU24" s="218"/>
      <c r="SQV24" s="218"/>
      <c r="SQW24" s="218"/>
      <c r="SQX24" s="218"/>
      <c r="SQY24" s="218"/>
      <c r="SQZ24" s="218"/>
      <c r="SRA24" s="218"/>
      <c r="SRB24" s="218"/>
      <c r="SRC24" s="218"/>
      <c r="SRD24" s="218"/>
      <c r="SRE24" s="218"/>
      <c r="SRF24" s="218"/>
      <c r="SRG24" s="218"/>
      <c r="SRH24" s="218"/>
      <c r="SRI24" s="218"/>
      <c r="SRJ24" s="218"/>
      <c r="SRK24" s="218"/>
      <c r="SRL24" s="218"/>
      <c r="SRM24" s="218"/>
      <c r="SRN24" s="218"/>
      <c r="SRO24" s="218"/>
      <c r="SRP24" s="218"/>
      <c r="SRQ24" s="218"/>
      <c r="SRR24" s="218"/>
      <c r="SRS24" s="218"/>
      <c r="SRT24" s="218"/>
      <c r="SRU24" s="218"/>
      <c r="SRV24" s="218"/>
      <c r="SRW24" s="218"/>
      <c r="SRX24" s="218"/>
      <c r="SRY24" s="218"/>
      <c r="SRZ24" s="218"/>
      <c r="SSA24" s="218"/>
      <c r="SSB24" s="218"/>
      <c r="SSC24" s="218"/>
      <c r="SSD24" s="218"/>
      <c r="SSE24" s="218"/>
      <c r="SSF24" s="218"/>
      <c r="SSG24" s="218"/>
      <c r="SSH24" s="218"/>
      <c r="SSI24" s="218"/>
      <c r="SSJ24" s="218"/>
      <c r="SSK24" s="218"/>
      <c r="SSL24" s="218"/>
      <c r="SSM24" s="218"/>
      <c r="SSN24" s="218"/>
      <c r="SSO24" s="218"/>
      <c r="SSP24" s="218"/>
      <c r="SSQ24" s="218"/>
      <c r="SSR24" s="218"/>
      <c r="SSS24" s="218"/>
      <c r="SST24" s="218"/>
      <c r="SSU24" s="218"/>
      <c r="SSV24" s="218"/>
      <c r="SSW24" s="218"/>
      <c r="SSX24" s="218"/>
      <c r="SSY24" s="218"/>
      <c r="SSZ24" s="218"/>
      <c r="STA24" s="218"/>
      <c r="STB24" s="218"/>
      <c r="STC24" s="218"/>
      <c r="STD24" s="218"/>
      <c r="STE24" s="218"/>
      <c r="STF24" s="218"/>
      <c r="STG24" s="218"/>
      <c r="STH24" s="218"/>
      <c r="STI24" s="218"/>
      <c r="STJ24" s="218"/>
      <c r="STK24" s="218"/>
      <c r="STL24" s="218"/>
      <c r="STM24" s="218"/>
      <c r="STN24" s="218"/>
      <c r="STO24" s="218"/>
      <c r="STP24" s="218"/>
      <c r="STQ24" s="218"/>
      <c r="STR24" s="218"/>
      <c r="STS24" s="218"/>
      <c r="STT24" s="218"/>
      <c r="STU24" s="218"/>
      <c r="STV24" s="218"/>
      <c r="STW24" s="218"/>
      <c r="STX24" s="218"/>
      <c r="STY24" s="218"/>
      <c r="STZ24" s="218"/>
      <c r="SUA24" s="218"/>
      <c r="SUB24" s="218"/>
      <c r="SUC24" s="218"/>
      <c r="SUD24" s="218"/>
      <c r="SUE24" s="218"/>
      <c r="SUF24" s="218"/>
      <c r="SUG24" s="218"/>
      <c r="SUH24" s="218"/>
      <c r="SUI24" s="218"/>
      <c r="SUJ24" s="218"/>
      <c r="SUK24" s="218"/>
      <c r="SUL24" s="218"/>
      <c r="SUM24" s="218"/>
      <c r="SUN24" s="218"/>
      <c r="SUO24" s="218"/>
      <c r="SUP24" s="218"/>
      <c r="SUQ24" s="218"/>
      <c r="SUR24" s="218"/>
      <c r="SUS24" s="218"/>
      <c r="SUT24" s="218"/>
      <c r="SUU24" s="218"/>
      <c r="SUV24" s="218"/>
      <c r="SUW24" s="218"/>
      <c r="SUX24" s="218"/>
      <c r="SUY24" s="218"/>
      <c r="SUZ24" s="218"/>
      <c r="SVA24" s="218"/>
      <c r="SVB24" s="218"/>
      <c r="SVC24" s="218"/>
      <c r="SVD24" s="218"/>
      <c r="SVE24" s="218"/>
      <c r="SVF24" s="218"/>
      <c r="SVG24" s="218"/>
      <c r="SVH24" s="218"/>
      <c r="SVI24" s="218"/>
      <c r="SVJ24" s="218"/>
      <c r="SVK24" s="218"/>
      <c r="SVL24" s="218"/>
      <c r="SVM24" s="218"/>
      <c r="SVN24" s="218"/>
      <c r="SVO24" s="218"/>
      <c r="SVP24" s="218"/>
      <c r="SVQ24" s="218"/>
      <c r="SVR24" s="218"/>
      <c r="SVS24" s="218"/>
      <c r="SVT24" s="218"/>
      <c r="SVU24" s="218"/>
      <c r="SVV24" s="218"/>
      <c r="SVW24" s="218"/>
      <c r="SVX24" s="218"/>
      <c r="SVY24" s="218"/>
      <c r="SVZ24" s="218"/>
      <c r="SWA24" s="218"/>
      <c r="SWB24" s="218"/>
      <c r="SWC24" s="218"/>
      <c r="SWD24" s="218"/>
      <c r="SWE24" s="218"/>
      <c r="SWF24" s="218"/>
      <c r="SWG24" s="218"/>
      <c r="SWH24" s="218"/>
      <c r="SWI24" s="218"/>
      <c r="SWJ24" s="218"/>
      <c r="SWK24" s="218"/>
      <c r="SWL24" s="218"/>
      <c r="SWM24" s="218"/>
      <c r="SWN24" s="218"/>
      <c r="SWO24" s="218"/>
      <c r="SWP24" s="218"/>
      <c r="SWQ24" s="218"/>
      <c r="SWR24" s="218"/>
      <c r="SWS24" s="218"/>
      <c r="SWT24" s="218"/>
      <c r="SWU24" s="218"/>
      <c r="SWV24" s="218"/>
      <c r="SWW24" s="218"/>
      <c r="SWX24" s="218"/>
      <c r="SWY24" s="218"/>
      <c r="SWZ24" s="218"/>
      <c r="SXA24" s="218"/>
      <c r="SXB24" s="218"/>
      <c r="SXC24" s="218"/>
      <c r="SXD24" s="218"/>
      <c r="SXE24" s="218"/>
      <c r="SXF24" s="218"/>
      <c r="SXG24" s="218"/>
      <c r="SXH24" s="218"/>
      <c r="SXI24" s="218"/>
      <c r="SXJ24" s="218"/>
      <c r="SXK24" s="218"/>
      <c r="SXL24" s="218"/>
      <c r="SXM24" s="218"/>
      <c r="SXN24" s="218"/>
      <c r="SXO24" s="218"/>
      <c r="SXP24" s="218"/>
      <c r="SXQ24" s="218"/>
      <c r="SXR24" s="218"/>
      <c r="SXS24" s="218"/>
      <c r="SXT24" s="218"/>
      <c r="SXU24" s="218"/>
      <c r="SXV24" s="218"/>
      <c r="SXW24" s="218"/>
      <c r="SXX24" s="218"/>
      <c r="SXY24" s="218"/>
      <c r="SXZ24" s="218"/>
      <c r="SYA24" s="218"/>
      <c r="SYB24" s="218"/>
      <c r="SYC24" s="218"/>
      <c r="SYD24" s="218"/>
      <c r="SYE24" s="218"/>
      <c r="SYF24" s="218"/>
      <c r="SYG24" s="218"/>
      <c r="SYH24" s="218"/>
      <c r="SYI24" s="218"/>
      <c r="SYJ24" s="218"/>
      <c r="SYK24" s="218"/>
      <c r="SYL24" s="218"/>
      <c r="SYM24" s="218"/>
      <c r="SYN24" s="218"/>
      <c r="SYO24" s="218"/>
      <c r="SYP24" s="218"/>
      <c r="SYQ24" s="218"/>
      <c r="SYR24" s="218"/>
      <c r="SYS24" s="218"/>
      <c r="SYT24" s="218"/>
      <c r="SYU24" s="218"/>
      <c r="SYV24" s="218"/>
      <c r="SYW24" s="218"/>
      <c r="SYX24" s="218"/>
      <c r="SYY24" s="218"/>
      <c r="SYZ24" s="218"/>
      <c r="SZA24" s="218"/>
      <c r="SZB24" s="218"/>
      <c r="SZC24" s="218"/>
      <c r="SZD24" s="218"/>
      <c r="SZE24" s="218"/>
      <c r="SZF24" s="218"/>
      <c r="SZG24" s="218"/>
      <c r="SZH24" s="218"/>
      <c r="SZI24" s="218"/>
      <c r="SZJ24" s="218"/>
      <c r="SZK24" s="218"/>
      <c r="SZL24" s="218"/>
      <c r="SZM24" s="218"/>
      <c r="SZN24" s="218"/>
      <c r="SZO24" s="218"/>
      <c r="SZP24" s="218"/>
      <c r="SZQ24" s="218"/>
      <c r="SZR24" s="218"/>
      <c r="SZS24" s="218"/>
      <c r="SZT24" s="218"/>
      <c r="SZU24" s="218"/>
      <c r="SZV24" s="218"/>
      <c r="SZW24" s="218"/>
      <c r="SZX24" s="218"/>
      <c r="SZY24" s="218"/>
      <c r="SZZ24" s="218"/>
      <c r="TAA24" s="218"/>
      <c r="TAB24" s="218"/>
      <c r="TAC24" s="218"/>
      <c r="TAD24" s="218"/>
      <c r="TAE24" s="218"/>
      <c r="TAF24" s="218"/>
      <c r="TAG24" s="218"/>
      <c r="TAH24" s="218"/>
      <c r="TAI24" s="218"/>
      <c r="TAJ24" s="218"/>
      <c r="TAK24" s="218"/>
      <c r="TAL24" s="218"/>
      <c r="TAM24" s="218"/>
      <c r="TAN24" s="218"/>
      <c r="TAO24" s="218"/>
      <c r="TAP24" s="218"/>
      <c r="TAQ24" s="218"/>
      <c r="TAR24" s="218"/>
      <c r="TAS24" s="218"/>
      <c r="TAT24" s="218"/>
      <c r="TAU24" s="218"/>
      <c r="TAV24" s="218"/>
      <c r="TAW24" s="218"/>
      <c r="TAX24" s="218"/>
      <c r="TAY24" s="218"/>
      <c r="TAZ24" s="218"/>
      <c r="TBA24" s="218"/>
      <c r="TBB24" s="218"/>
      <c r="TBC24" s="218"/>
      <c r="TBD24" s="218"/>
      <c r="TBE24" s="218"/>
      <c r="TBF24" s="218"/>
      <c r="TBG24" s="218"/>
      <c r="TBH24" s="218"/>
      <c r="TBI24" s="218"/>
      <c r="TBJ24" s="218"/>
      <c r="TBK24" s="218"/>
      <c r="TBL24" s="218"/>
      <c r="TBM24" s="218"/>
      <c r="TBN24" s="218"/>
      <c r="TBO24" s="218"/>
      <c r="TBP24" s="218"/>
      <c r="TBQ24" s="218"/>
      <c r="TBR24" s="218"/>
      <c r="TBS24" s="218"/>
      <c r="TBT24" s="218"/>
      <c r="TBU24" s="218"/>
      <c r="TBV24" s="218"/>
      <c r="TBW24" s="218"/>
      <c r="TBX24" s="218"/>
      <c r="TBY24" s="218"/>
      <c r="TBZ24" s="218"/>
      <c r="TCA24" s="218"/>
      <c r="TCB24" s="218"/>
      <c r="TCC24" s="218"/>
      <c r="TCD24" s="218"/>
      <c r="TCE24" s="218"/>
      <c r="TCF24" s="218"/>
      <c r="TCG24" s="218"/>
      <c r="TCH24" s="218"/>
      <c r="TCI24" s="218"/>
      <c r="TCJ24" s="218"/>
      <c r="TCK24" s="218"/>
      <c r="TCL24" s="218"/>
      <c r="TCM24" s="218"/>
      <c r="TCN24" s="218"/>
      <c r="TCO24" s="218"/>
      <c r="TCP24" s="218"/>
      <c r="TCQ24" s="218"/>
      <c r="TCR24" s="218"/>
      <c r="TCS24" s="218"/>
      <c r="TCT24" s="218"/>
      <c r="TCU24" s="218"/>
      <c r="TCV24" s="218"/>
      <c r="TCW24" s="218"/>
      <c r="TCX24" s="218"/>
      <c r="TCY24" s="218"/>
      <c r="TCZ24" s="218"/>
      <c r="TDA24" s="218"/>
      <c r="TDB24" s="218"/>
      <c r="TDC24" s="218"/>
      <c r="TDD24" s="218"/>
      <c r="TDE24" s="218"/>
      <c r="TDF24" s="218"/>
      <c r="TDG24" s="218"/>
      <c r="TDH24" s="218"/>
      <c r="TDI24" s="218"/>
      <c r="TDJ24" s="218"/>
      <c r="TDK24" s="218"/>
      <c r="TDL24" s="218"/>
      <c r="TDM24" s="218"/>
      <c r="TDN24" s="218"/>
      <c r="TDO24" s="218"/>
      <c r="TDP24" s="218"/>
      <c r="TDQ24" s="218"/>
      <c r="TDR24" s="218"/>
      <c r="TDS24" s="218"/>
      <c r="TDT24" s="218"/>
      <c r="TDU24" s="218"/>
      <c r="TDV24" s="218"/>
      <c r="TDW24" s="218"/>
      <c r="TDX24" s="218"/>
      <c r="TDY24" s="218"/>
      <c r="TDZ24" s="218"/>
      <c r="TEA24" s="218"/>
      <c r="TEB24" s="218"/>
      <c r="TEC24" s="218"/>
      <c r="TED24" s="218"/>
      <c r="TEE24" s="218"/>
      <c r="TEF24" s="218"/>
      <c r="TEG24" s="218"/>
      <c r="TEH24" s="218"/>
      <c r="TEI24" s="218"/>
      <c r="TEJ24" s="218"/>
      <c r="TEK24" s="218"/>
      <c r="TEL24" s="218"/>
      <c r="TEM24" s="218"/>
      <c r="TEN24" s="218"/>
      <c r="TEO24" s="218"/>
      <c r="TEP24" s="218"/>
      <c r="TEQ24" s="218"/>
      <c r="TER24" s="218"/>
      <c r="TES24" s="218"/>
      <c r="TET24" s="218"/>
      <c r="TEU24" s="218"/>
      <c r="TEV24" s="218"/>
      <c r="TEW24" s="218"/>
      <c r="TEX24" s="218"/>
      <c r="TEY24" s="218"/>
      <c r="TEZ24" s="218"/>
      <c r="TFA24" s="218"/>
      <c r="TFB24" s="218"/>
      <c r="TFC24" s="218"/>
      <c r="TFD24" s="218"/>
      <c r="TFE24" s="218"/>
      <c r="TFF24" s="218"/>
      <c r="TFG24" s="218"/>
      <c r="TFH24" s="218"/>
      <c r="TFI24" s="218"/>
      <c r="TFJ24" s="218"/>
      <c r="TFK24" s="218"/>
      <c r="TFL24" s="218"/>
      <c r="TFM24" s="218"/>
      <c r="TFN24" s="218"/>
      <c r="TFO24" s="218"/>
      <c r="TFP24" s="218"/>
      <c r="TFQ24" s="218"/>
      <c r="TFR24" s="218"/>
      <c r="TFS24" s="218"/>
      <c r="TFT24" s="218"/>
      <c r="TFU24" s="218"/>
      <c r="TFV24" s="218"/>
      <c r="TFW24" s="218"/>
      <c r="TFX24" s="218"/>
      <c r="TFY24" s="218"/>
      <c r="TFZ24" s="218"/>
      <c r="TGA24" s="218"/>
      <c r="TGB24" s="218"/>
      <c r="TGC24" s="218"/>
      <c r="TGD24" s="218"/>
      <c r="TGE24" s="218"/>
      <c r="TGF24" s="218"/>
      <c r="TGG24" s="218"/>
      <c r="TGH24" s="218"/>
      <c r="TGI24" s="218"/>
      <c r="TGJ24" s="218"/>
      <c r="TGK24" s="218"/>
      <c r="TGL24" s="218"/>
      <c r="TGM24" s="218"/>
      <c r="TGN24" s="218"/>
      <c r="TGO24" s="218"/>
      <c r="TGP24" s="218"/>
      <c r="TGQ24" s="218"/>
      <c r="TGR24" s="218"/>
      <c r="TGS24" s="218"/>
      <c r="TGT24" s="218"/>
      <c r="TGU24" s="218"/>
      <c r="TGV24" s="218"/>
      <c r="TGW24" s="218"/>
      <c r="TGX24" s="218"/>
      <c r="TGY24" s="218"/>
      <c r="TGZ24" s="218"/>
      <c r="THA24" s="218"/>
      <c r="THB24" s="218"/>
      <c r="THC24" s="218"/>
      <c r="THD24" s="218"/>
      <c r="THE24" s="218"/>
      <c r="THF24" s="218"/>
      <c r="THG24" s="218"/>
      <c r="THH24" s="218"/>
      <c r="THI24" s="218"/>
      <c r="THJ24" s="218"/>
      <c r="THK24" s="218"/>
      <c r="THL24" s="218"/>
      <c r="THM24" s="218"/>
      <c r="THN24" s="218"/>
      <c r="THO24" s="218"/>
      <c r="THP24" s="218"/>
      <c r="THQ24" s="218"/>
      <c r="THR24" s="218"/>
      <c r="THS24" s="218"/>
      <c r="THT24" s="218"/>
      <c r="THU24" s="218"/>
      <c r="THV24" s="218"/>
      <c r="THW24" s="218"/>
      <c r="THX24" s="218"/>
      <c r="THY24" s="218"/>
      <c r="THZ24" s="218"/>
      <c r="TIA24" s="218"/>
      <c r="TIB24" s="218"/>
      <c r="TIC24" s="218"/>
      <c r="TID24" s="218"/>
      <c r="TIE24" s="218"/>
      <c r="TIF24" s="218"/>
      <c r="TIG24" s="218"/>
      <c r="TIH24" s="218"/>
      <c r="TII24" s="218"/>
      <c r="TIJ24" s="218"/>
      <c r="TIK24" s="218"/>
      <c r="TIL24" s="218"/>
      <c r="TIM24" s="218"/>
      <c r="TIN24" s="218"/>
      <c r="TIO24" s="218"/>
      <c r="TIP24" s="218"/>
      <c r="TIQ24" s="218"/>
      <c r="TIR24" s="218"/>
      <c r="TIS24" s="218"/>
      <c r="TIT24" s="218"/>
      <c r="TIU24" s="218"/>
      <c r="TIV24" s="218"/>
      <c r="TIW24" s="218"/>
      <c r="TIX24" s="218"/>
      <c r="TIY24" s="218"/>
      <c r="TIZ24" s="218"/>
      <c r="TJA24" s="218"/>
      <c r="TJB24" s="218"/>
      <c r="TJC24" s="218"/>
      <c r="TJD24" s="218"/>
      <c r="TJE24" s="218"/>
      <c r="TJF24" s="218"/>
      <c r="TJG24" s="218"/>
      <c r="TJH24" s="218"/>
      <c r="TJI24" s="218"/>
      <c r="TJJ24" s="218"/>
      <c r="TJK24" s="218"/>
      <c r="TJL24" s="218"/>
      <c r="TJM24" s="218"/>
      <c r="TJN24" s="218"/>
      <c r="TJO24" s="218"/>
      <c r="TJP24" s="218"/>
      <c r="TJQ24" s="218"/>
      <c r="TJR24" s="218"/>
      <c r="TJS24" s="218"/>
      <c r="TJT24" s="218"/>
      <c r="TJU24" s="218"/>
      <c r="TJV24" s="218"/>
      <c r="TJW24" s="218"/>
      <c r="TJX24" s="218"/>
      <c r="TJY24" s="218"/>
      <c r="TJZ24" s="218"/>
      <c r="TKA24" s="218"/>
      <c r="TKB24" s="218"/>
      <c r="TKC24" s="218"/>
      <c r="TKD24" s="218"/>
      <c r="TKE24" s="218"/>
      <c r="TKF24" s="218"/>
      <c r="TKG24" s="218"/>
      <c r="TKH24" s="218"/>
      <c r="TKI24" s="218"/>
      <c r="TKJ24" s="218"/>
      <c r="TKK24" s="218"/>
      <c r="TKL24" s="218"/>
      <c r="TKM24" s="218"/>
      <c r="TKN24" s="218"/>
      <c r="TKO24" s="218"/>
      <c r="TKP24" s="218"/>
      <c r="TKQ24" s="218"/>
      <c r="TKR24" s="218"/>
      <c r="TKS24" s="218"/>
      <c r="TKT24" s="218"/>
      <c r="TKU24" s="218"/>
      <c r="TKV24" s="218"/>
      <c r="TKW24" s="218"/>
      <c r="TKX24" s="218"/>
      <c r="TKY24" s="218"/>
      <c r="TKZ24" s="218"/>
      <c r="TLA24" s="218"/>
      <c r="TLB24" s="218"/>
      <c r="TLC24" s="218"/>
      <c r="TLD24" s="218"/>
      <c r="TLE24" s="218"/>
      <c r="TLF24" s="218"/>
      <c r="TLG24" s="218"/>
      <c r="TLH24" s="218"/>
      <c r="TLI24" s="218"/>
      <c r="TLJ24" s="218"/>
      <c r="TLK24" s="218"/>
      <c r="TLL24" s="218"/>
      <c r="TLM24" s="218"/>
      <c r="TLN24" s="218"/>
      <c r="TLO24" s="218"/>
      <c r="TLP24" s="218"/>
      <c r="TLQ24" s="218"/>
      <c r="TLR24" s="218"/>
      <c r="TLS24" s="218"/>
      <c r="TLT24" s="218"/>
      <c r="TLU24" s="218"/>
      <c r="TLV24" s="218"/>
      <c r="TLW24" s="218"/>
      <c r="TLX24" s="218"/>
      <c r="TLY24" s="218"/>
      <c r="TLZ24" s="218"/>
      <c r="TMA24" s="218"/>
      <c r="TMB24" s="218"/>
      <c r="TMC24" s="218"/>
      <c r="TMD24" s="218"/>
      <c r="TME24" s="218"/>
      <c r="TMF24" s="218"/>
      <c r="TMG24" s="218"/>
      <c r="TMH24" s="218"/>
      <c r="TMI24" s="218"/>
      <c r="TMJ24" s="218"/>
      <c r="TMK24" s="218"/>
      <c r="TML24" s="218"/>
      <c r="TMM24" s="218"/>
      <c r="TMN24" s="218"/>
      <c r="TMO24" s="218"/>
      <c r="TMP24" s="218"/>
      <c r="TMQ24" s="218"/>
      <c r="TMR24" s="218"/>
      <c r="TMS24" s="218"/>
      <c r="TMT24" s="218"/>
      <c r="TMU24" s="218"/>
      <c r="TMV24" s="218"/>
      <c r="TMW24" s="218"/>
      <c r="TMX24" s="218"/>
      <c r="TMY24" s="218"/>
      <c r="TMZ24" s="218"/>
      <c r="TNA24" s="218"/>
      <c r="TNB24" s="218"/>
      <c r="TNC24" s="218"/>
      <c r="TND24" s="218"/>
      <c r="TNE24" s="218"/>
      <c r="TNF24" s="218"/>
      <c r="TNG24" s="218"/>
      <c r="TNH24" s="218"/>
      <c r="TNI24" s="218"/>
      <c r="TNJ24" s="218"/>
      <c r="TNK24" s="218"/>
      <c r="TNL24" s="218"/>
      <c r="TNM24" s="218"/>
      <c r="TNN24" s="218"/>
      <c r="TNO24" s="218"/>
      <c r="TNP24" s="218"/>
      <c r="TNQ24" s="218"/>
      <c r="TNR24" s="218"/>
      <c r="TNS24" s="218"/>
      <c r="TNT24" s="218"/>
      <c r="TNU24" s="218"/>
      <c r="TNV24" s="218"/>
      <c r="TNW24" s="218"/>
      <c r="TNX24" s="218"/>
      <c r="TNY24" s="218"/>
      <c r="TNZ24" s="218"/>
      <c r="TOA24" s="218"/>
      <c r="TOB24" s="218"/>
      <c r="TOC24" s="218"/>
      <c r="TOD24" s="218"/>
      <c r="TOE24" s="218"/>
      <c r="TOF24" s="218"/>
      <c r="TOG24" s="218"/>
      <c r="TOH24" s="218"/>
      <c r="TOI24" s="218"/>
      <c r="TOJ24" s="218"/>
      <c r="TOK24" s="218"/>
      <c r="TOL24" s="218"/>
      <c r="TOM24" s="218"/>
      <c r="TON24" s="218"/>
      <c r="TOO24" s="218"/>
      <c r="TOP24" s="218"/>
      <c r="TOQ24" s="218"/>
      <c r="TOR24" s="218"/>
      <c r="TOS24" s="218"/>
      <c r="TOT24" s="218"/>
      <c r="TOU24" s="218"/>
      <c r="TOV24" s="218"/>
      <c r="TOW24" s="218"/>
      <c r="TOX24" s="218"/>
      <c r="TOY24" s="218"/>
      <c r="TOZ24" s="218"/>
      <c r="TPA24" s="218"/>
      <c r="TPB24" s="218"/>
      <c r="TPC24" s="218"/>
      <c r="TPD24" s="218"/>
      <c r="TPE24" s="218"/>
      <c r="TPF24" s="218"/>
      <c r="TPG24" s="218"/>
      <c r="TPH24" s="218"/>
      <c r="TPI24" s="218"/>
      <c r="TPJ24" s="218"/>
      <c r="TPK24" s="218"/>
      <c r="TPL24" s="218"/>
      <c r="TPM24" s="218"/>
      <c r="TPN24" s="218"/>
      <c r="TPO24" s="218"/>
      <c r="TPP24" s="218"/>
      <c r="TPQ24" s="218"/>
      <c r="TPR24" s="218"/>
      <c r="TPS24" s="218"/>
      <c r="TPT24" s="218"/>
      <c r="TPU24" s="218"/>
      <c r="TPV24" s="218"/>
      <c r="TPW24" s="218"/>
      <c r="TPX24" s="218"/>
      <c r="TPY24" s="218"/>
      <c r="TPZ24" s="218"/>
      <c r="TQA24" s="218"/>
      <c r="TQB24" s="218"/>
      <c r="TQC24" s="218"/>
      <c r="TQD24" s="218"/>
      <c r="TQE24" s="218"/>
      <c r="TQF24" s="218"/>
      <c r="TQG24" s="218"/>
      <c r="TQH24" s="218"/>
      <c r="TQI24" s="218"/>
      <c r="TQJ24" s="218"/>
      <c r="TQK24" s="218"/>
      <c r="TQL24" s="218"/>
      <c r="TQM24" s="218"/>
      <c r="TQN24" s="218"/>
      <c r="TQO24" s="218"/>
      <c r="TQP24" s="218"/>
      <c r="TQQ24" s="218"/>
      <c r="TQR24" s="218"/>
      <c r="TQS24" s="218"/>
      <c r="TQT24" s="218"/>
      <c r="TQU24" s="218"/>
      <c r="TQV24" s="218"/>
      <c r="TQW24" s="218"/>
      <c r="TQX24" s="218"/>
      <c r="TQY24" s="218"/>
      <c r="TQZ24" s="218"/>
      <c r="TRA24" s="218"/>
      <c r="TRB24" s="218"/>
      <c r="TRC24" s="218"/>
      <c r="TRD24" s="218"/>
      <c r="TRE24" s="218"/>
      <c r="TRF24" s="218"/>
      <c r="TRG24" s="218"/>
      <c r="TRH24" s="218"/>
      <c r="TRI24" s="218"/>
      <c r="TRJ24" s="218"/>
      <c r="TRK24" s="218"/>
      <c r="TRL24" s="218"/>
      <c r="TRM24" s="218"/>
      <c r="TRN24" s="218"/>
      <c r="TRO24" s="218"/>
      <c r="TRP24" s="218"/>
      <c r="TRQ24" s="218"/>
      <c r="TRR24" s="218"/>
      <c r="TRS24" s="218"/>
      <c r="TRT24" s="218"/>
      <c r="TRU24" s="218"/>
      <c r="TRV24" s="218"/>
      <c r="TRW24" s="218"/>
      <c r="TRX24" s="218"/>
      <c r="TRY24" s="218"/>
      <c r="TRZ24" s="218"/>
      <c r="TSA24" s="218"/>
      <c r="TSB24" s="218"/>
      <c r="TSC24" s="218"/>
      <c r="TSD24" s="218"/>
      <c r="TSE24" s="218"/>
      <c r="TSF24" s="218"/>
      <c r="TSG24" s="218"/>
      <c r="TSH24" s="218"/>
      <c r="TSI24" s="218"/>
      <c r="TSJ24" s="218"/>
      <c r="TSK24" s="218"/>
      <c r="TSL24" s="218"/>
      <c r="TSM24" s="218"/>
      <c r="TSN24" s="218"/>
      <c r="TSO24" s="218"/>
      <c r="TSP24" s="218"/>
      <c r="TSQ24" s="218"/>
      <c r="TSR24" s="218"/>
      <c r="TSS24" s="218"/>
      <c r="TST24" s="218"/>
      <c r="TSU24" s="218"/>
      <c r="TSV24" s="218"/>
      <c r="TSW24" s="218"/>
      <c r="TSX24" s="218"/>
      <c r="TSY24" s="218"/>
      <c r="TSZ24" s="218"/>
      <c r="TTA24" s="218"/>
      <c r="TTB24" s="218"/>
      <c r="TTC24" s="218"/>
      <c r="TTD24" s="218"/>
      <c r="TTE24" s="218"/>
      <c r="TTF24" s="218"/>
      <c r="TTG24" s="218"/>
      <c r="TTH24" s="218"/>
      <c r="TTI24" s="218"/>
      <c r="TTJ24" s="218"/>
      <c r="TTK24" s="218"/>
      <c r="TTL24" s="218"/>
      <c r="TTM24" s="218"/>
      <c r="TTN24" s="218"/>
      <c r="TTO24" s="218"/>
      <c r="TTP24" s="218"/>
      <c r="TTQ24" s="218"/>
      <c r="TTR24" s="218"/>
      <c r="TTS24" s="218"/>
      <c r="TTT24" s="218"/>
      <c r="TTU24" s="218"/>
      <c r="TTV24" s="218"/>
      <c r="TTW24" s="218"/>
      <c r="TTX24" s="218"/>
      <c r="TTY24" s="218"/>
      <c r="TTZ24" s="218"/>
      <c r="TUA24" s="218"/>
      <c r="TUB24" s="218"/>
      <c r="TUC24" s="218"/>
      <c r="TUD24" s="218"/>
      <c r="TUE24" s="218"/>
      <c r="TUF24" s="218"/>
      <c r="TUG24" s="218"/>
      <c r="TUH24" s="218"/>
      <c r="TUI24" s="218"/>
      <c r="TUJ24" s="218"/>
      <c r="TUK24" s="218"/>
      <c r="TUL24" s="218"/>
      <c r="TUM24" s="218"/>
      <c r="TUN24" s="218"/>
      <c r="TUO24" s="218"/>
      <c r="TUP24" s="218"/>
      <c r="TUQ24" s="218"/>
      <c r="TUR24" s="218"/>
      <c r="TUS24" s="218"/>
      <c r="TUT24" s="218"/>
      <c r="TUU24" s="218"/>
      <c r="TUV24" s="218"/>
      <c r="TUW24" s="218"/>
      <c r="TUX24" s="218"/>
      <c r="TUY24" s="218"/>
      <c r="TUZ24" s="218"/>
      <c r="TVA24" s="218"/>
      <c r="TVB24" s="218"/>
      <c r="TVC24" s="218"/>
      <c r="TVD24" s="218"/>
      <c r="TVE24" s="218"/>
      <c r="TVF24" s="218"/>
      <c r="TVG24" s="218"/>
      <c r="TVH24" s="218"/>
      <c r="TVI24" s="218"/>
      <c r="TVJ24" s="218"/>
      <c r="TVK24" s="218"/>
      <c r="TVL24" s="218"/>
      <c r="TVM24" s="218"/>
      <c r="TVN24" s="218"/>
      <c r="TVO24" s="218"/>
      <c r="TVP24" s="218"/>
      <c r="TVQ24" s="218"/>
      <c r="TVR24" s="218"/>
      <c r="TVS24" s="218"/>
      <c r="TVT24" s="218"/>
      <c r="TVU24" s="218"/>
      <c r="TVV24" s="218"/>
      <c r="TVW24" s="218"/>
      <c r="TVX24" s="218"/>
      <c r="TVY24" s="218"/>
      <c r="TVZ24" s="218"/>
      <c r="TWA24" s="218"/>
      <c r="TWB24" s="218"/>
      <c r="TWC24" s="218"/>
      <c r="TWD24" s="218"/>
      <c r="TWE24" s="218"/>
      <c r="TWF24" s="218"/>
      <c r="TWG24" s="218"/>
      <c r="TWH24" s="218"/>
      <c r="TWI24" s="218"/>
      <c r="TWJ24" s="218"/>
      <c r="TWK24" s="218"/>
      <c r="TWL24" s="218"/>
      <c r="TWM24" s="218"/>
      <c r="TWN24" s="218"/>
      <c r="TWO24" s="218"/>
      <c r="TWP24" s="218"/>
      <c r="TWQ24" s="218"/>
      <c r="TWR24" s="218"/>
      <c r="TWS24" s="218"/>
      <c r="TWT24" s="218"/>
      <c r="TWU24" s="218"/>
      <c r="TWV24" s="218"/>
      <c r="TWW24" s="218"/>
      <c r="TWX24" s="218"/>
      <c r="TWY24" s="218"/>
      <c r="TWZ24" s="218"/>
      <c r="TXA24" s="218"/>
      <c r="TXB24" s="218"/>
      <c r="TXC24" s="218"/>
      <c r="TXD24" s="218"/>
      <c r="TXE24" s="218"/>
      <c r="TXF24" s="218"/>
      <c r="TXG24" s="218"/>
      <c r="TXH24" s="218"/>
      <c r="TXI24" s="218"/>
      <c r="TXJ24" s="218"/>
      <c r="TXK24" s="218"/>
      <c r="TXL24" s="218"/>
      <c r="TXM24" s="218"/>
      <c r="TXN24" s="218"/>
      <c r="TXO24" s="218"/>
      <c r="TXP24" s="218"/>
      <c r="TXQ24" s="218"/>
      <c r="TXR24" s="218"/>
      <c r="TXS24" s="218"/>
      <c r="TXT24" s="218"/>
      <c r="TXU24" s="218"/>
      <c r="TXV24" s="218"/>
      <c r="TXW24" s="218"/>
      <c r="TXX24" s="218"/>
      <c r="TXY24" s="218"/>
      <c r="TXZ24" s="218"/>
      <c r="TYA24" s="218"/>
      <c r="TYB24" s="218"/>
      <c r="TYC24" s="218"/>
      <c r="TYD24" s="218"/>
      <c r="TYE24" s="218"/>
      <c r="TYF24" s="218"/>
      <c r="TYG24" s="218"/>
      <c r="TYH24" s="218"/>
      <c r="TYI24" s="218"/>
      <c r="TYJ24" s="218"/>
      <c r="TYK24" s="218"/>
      <c r="TYL24" s="218"/>
      <c r="TYM24" s="218"/>
      <c r="TYN24" s="218"/>
      <c r="TYO24" s="218"/>
      <c r="TYP24" s="218"/>
      <c r="TYQ24" s="218"/>
      <c r="TYR24" s="218"/>
      <c r="TYS24" s="218"/>
      <c r="TYT24" s="218"/>
      <c r="TYU24" s="218"/>
      <c r="TYV24" s="218"/>
      <c r="TYW24" s="218"/>
      <c r="TYX24" s="218"/>
      <c r="TYY24" s="218"/>
      <c r="TYZ24" s="218"/>
      <c r="TZA24" s="218"/>
      <c r="TZB24" s="218"/>
      <c r="TZC24" s="218"/>
      <c r="TZD24" s="218"/>
      <c r="TZE24" s="218"/>
      <c r="TZF24" s="218"/>
      <c r="TZG24" s="218"/>
      <c r="TZH24" s="218"/>
      <c r="TZI24" s="218"/>
      <c r="TZJ24" s="218"/>
      <c r="TZK24" s="218"/>
      <c r="TZL24" s="218"/>
      <c r="TZM24" s="218"/>
      <c r="TZN24" s="218"/>
      <c r="TZO24" s="218"/>
      <c r="TZP24" s="218"/>
      <c r="TZQ24" s="218"/>
      <c r="TZR24" s="218"/>
      <c r="TZS24" s="218"/>
      <c r="TZT24" s="218"/>
      <c r="TZU24" s="218"/>
      <c r="TZV24" s="218"/>
      <c r="TZW24" s="218"/>
      <c r="TZX24" s="218"/>
      <c r="TZY24" s="218"/>
      <c r="TZZ24" s="218"/>
      <c r="UAA24" s="218"/>
      <c r="UAB24" s="218"/>
      <c r="UAC24" s="218"/>
      <c r="UAD24" s="218"/>
      <c r="UAE24" s="218"/>
      <c r="UAF24" s="218"/>
      <c r="UAG24" s="218"/>
      <c r="UAH24" s="218"/>
      <c r="UAI24" s="218"/>
      <c r="UAJ24" s="218"/>
      <c r="UAK24" s="218"/>
      <c r="UAL24" s="218"/>
      <c r="UAM24" s="218"/>
      <c r="UAN24" s="218"/>
      <c r="UAO24" s="218"/>
      <c r="UAP24" s="218"/>
      <c r="UAQ24" s="218"/>
      <c r="UAR24" s="218"/>
      <c r="UAS24" s="218"/>
      <c r="UAT24" s="218"/>
      <c r="UAU24" s="218"/>
      <c r="UAV24" s="218"/>
      <c r="UAW24" s="218"/>
      <c r="UAX24" s="218"/>
      <c r="UAY24" s="218"/>
      <c r="UAZ24" s="218"/>
      <c r="UBA24" s="218"/>
      <c r="UBB24" s="218"/>
      <c r="UBC24" s="218"/>
      <c r="UBD24" s="218"/>
      <c r="UBE24" s="218"/>
      <c r="UBF24" s="218"/>
      <c r="UBG24" s="218"/>
      <c r="UBH24" s="218"/>
      <c r="UBI24" s="218"/>
      <c r="UBJ24" s="218"/>
      <c r="UBK24" s="218"/>
      <c r="UBL24" s="218"/>
      <c r="UBM24" s="218"/>
      <c r="UBN24" s="218"/>
      <c r="UBO24" s="218"/>
      <c r="UBP24" s="218"/>
      <c r="UBQ24" s="218"/>
      <c r="UBR24" s="218"/>
      <c r="UBS24" s="218"/>
      <c r="UBT24" s="218"/>
      <c r="UBU24" s="218"/>
      <c r="UBV24" s="218"/>
      <c r="UBW24" s="218"/>
      <c r="UBX24" s="218"/>
      <c r="UBY24" s="218"/>
      <c r="UBZ24" s="218"/>
      <c r="UCA24" s="218"/>
      <c r="UCB24" s="218"/>
      <c r="UCC24" s="218"/>
      <c r="UCD24" s="218"/>
      <c r="UCE24" s="218"/>
      <c r="UCF24" s="218"/>
      <c r="UCG24" s="218"/>
      <c r="UCH24" s="218"/>
      <c r="UCI24" s="218"/>
      <c r="UCJ24" s="218"/>
      <c r="UCK24" s="218"/>
      <c r="UCL24" s="218"/>
      <c r="UCM24" s="218"/>
      <c r="UCN24" s="218"/>
      <c r="UCO24" s="218"/>
      <c r="UCP24" s="218"/>
      <c r="UCQ24" s="218"/>
      <c r="UCR24" s="218"/>
      <c r="UCS24" s="218"/>
      <c r="UCT24" s="218"/>
      <c r="UCU24" s="218"/>
      <c r="UCV24" s="218"/>
      <c r="UCW24" s="218"/>
      <c r="UCX24" s="218"/>
      <c r="UCY24" s="218"/>
      <c r="UCZ24" s="218"/>
      <c r="UDA24" s="218"/>
      <c r="UDB24" s="218"/>
      <c r="UDC24" s="218"/>
      <c r="UDD24" s="218"/>
      <c r="UDE24" s="218"/>
      <c r="UDF24" s="218"/>
      <c r="UDG24" s="218"/>
      <c r="UDH24" s="218"/>
      <c r="UDI24" s="218"/>
      <c r="UDJ24" s="218"/>
      <c r="UDK24" s="218"/>
      <c r="UDL24" s="218"/>
      <c r="UDM24" s="218"/>
      <c r="UDN24" s="218"/>
      <c r="UDO24" s="218"/>
      <c r="UDP24" s="218"/>
      <c r="UDQ24" s="218"/>
      <c r="UDR24" s="218"/>
      <c r="UDS24" s="218"/>
      <c r="UDT24" s="218"/>
      <c r="UDU24" s="218"/>
      <c r="UDV24" s="218"/>
      <c r="UDW24" s="218"/>
      <c r="UDX24" s="218"/>
      <c r="UDY24" s="218"/>
      <c r="UDZ24" s="218"/>
      <c r="UEA24" s="218"/>
      <c r="UEB24" s="218"/>
      <c r="UEC24" s="218"/>
      <c r="UED24" s="218"/>
      <c r="UEE24" s="218"/>
      <c r="UEF24" s="218"/>
      <c r="UEG24" s="218"/>
      <c r="UEH24" s="218"/>
      <c r="UEI24" s="218"/>
      <c r="UEJ24" s="218"/>
      <c r="UEK24" s="218"/>
      <c r="UEL24" s="218"/>
      <c r="UEM24" s="218"/>
      <c r="UEN24" s="218"/>
      <c r="UEO24" s="218"/>
      <c r="UEP24" s="218"/>
      <c r="UEQ24" s="218"/>
      <c r="UER24" s="218"/>
      <c r="UES24" s="218"/>
      <c r="UET24" s="218"/>
      <c r="UEU24" s="218"/>
      <c r="UEV24" s="218"/>
      <c r="UEW24" s="218"/>
      <c r="UEX24" s="218"/>
      <c r="UEY24" s="218"/>
      <c r="UEZ24" s="218"/>
      <c r="UFA24" s="218"/>
      <c r="UFB24" s="218"/>
      <c r="UFC24" s="218"/>
      <c r="UFD24" s="218"/>
      <c r="UFE24" s="218"/>
      <c r="UFF24" s="218"/>
      <c r="UFG24" s="218"/>
      <c r="UFH24" s="218"/>
      <c r="UFI24" s="218"/>
      <c r="UFJ24" s="218"/>
      <c r="UFK24" s="218"/>
      <c r="UFL24" s="218"/>
      <c r="UFM24" s="218"/>
      <c r="UFN24" s="218"/>
      <c r="UFO24" s="218"/>
      <c r="UFP24" s="218"/>
      <c r="UFQ24" s="218"/>
      <c r="UFR24" s="218"/>
      <c r="UFS24" s="218"/>
      <c r="UFT24" s="218"/>
      <c r="UFU24" s="218"/>
      <c r="UFV24" s="218"/>
      <c r="UFW24" s="218"/>
      <c r="UFX24" s="218"/>
      <c r="UFY24" s="218"/>
      <c r="UFZ24" s="218"/>
      <c r="UGA24" s="218"/>
      <c r="UGB24" s="218"/>
      <c r="UGC24" s="218"/>
      <c r="UGD24" s="218"/>
      <c r="UGE24" s="218"/>
      <c r="UGF24" s="218"/>
      <c r="UGG24" s="218"/>
      <c r="UGH24" s="218"/>
      <c r="UGI24" s="218"/>
      <c r="UGJ24" s="218"/>
      <c r="UGK24" s="218"/>
      <c r="UGL24" s="218"/>
      <c r="UGM24" s="218"/>
      <c r="UGN24" s="218"/>
      <c r="UGO24" s="218"/>
      <c r="UGP24" s="218"/>
      <c r="UGQ24" s="218"/>
      <c r="UGR24" s="218"/>
      <c r="UGS24" s="218"/>
      <c r="UGT24" s="218"/>
      <c r="UGU24" s="218"/>
      <c r="UGV24" s="218"/>
      <c r="UGW24" s="218"/>
      <c r="UGX24" s="218"/>
      <c r="UGY24" s="218"/>
      <c r="UGZ24" s="218"/>
      <c r="UHA24" s="218"/>
      <c r="UHB24" s="218"/>
      <c r="UHC24" s="218"/>
      <c r="UHD24" s="218"/>
      <c r="UHE24" s="218"/>
      <c r="UHF24" s="218"/>
      <c r="UHG24" s="218"/>
      <c r="UHH24" s="218"/>
      <c r="UHI24" s="218"/>
      <c r="UHJ24" s="218"/>
      <c r="UHK24" s="218"/>
      <c r="UHL24" s="218"/>
      <c r="UHM24" s="218"/>
      <c r="UHN24" s="218"/>
      <c r="UHO24" s="218"/>
      <c r="UHP24" s="218"/>
      <c r="UHQ24" s="218"/>
      <c r="UHR24" s="218"/>
      <c r="UHS24" s="218"/>
      <c r="UHT24" s="218"/>
      <c r="UHU24" s="218"/>
      <c r="UHV24" s="218"/>
      <c r="UHW24" s="218"/>
      <c r="UHX24" s="218"/>
      <c r="UHY24" s="218"/>
      <c r="UHZ24" s="218"/>
      <c r="UIA24" s="218"/>
      <c r="UIB24" s="218"/>
      <c r="UIC24" s="218"/>
      <c r="UID24" s="218"/>
      <c r="UIE24" s="218"/>
      <c r="UIF24" s="218"/>
      <c r="UIG24" s="218"/>
      <c r="UIH24" s="218"/>
      <c r="UII24" s="218"/>
      <c r="UIJ24" s="218"/>
      <c r="UIK24" s="218"/>
      <c r="UIL24" s="218"/>
      <c r="UIM24" s="218"/>
      <c r="UIN24" s="218"/>
      <c r="UIO24" s="218"/>
      <c r="UIP24" s="218"/>
      <c r="UIQ24" s="218"/>
      <c r="UIR24" s="218"/>
      <c r="UIS24" s="218"/>
      <c r="UIT24" s="218"/>
      <c r="UIU24" s="218"/>
      <c r="UIV24" s="218"/>
      <c r="UIW24" s="218"/>
      <c r="UIX24" s="218"/>
      <c r="UIY24" s="218"/>
      <c r="UIZ24" s="218"/>
      <c r="UJA24" s="218"/>
      <c r="UJB24" s="218"/>
      <c r="UJC24" s="218"/>
      <c r="UJD24" s="218"/>
      <c r="UJE24" s="218"/>
      <c r="UJF24" s="218"/>
      <c r="UJG24" s="218"/>
      <c r="UJH24" s="218"/>
      <c r="UJI24" s="218"/>
      <c r="UJJ24" s="218"/>
      <c r="UJK24" s="218"/>
      <c r="UJL24" s="218"/>
      <c r="UJM24" s="218"/>
      <c r="UJN24" s="218"/>
      <c r="UJO24" s="218"/>
      <c r="UJP24" s="218"/>
      <c r="UJQ24" s="218"/>
      <c r="UJR24" s="218"/>
      <c r="UJS24" s="218"/>
      <c r="UJT24" s="218"/>
      <c r="UJU24" s="218"/>
      <c r="UJV24" s="218"/>
      <c r="UJW24" s="218"/>
      <c r="UJX24" s="218"/>
      <c r="UJY24" s="218"/>
      <c r="UJZ24" s="218"/>
      <c r="UKA24" s="218"/>
      <c r="UKB24" s="218"/>
      <c r="UKC24" s="218"/>
      <c r="UKD24" s="218"/>
      <c r="UKE24" s="218"/>
      <c r="UKF24" s="218"/>
      <c r="UKG24" s="218"/>
      <c r="UKH24" s="218"/>
      <c r="UKI24" s="218"/>
      <c r="UKJ24" s="218"/>
      <c r="UKK24" s="218"/>
      <c r="UKL24" s="218"/>
      <c r="UKM24" s="218"/>
      <c r="UKN24" s="218"/>
      <c r="UKO24" s="218"/>
      <c r="UKP24" s="218"/>
      <c r="UKQ24" s="218"/>
      <c r="UKR24" s="218"/>
      <c r="UKS24" s="218"/>
      <c r="UKT24" s="218"/>
      <c r="UKU24" s="218"/>
      <c r="UKV24" s="218"/>
      <c r="UKW24" s="218"/>
      <c r="UKX24" s="218"/>
      <c r="UKY24" s="218"/>
      <c r="UKZ24" s="218"/>
      <c r="ULA24" s="218"/>
      <c r="ULB24" s="218"/>
      <c r="ULC24" s="218"/>
      <c r="ULD24" s="218"/>
      <c r="ULE24" s="218"/>
      <c r="ULF24" s="218"/>
      <c r="ULG24" s="218"/>
      <c r="ULH24" s="218"/>
      <c r="ULI24" s="218"/>
      <c r="ULJ24" s="218"/>
      <c r="ULK24" s="218"/>
      <c r="ULL24" s="218"/>
      <c r="ULM24" s="218"/>
      <c r="ULN24" s="218"/>
      <c r="ULO24" s="218"/>
      <c r="ULP24" s="218"/>
      <c r="ULQ24" s="218"/>
      <c r="ULR24" s="218"/>
      <c r="ULS24" s="218"/>
      <c r="ULT24" s="218"/>
      <c r="ULU24" s="218"/>
      <c r="ULV24" s="218"/>
      <c r="ULW24" s="218"/>
      <c r="ULX24" s="218"/>
      <c r="ULY24" s="218"/>
      <c r="ULZ24" s="218"/>
      <c r="UMA24" s="218"/>
      <c r="UMB24" s="218"/>
      <c r="UMC24" s="218"/>
      <c r="UMD24" s="218"/>
      <c r="UME24" s="218"/>
      <c r="UMF24" s="218"/>
      <c r="UMG24" s="218"/>
      <c r="UMH24" s="218"/>
      <c r="UMI24" s="218"/>
      <c r="UMJ24" s="218"/>
      <c r="UMK24" s="218"/>
      <c r="UML24" s="218"/>
      <c r="UMM24" s="218"/>
      <c r="UMN24" s="218"/>
      <c r="UMO24" s="218"/>
      <c r="UMP24" s="218"/>
      <c r="UMQ24" s="218"/>
      <c r="UMR24" s="218"/>
      <c r="UMS24" s="218"/>
      <c r="UMT24" s="218"/>
      <c r="UMU24" s="218"/>
      <c r="UMV24" s="218"/>
      <c r="UMW24" s="218"/>
      <c r="UMX24" s="218"/>
      <c r="UMY24" s="218"/>
      <c r="UMZ24" s="218"/>
      <c r="UNA24" s="218"/>
      <c r="UNB24" s="218"/>
      <c r="UNC24" s="218"/>
      <c r="UND24" s="218"/>
      <c r="UNE24" s="218"/>
      <c r="UNF24" s="218"/>
      <c r="UNG24" s="218"/>
      <c r="UNH24" s="218"/>
      <c r="UNI24" s="218"/>
      <c r="UNJ24" s="218"/>
      <c r="UNK24" s="218"/>
      <c r="UNL24" s="218"/>
      <c r="UNM24" s="218"/>
      <c r="UNN24" s="218"/>
      <c r="UNO24" s="218"/>
      <c r="UNP24" s="218"/>
      <c r="UNQ24" s="218"/>
      <c r="UNR24" s="218"/>
      <c r="UNS24" s="218"/>
      <c r="UNT24" s="218"/>
      <c r="UNU24" s="218"/>
      <c r="UNV24" s="218"/>
      <c r="UNW24" s="218"/>
      <c r="UNX24" s="218"/>
      <c r="UNY24" s="218"/>
      <c r="UNZ24" s="218"/>
      <c r="UOA24" s="218"/>
      <c r="UOB24" s="218"/>
      <c r="UOC24" s="218"/>
      <c r="UOD24" s="218"/>
      <c r="UOE24" s="218"/>
      <c r="UOF24" s="218"/>
      <c r="UOG24" s="218"/>
      <c r="UOH24" s="218"/>
      <c r="UOI24" s="218"/>
      <c r="UOJ24" s="218"/>
      <c r="UOK24" s="218"/>
      <c r="UOL24" s="218"/>
      <c r="UOM24" s="218"/>
      <c r="UON24" s="218"/>
      <c r="UOO24" s="218"/>
      <c r="UOP24" s="218"/>
      <c r="UOQ24" s="218"/>
      <c r="UOR24" s="218"/>
      <c r="UOS24" s="218"/>
      <c r="UOT24" s="218"/>
      <c r="UOU24" s="218"/>
      <c r="UOV24" s="218"/>
      <c r="UOW24" s="218"/>
      <c r="UOX24" s="218"/>
      <c r="UOY24" s="218"/>
      <c r="UOZ24" s="218"/>
      <c r="UPA24" s="218"/>
      <c r="UPB24" s="218"/>
      <c r="UPC24" s="218"/>
      <c r="UPD24" s="218"/>
      <c r="UPE24" s="218"/>
      <c r="UPF24" s="218"/>
      <c r="UPG24" s="218"/>
      <c r="UPH24" s="218"/>
      <c r="UPI24" s="218"/>
      <c r="UPJ24" s="218"/>
      <c r="UPK24" s="218"/>
      <c r="UPL24" s="218"/>
      <c r="UPM24" s="218"/>
      <c r="UPN24" s="218"/>
      <c r="UPO24" s="218"/>
      <c r="UPP24" s="218"/>
      <c r="UPQ24" s="218"/>
      <c r="UPR24" s="218"/>
      <c r="UPS24" s="218"/>
      <c r="UPT24" s="218"/>
      <c r="UPU24" s="218"/>
      <c r="UPV24" s="218"/>
      <c r="UPW24" s="218"/>
      <c r="UPX24" s="218"/>
      <c r="UPY24" s="218"/>
      <c r="UPZ24" s="218"/>
      <c r="UQA24" s="218"/>
      <c r="UQB24" s="218"/>
      <c r="UQC24" s="218"/>
      <c r="UQD24" s="218"/>
      <c r="UQE24" s="218"/>
      <c r="UQF24" s="218"/>
      <c r="UQG24" s="218"/>
      <c r="UQH24" s="218"/>
      <c r="UQI24" s="218"/>
      <c r="UQJ24" s="218"/>
      <c r="UQK24" s="218"/>
      <c r="UQL24" s="218"/>
      <c r="UQM24" s="218"/>
      <c r="UQN24" s="218"/>
      <c r="UQO24" s="218"/>
      <c r="UQP24" s="218"/>
      <c r="UQQ24" s="218"/>
      <c r="UQR24" s="218"/>
      <c r="UQS24" s="218"/>
      <c r="UQT24" s="218"/>
      <c r="UQU24" s="218"/>
      <c r="UQV24" s="218"/>
      <c r="UQW24" s="218"/>
      <c r="UQX24" s="218"/>
      <c r="UQY24" s="218"/>
      <c r="UQZ24" s="218"/>
      <c r="URA24" s="218"/>
      <c r="URB24" s="218"/>
      <c r="URC24" s="218"/>
      <c r="URD24" s="218"/>
      <c r="URE24" s="218"/>
      <c r="URF24" s="218"/>
      <c r="URG24" s="218"/>
      <c r="URH24" s="218"/>
      <c r="URI24" s="218"/>
      <c r="URJ24" s="218"/>
      <c r="URK24" s="218"/>
      <c r="URL24" s="218"/>
      <c r="URM24" s="218"/>
      <c r="URN24" s="218"/>
      <c r="URO24" s="218"/>
      <c r="URP24" s="218"/>
      <c r="URQ24" s="218"/>
      <c r="URR24" s="218"/>
      <c r="URS24" s="218"/>
      <c r="URT24" s="218"/>
      <c r="URU24" s="218"/>
      <c r="URV24" s="218"/>
      <c r="URW24" s="218"/>
      <c r="URX24" s="218"/>
      <c r="URY24" s="218"/>
      <c r="URZ24" s="218"/>
      <c r="USA24" s="218"/>
      <c r="USB24" s="218"/>
      <c r="USC24" s="218"/>
      <c r="USD24" s="218"/>
      <c r="USE24" s="218"/>
      <c r="USF24" s="218"/>
      <c r="USG24" s="218"/>
      <c r="USH24" s="218"/>
      <c r="USI24" s="218"/>
      <c r="USJ24" s="218"/>
      <c r="USK24" s="218"/>
      <c r="USL24" s="218"/>
      <c r="USM24" s="218"/>
      <c r="USN24" s="218"/>
      <c r="USO24" s="218"/>
      <c r="USP24" s="218"/>
      <c r="USQ24" s="218"/>
      <c r="USR24" s="218"/>
      <c r="USS24" s="218"/>
      <c r="UST24" s="218"/>
      <c r="USU24" s="218"/>
      <c r="USV24" s="218"/>
      <c r="USW24" s="218"/>
      <c r="USX24" s="218"/>
      <c r="USY24" s="218"/>
      <c r="USZ24" s="218"/>
      <c r="UTA24" s="218"/>
      <c r="UTB24" s="218"/>
      <c r="UTC24" s="218"/>
      <c r="UTD24" s="218"/>
      <c r="UTE24" s="218"/>
      <c r="UTF24" s="218"/>
      <c r="UTG24" s="218"/>
      <c r="UTH24" s="218"/>
      <c r="UTI24" s="218"/>
      <c r="UTJ24" s="218"/>
      <c r="UTK24" s="218"/>
      <c r="UTL24" s="218"/>
      <c r="UTM24" s="218"/>
      <c r="UTN24" s="218"/>
      <c r="UTO24" s="218"/>
      <c r="UTP24" s="218"/>
      <c r="UTQ24" s="218"/>
      <c r="UTR24" s="218"/>
      <c r="UTS24" s="218"/>
      <c r="UTT24" s="218"/>
      <c r="UTU24" s="218"/>
      <c r="UTV24" s="218"/>
      <c r="UTW24" s="218"/>
      <c r="UTX24" s="218"/>
      <c r="UTY24" s="218"/>
      <c r="UTZ24" s="218"/>
      <c r="UUA24" s="218"/>
      <c r="UUB24" s="218"/>
      <c r="UUC24" s="218"/>
      <c r="UUD24" s="218"/>
      <c r="UUE24" s="218"/>
      <c r="UUF24" s="218"/>
      <c r="UUG24" s="218"/>
      <c r="UUH24" s="218"/>
      <c r="UUI24" s="218"/>
      <c r="UUJ24" s="218"/>
      <c r="UUK24" s="218"/>
      <c r="UUL24" s="218"/>
      <c r="UUM24" s="218"/>
      <c r="UUN24" s="218"/>
      <c r="UUO24" s="218"/>
      <c r="UUP24" s="218"/>
      <c r="UUQ24" s="218"/>
      <c r="UUR24" s="218"/>
      <c r="UUS24" s="218"/>
      <c r="UUT24" s="218"/>
      <c r="UUU24" s="218"/>
      <c r="UUV24" s="218"/>
      <c r="UUW24" s="218"/>
      <c r="UUX24" s="218"/>
      <c r="UUY24" s="218"/>
      <c r="UUZ24" s="218"/>
      <c r="UVA24" s="218"/>
      <c r="UVB24" s="218"/>
      <c r="UVC24" s="218"/>
      <c r="UVD24" s="218"/>
      <c r="UVE24" s="218"/>
      <c r="UVF24" s="218"/>
      <c r="UVG24" s="218"/>
      <c r="UVH24" s="218"/>
      <c r="UVI24" s="218"/>
      <c r="UVJ24" s="218"/>
      <c r="UVK24" s="218"/>
      <c r="UVL24" s="218"/>
      <c r="UVM24" s="218"/>
      <c r="UVN24" s="218"/>
      <c r="UVO24" s="218"/>
      <c r="UVP24" s="218"/>
      <c r="UVQ24" s="218"/>
      <c r="UVR24" s="218"/>
      <c r="UVS24" s="218"/>
      <c r="UVT24" s="218"/>
      <c r="UVU24" s="218"/>
      <c r="UVV24" s="218"/>
      <c r="UVW24" s="218"/>
      <c r="UVX24" s="218"/>
      <c r="UVY24" s="218"/>
      <c r="UVZ24" s="218"/>
      <c r="UWA24" s="218"/>
      <c r="UWB24" s="218"/>
      <c r="UWC24" s="218"/>
      <c r="UWD24" s="218"/>
      <c r="UWE24" s="218"/>
      <c r="UWF24" s="218"/>
      <c r="UWG24" s="218"/>
      <c r="UWH24" s="218"/>
      <c r="UWI24" s="218"/>
      <c r="UWJ24" s="218"/>
      <c r="UWK24" s="218"/>
      <c r="UWL24" s="218"/>
      <c r="UWM24" s="218"/>
      <c r="UWN24" s="218"/>
      <c r="UWO24" s="218"/>
      <c r="UWP24" s="218"/>
      <c r="UWQ24" s="218"/>
      <c r="UWR24" s="218"/>
      <c r="UWS24" s="218"/>
      <c r="UWT24" s="218"/>
      <c r="UWU24" s="218"/>
      <c r="UWV24" s="218"/>
      <c r="UWW24" s="218"/>
      <c r="UWX24" s="218"/>
      <c r="UWY24" s="218"/>
      <c r="UWZ24" s="218"/>
      <c r="UXA24" s="218"/>
      <c r="UXB24" s="218"/>
      <c r="UXC24" s="218"/>
      <c r="UXD24" s="218"/>
      <c r="UXE24" s="218"/>
      <c r="UXF24" s="218"/>
      <c r="UXG24" s="218"/>
      <c r="UXH24" s="218"/>
      <c r="UXI24" s="218"/>
      <c r="UXJ24" s="218"/>
      <c r="UXK24" s="218"/>
      <c r="UXL24" s="218"/>
      <c r="UXM24" s="218"/>
      <c r="UXN24" s="218"/>
      <c r="UXO24" s="218"/>
      <c r="UXP24" s="218"/>
      <c r="UXQ24" s="218"/>
      <c r="UXR24" s="218"/>
      <c r="UXS24" s="218"/>
      <c r="UXT24" s="218"/>
      <c r="UXU24" s="218"/>
      <c r="UXV24" s="218"/>
      <c r="UXW24" s="218"/>
      <c r="UXX24" s="218"/>
      <c r="UXY24" s="218"/>
      <c r="UXZ24" s="218"/>
      <c r="UYA24" s="218"/>
      <c r="UYB24" s="218"/>
      <c r="UYC24" s="218"/>
      <c r="UYD24" s="218"/>
      <c r="UYE24" s="218"/>
      <c r="UYF24" s="218"/>
      <c r="UYG24" s="218"/>
      <c r="UYH24" s="218"/>
      <c r="UYI24" s="218"/>
      <c r="UYJ24" s="218"/>
      <c r="UYK24" s="218"/>
      <c r="UYL24" s="218"/>
      <c r="UYM24" s="218"/>
      <c r="UYN24" s="218"/>
      <c r="UYO24" s="218"/>
      <c r="UYP24" s="218"/>
      <c r="UYQ24" s="218"/>
      <c r="UYR24" s="218"/>
      <c r="UYS24" s="218"/>
      <c r="UYT24" s="218"/>
      <c r="UYU24" s="218"/>
      <c r="UYV24" s="218"/>
      <c r="UYW24" s="218"/>
      <c r="UYX24" s="218"/>
      <c r="UYY24" s="218"/>
      <c r="UYZ24" s="218"/>
      <c r="UZA24" s="218"/>
      <c r="UZB24" s="218"/>
      <c r="UZC24" s="218"/>
      <c r="UZD24" s="218"/>
      <c r="UZE24" s="218"/>
      <c r="UZF24" s="218"/>
      <c r="UZG24" s="218"/>
      <c r="UZH24" s="218"/>
      <c r="UZI24" s="218"/>
      <c r="UZJ24" s="218"/>
      <c r="UZK24" s="218"/>
      <c r="UZL24" s="218"/>
      <c r="UZM24" s="218"/>
      <c r="UZN24" s="218"/>
      <c r="UZO24" s="218"/>
      <c r="UZP24" s="218"/>
      <c r="UZQ24" s="218"/>
      <c r="UZR24" s="218"/>
      <c r="UZS24" s="218"/>
      <c r="UZT24" s="218"/>
      <c r="UZU24" s="218"/>
      <c r="UZV24" s="218"/>
      <c r="UZW24" s="218"/>
      <c r="UZX24" s="218"/>
      <c r="UZY24" s="218"/>
      <c r="UZZ24" s="218"/>
      <c r="VAA24" s="218"/>
      <c r="VAB24" s="218"/>
      <c r="VAC24" s="218"/>
      <c r="VAD24" s="218"/>
      <c r="VAE24" s="218"/>
      <c r="VAF24" s="218"/>
      <c r="VAG24" s="218"/>
      <c r="VAH24" s="218"/>
      <c r="VAI24" s="218"/>
      <c r="VAJ24" s="218"/>
      <c r="VAK24" s="218"/>
      <c r="VAL24" s="218"/>
      <c r="VAM24" s="218"/>
      <c r="VAN24" s="218"/>
      <c r="VAO24" s="218"/>
      <c r="VAP24" s="218"/>
      <c r="VAQ24" s="218"/>
      <c r="VAR24" s="218"/>
      <c r="VAS24" s="218"/>
      <c r="VAT24" s="218"/>
      <c r="VAU24" s="218"/>
      <c r="VAV24" s="218"/>
      <c r="VAW24" s="218"/>
      <c r="VAX24" s="218"/>
      <c r="VAY24" s="218"/>
      <c r="VAZ24" s="218"/>
      <c r="VBA24" s="218"/>
      <c r="VBB24" s="218"/>
      <c r="VBC24" s="218"/>
      <c r="VBD24" s="218"/>
      <c r="VBE24" s="218"/>
      <c r="VBF24" s="218"/>
      <c r="VBG24" s="218"/>
      <c r="VBH24" s="218"/>
      <c r="VBI24" s="218"/>
      <c r="VBJ24" s="218"/>
      <c r="VBK24" s="218"/>
      <c r="VBL24" s="218"/>
      <c r="VBM24" s="218"/>
      <c r="VBN24" s="218"/>
      <c r="VBO24" s="218"/>
      <c r="VBP24" s="218"/>
      <c r="VBQ24" s="218"/>
      <c r="VBR24" s="218"/>
      <c r="VBS24" s="218"/>
      <c r="VBT24" s="218"/>
      <c r="VBU24" s="218"/>
      <c r="VBV24" s="218"/>
      <c r="VBW24" s="218"/>
      <c r="VBX24" s="218"/>
      <c r="VBY24" s="218"/>
      <c r="VBZ24" s="218"/>
      <c r="VCA24" s="218"/>
      <c r="VCB24" s="218"/>
      <c r="VCC24" s="218"/>
      <c r="VCD24" s="218"/>
      <c r="VCE24" s="218"/>
      <c r="VCF24" s="218"/>
      <c r="VCG24" s="218"/>
      <c r="VCH24" s="218"/>
      <c r="VCI24" s="218"/>
      <c r="VCJ24" s="218"/>
      <c r="VCK24" s="218"/>
      <c r="VCL24" s="218"/>
      <c r="VCM24" s="218"/>
      <c r="VCN24" s="218"/>
      <c r="VCO24" s="218"/>
      <c r="VCP24" s="218"/>
      <c r="VCQ24" s="218"/>
      <c r="VCR24" s="218"/>
      <c r="VCS24" s="218"/>
      <c r="VCT24" s="218"/>
      <c r="VCU24" s="218"/>
      <c r="VCV24" s="218"/>
      <c r="VCW24" s="218"/>
      <c r="VCX24" s="218"/>
      <c r="VCY24" s="218"/>
      <c r="VCZ24" s="218"/>
      <c r="VDA24" s="218"/>
      <c r="VDB24" s="218"/>
      <c r="VDC24" s="218"/>
      <c r="VDD24" s="218"/>
      <c r="VDE24" s="218"/>
      <c r="VDF24" s="218"/>
      <c r="VDG24" s="218"/>
      <c r="VDH24" s="218"/>
      <c r="VDI24" s="218"/>
      <c r="VDJ24" s="218"/>
      <c r="VDK24" s="218"/>
      <c r="VDL24" s="218"/>
      <c r="VDM24" s="218"/>
      <c r="VDN24" s="218"/>
      <c r="VDO24" s="218"/>
      <c r="VDP24" s="218"/>
      <c r="VDQ24" s="218"/>
      <c r="VDR24" s="218"/>
      <c r="VDS24" s="218"/>
      <c r="VDT24" s="218"/>
      <c r="VDU24" s="218"/>
      <c r="VDV24" s="218"/>
      <c r="VDW24" s="218"/>
      <c r="VDX24" s="218"/>
      <c r="VDY24" s="218"/>
      <c r="VDZ24" s="218"/>
      <c r="VEA24" s="218"/>
      <c r="VEB24" s="218"/>
      <c r="VEC24" s="218"/>
      <c r="VED24" s="218"/>
      <c r="VEE24" s="218"/>
      <c r="VEF24" s="218"/>
      <c r="VEG24" s="218"/>
      <c r="VEH24" s="218"/>
      <c r="VEI24" s="218"/>
      <c r="VEJ24" s="218"/>
      <c r="VEK24" s="218"/>
      <c r="VEL24" s="218"/>
      <c r="VEM24" s="218"/>
      <c r="VEN24" s="218"/>
      <c r="VEO24" s="218"/>
      <c r="VEP24" s="218"/>
      <c r="VEQ24" s="218"/>
      <c r="VER24" s="218"/>
      <c r="VES24" s="218"/>
      <c r="VET24" s="218"/>
      <c r="VEU24" s="218"/>
      <c r="VEV24" s="218"/>
      <c r="VEW24" s="218"/>
      <c r="VEX24" s="218"/>
      <c r="VEY24" s="218"/>
      <c r="VEZ24" s="218"/>
      <c r="VFA24" s="218"/>
      <c r="VFB24" s="218"/>
      <c r="VFC24" s="218"/>
      <c r="VFD24" s="218"/>
      <c r="VFE24" s="218"/>
      <c r="VFF24" s="218"/>
      <c r="VFG24" s="218"/>
      <c r="VFH24" s="218"/>
      <c r="VFI24" s="218"/>
      <c r="VFJ24" s="218"/>
      <c r="VFK24" s="218"/>
      <c r="VFL24" s="218"/>
      <c r="VFM24" s="218"/>
      <c r="VFN24" s="218"/>
      <c r="VFO24" s="218"/>
      <c r="VFP24" s="218"/>
      <c r="VFQ24" s="218"/>
      <c r="VFR24" s="218"/>
      <c r="VFS24" s="218"/>
      <c r="VFT24" s="218"/>
      <c r="VFU24" s="218"/>
      <c r="VFV24" s="218"/>
      <c r="VFW24" s="218"/>
      <c r="VFX24" s="218"/>
      <c r="VFY24" s="218"/>
      <c r="VFZ24" s="218"/>
      <c r="VGA24" s="218"/>
      <c r="VGB24" s="218"/>
      <c r="VGC24" s="218"/>
      <c r="VGD24" s="218"/>
      <c r="VGE24" s="218"/>
      <c r="VGF24" s="218"/>
      <c r="VGG24" s="218"/>
      <c r="VGH24" s="218"/>
      <c r="VGI24" s="218"/>
      <c r="VGJ24" s="218"/>
      <c r="VGK24" s="218"/>
      <c r="VGL24" s="218"/>
      <c r="VGM24" s="218"/>
      <c r="VGN24" s="218"/>
      <c r="VGO24" s="218"/>
      <c r="VGP24" s="218"/>
      <c r="VGQ24" s="218"/>
      <c r="VGR24" s="218"/>
      <c r="VGS24" s="218"/>
      <c r="VGT24" s="218"/>
      <c r="VGU24" s="218"/>
      <c r="VGV24" s="218"/>
      <c r="VGW24" s="218"/>
      <c r="VGX24" s="218"/>
      <c r="VGY24" s="218"/>
      <c r="VGZ24" s="218"/>
      <c r="VHA24" s="218"/>
      <c r="VHB24" s="218"/>
      <c r="VHC24" s="218"/>
      <c r="VHD24" s="218"/>
      <c r="VHE24" s="218"/>
      <c r="VHF24" s="218"/>
      <c r="VHG24" s="218"/>
      <c r="VHH24" s="218"/>
      <c r="VHI24" s="218"/>
      <c r="VHJ24" s="218"/>
      <c r="VHK24" s="218"/>
      <c r="VHL24" s="218"/>
      <c r="VHM24" s="218"/>
      <c r="VHN24" s="218"/>
      <c r="VHO24" s="218"/>
      <c r="VHP24" s="218"/>
      <c r="VHQ24" s="218"/>
      <c r="VHR24" s="218"/>
      <c r="VHS24" s="218"/>
      <c r="VHT24" s="218"/>
      <c r="VHU24" s="218"/>
      <c r="VHV24" s="218"/>
      <c r="VHW24" s="218"/>
      <c r="VHX24" s="218"/>
      <c r="VHY24" s="218"/>
      <c r="VHZ24" s="218"/>
      <c r="VIA24" s="218"/>
      <c r="VIB24" s="218"/>
      <c r="VIC24" s="218"/>
      <c r="VID24" s="218"/>
      <c r="VIE24" s="218"/>
      <c r="VIF24" s="218"/>
      <c r="VIG24" s="218"/>
      <c r="VIH24" s="218"/>
      <c r="VII24" s="218"/>
      <c r="VIJ24" s="218"/>
      <c r="VIK24" s="218"/>
      <c r="VIL24" s="218"/>
      <c r="VIM24" s="218"/>
      <c r="VIN24" s="218"/>
      <c r="VIO24" s="218"/>
      <c r="VIP24" s="218"/>
      <c r="VIQ24" s="218"/>
      <c r="VIR24" s="218"/>
      <c r="VIS24" s="218"/>
      <c r="VIT24" s="218"/>
      <c r="VIU24" s="218"/>
      <c r="VIV24" s="218"/>
      <c r="VIW24" s="218"/>
      <c r="VIX24" s="218"/>
      <c r="VIY24" s="218"/>
      <c r="VIZ24" s="218"/>
      <c r="VJA24" s="218"/>
      <c r="VJB24" s="218"/>
      <c r="VJC24" s="218"/>
      <c r="VJD24" s="218"/>
      <c r="VJE24" s="218"/>
      <c r="VJF24" s="218"/>
      <c r="VJG24" s="218"/>
      <c r="VJH24" s="218"/>
      <c r="VJI24" s="218"/>
      <c r="VJJ24" s="218"/>
      <c r="VJK24" s="218"/>
      <c r="VJL24" s="218"/>
      <c r="VJM24" s="218"/>
      <c r="VJN24" s="218"/>
      <c r="VJO24" s="218"/>
      <c r="VJP24" s="218"/>
      <c r="VJQ24" s="218"/>
      <c r="VJR24" s="218"/>
      <c r="VJS24" s="218"/>
      <c r="VJT24" s="218"/>
      <c r="VJU24" s="218"/>
      <c r="VJV24" s="218"/>
      <c r="VJW24" s="218"/>
      <c r="VJX24" s="218"/>
      <c r="VJY24" s="218"/>
      <c r="VJZ24" s="218"/>
      <c r="VKA24" s="218"/>
      <c r="VKB24" s="218"/>
      <c r="VKC24" s="218"/>
      <c r="VKD24" s="218"/>
      <c r="VKE24" s="218"/>
      <c r="VKF24" s="218"/>
      <c r="VKG24" s="218"/>
      <c r="VKH24" s="218"/>
      <c r="VKI24" s="218"/>
      <c r="VKJ24" s="218"/>
      <c r="VKK24" s="218"/>
      <c r="VKL24" s="218"/>
      <c r="VKM24" s="218"/>
      <c r="VKN24" s="218"/>
      <c r="VKO24" s="218"/>
      <c r="VKP24" s="218"/>
      <c r="VKQ24" s="218"/>
      <c r="VKR24" s="218"/>
      <c r="VKS24" s="218"/>
      <c r="VKT24" s="218"/>
      <c r="VKU24" s="218"/>
      <c r="VKV24" s="218"/>
      <c r="VKW24" s="218"/>
      <c r="VKX24" s="218"/>
      <c r="VKY24" s="218"/>
      <c r="VKZ24" s="218"/>
      <c r="VLA24" s="218"/>
      <c r="VLB24" s="218"/>
      <c r="VLC24" s="218"/>
      <c r="VLD24" s="218"/>
      <c r="VLE24" s="218"/>
      <c r="VLF24" s="218"/>
      <c r="VLG24" s="218"/>
      <c r="VLH24" s="218"/>
      <c r="VLI24" s="218"/>
      <c r="VLJ24" s="218"/>
      <c r="VLK24" s="218"/>
      <c r="VLL24" s="218"/>
      <c r="VLM24" s="218"/>
      <c r="VLN24" s="218"/>
      <c r="VLO24" s="218"/>
      <c r="VLP24" s="218"/>
      <c r="VLQ24" s="218"/>
      <c r="VLR24" s="218"/>
      <c r="VLS24" s="218"/>
      <c r="VLT24" s="218"/>
      <c r="VLU24" s="218"/>
      <c r="VLV24" s="218"/>
      <c r="VLW24" s="218"/>
      <c r="VLX24" s="218"/>
      <c r="VLY24" s="218"/>
      <c r="VLZ24" s="218"/>
      <c r="VMA24" s="218"/>
      <c r="VMB24" s="218"/>
      <c r="VMC24" s="218"/>
      <c r="VMD24" s="218"/>
      <c r="VME24" s="218"/>
      <c r="VMF24" s="218"/>
      <c r="VMG24" s="218"/>
      <c r="VMH24" s="218"/>
      <c r="VMI24" s="218"/>
      <c r="VMJ24" s="218"/>
      <c r="VMK24" s="218"/>
      <c r="VML24" s="218"/>
      <c r="VMM24" s="218"/>
      <c r="VMN24" s="218"/>
      <c r="VMO24" s="218"/>
      <c r="VMP24" s="218"/>
      <c r="VMQ24" s="218"/>
      <c r="VMR24" s="218"/>
      <c r="VMS24" s="218"/>
      <c r="VMT24" s="218"/>
      <c r="VMU24" s="218"/>
      <c r="VMV24" s="218"/>
      <c r="VMW24" s="218"/>
      <c r="VMX24" s="218"/>
      <c r="VMY24" s="218"/>
      <c r="VMZ24" s="218"/>
      <c r="VNA24" s="218"/>
      <c r="VNB24" s="218"/>
      <c r="VNC24" s="218"/>
      <c r="VND24" s="218"/>
      <c r="VNE24" s="218"/>
      <c r="VNF24" s="218"/>
      <c r="VNG24" s="218"/>
      <c r="VNH24" s="218"/>
      <c r="VNI24" s="218"/>
      <c r="VNJ24" s="218"/>
      <c r="VNK24" s="218"/>
      <c r="VNL24" s="218"/>
      <c r="VNM24" s="218"/>
      <c r="VNN24" s="218"/>
      <c r="VNO24" s="218"/>
      <c r="VNP24" s="218"/>
      <c r="VNQ24" s="218"/>
      <c r="VNR24" s="218"/>
      <c r="VNS24" s="218"/>
      <c r="VNT24" s="218"/>
      <c r="VNU24" s="218"/>
      <c r="VNV24" s="218"/>
      <c r="VNW24" s="218"/>
      <c r="VNX24" s="218"/>
      <c r="VNY24" s="218"/>
      <c r="VNZ24" s="218"/>
      <c r="VOA24" s="218"/>
      <c r="VOB24" s="218"/>
      <c r="VOC24" s="218"/>
      <c r="VOD24" s="218"/>
      <c r="VOE24" s="218"/>
      <c r="VOF24" s="218"/>
      <c r="VOG24" s="218"/>
      <c r="VOH24" s="218"/>
      <c r="VOI24" s="218"/>
      <c r="VOJ24" s="218"/>
      <c r="VOK24" s="218"/>
      <c r="VOL24" s="218"/>
      <c r="VOM24" s="218"/>
      <c r="VON24" s="218"/>
      <c r="VOO24" s="218"/>
      <c r="VOP24" s="218"/>
      <c r="VOQ24" s="218"/>
      <c r="VOR24" s="218"/>
      <c r="VOS24" s="218"/>
      <c r="VOT24" s="218"/>
      <c r="VOU24" s="218"/>
      <c r="VOV24" s="218"/>
      <c r="VOW24" s="218"/>
      <c r="VOX24" s="218"/>
      <c r="VOY24" s="218"/>
      <c r="VOZ24" s="218"/>
      <c r="VPA24" s="218"/>
      <c r="VPB24" s="218"/>
      <c r="VPC24" s="218"/>
      <c r="VPD24" s="218"/>
      <c r="VPE24" s="218"/>
      <c r="VPF24" s="218"/>
      <c r="VPG24" s="218"/>
      <c r="VPH24" s="218"/>
      <c r="VPI24" s="218"/>
      <c r="VPJ24" s="218"/>
      <c r="VPK24" s="218"/>
      <c r="VPL24" s="218"/>
      <c r="VPM24" s="218"/>
      <c r="VPN24" s="218"/>
      <c r="VPO24" s="218"/>
      <c r="VPP24" s="218"/>
      <c r="VPQ24" s="218"/>
      <c r="VPR24" s="218"/>
      <c r="VPS24" s="218"/>
      <c r="VPT24" s="218"/>
      <c r="VPU24" s="218"/>
      <c r="VPV24" s="218"/>
      <c r="VPW24" s="218"/>
      <c r="VPX24" s="218"/>
      <c r="VPY24" s="218"/>
      <c r="VPZ24" s="218"/>
      <c r="VQA24" s="218"/>
      <c r="VQB24" s="218"/>
      <c r="VQC24" s="218"/>
      <c r="VQD24" s="218"/>
      <c r="VQE24" s="218"/>
      <c r="VQF24" s="218"/>
      <c r="VQG24" s="218"/>
      <c r="VQH24" s="218"/>
      <c r="VQI24" s="218"/>
      <c r="VQJ24" s="218"/>
      <c r="VQK24" s="218"/>
      <c r="VQL24" s="218"/>
      <c r="VQM24" s="218"/>
      <c r="VQN24" s="218"/>
      <c r="VQO24" s="218"/>
      <c r="VQP24" s="218"/>
      <c r="VQQ24" s="218"/>
      <c r="VQR24" s="218"/>
      <c r="VQS24" s="218"/>
      <c r="VQT24" s="218"/>
      <c r="VQU24" s="218"/>
      <c r="VQV24" s="218"/>
      <c r="VQW24" s="218"/>
      <c r="VQX24" s="218"/>
      <c r="VQY24" s="218"/>
      <c r="VQZ24" s="218"/>
      <c r="VRA24" s="218"/>
      <c r="VRB24" s="218"/>
      <c r="VRC24" s="218"/>
      <c r="VRD24" s="218"/>
      <c r="VRE24" s="218"/>
      <c r="VRF24" s="218"/>
      <c r="VRG24" s="218"/>
      <c r="VRH24" s="218"/>
      <c r="VRI24" s="218"/>
      <c r="VRJ24" s="218"/>
      <c r="VRK24" s="218"/>
      <c r="VRL24" s="218"/>
      <c r="VRM24" s="218"/>
      <c r="VRN24" s="218"/>
      <c r="VRO24" s="218"/>
      <c r="VRP24" s="218"/>
      <c r="VRQ24" s="218"/>
      <c r="VRR24" s="218"/>
      <c r="VRS24" s="218"/>
      <c r="VRT24" s="218"/>
      <c r="VRU24" s="218"/>
      <c r="VRV24" s="218"/>
      <c r="VRW24" s="218"/>
      <c r="VRX24" s="218"/>
      <c r="VRY24" s="218"/>
      <c r="VRZ24" s="218"/>
      <c r="VSA24" s="218"/>
      <c r="VSB24" s="218"/>
      <c r="VSC24" s="218"/>
      <c r="VSD24" s="218"/>
      <c r="VSE24" s="218"/>
      <c r="VSF24" s="218"/>
      <c r="VSG24" s="218"/>
      <c r="VSH24" s="218"/>
      <c r="VSI24" s="218"/>
      <c r="VSJ24" s="218"/>
      <c r="VSK24" s="218"/>
      <c r="VSL24" s="218"/>
      <c r="VSM24" s="218"/>
      <c r="VSN24" s="218"/>
      <c r="VSO24" s="218"/>
      <c r="VSP24" s="218"/>
      <c r="VSQ24" s="218"/>
      <c r="VSR24" s="218"/>
      <c r="VSS24" s="218"/>
      <c r="VST24" s="218"/>
      <c r="VSU24" s="218"/>
      <c r="VSV24" s="218"/>
      <c r="VSW24" s="218"/>
      <c r="VSX24" s="218"/>
      <c r="VSY24" s="218"/>
      <c r="VSZ24" s="218"/>
      <c r="VTA24" s="218"/>
      <c r="VTB24" s="218"/>
      <c r="VTC24" s="218"/>
      <c r="VTD24" s="218"/>
      <c r="VTE24" s="218"/>
      <c r="VTF24" s="218"/>
      <c r="VTG24" s="218"/>
      <c r="VTH24" s="218"/>
      <c r="VTI24" s="218"/>
      <c r="VTJ24" s="218"/>
      <c r="VTK24" s="218"/>
      <c r="VTL24" s="218"/>
      <c r="VTM24" s="218"/>
      <c r="VTN24" s="218"/>
      <c r="VTO24" s="218"/>
      <c r="VTP24" s="218"/>
      <c r="VTQ24" s="218"/>
      <c r="VTR24" s="218"/>
      <c r="VTS24" s="218"/>
      <c r="VTT24" s="218"/>
      <c r="VTU24" s="218"/>
      <c r="VTV24" s="218"/>
      <c r="VTW24" s="218"/>
      <c r="VTX24" s="218"/>
      <c r="VTY24" s="218"/>
      <c r="VTZ24" s="218"/>
      <c r="VUA24" s="218"/>
      <c r="VUB24" s="218"/>
      <c r="VUC24" s="218"/>
      <c r="VUD24" s="218"/>
      <c r="VUE24" s="218"/>
      <c r="VUF24" s="218"/>
      <c r="VUG24" s="218"/>
      <c r="VUH24" s="218"/>
      <c r="VUI24" s="218"/>
      <c r="VUJ24" s="218"/>
      <c r="VUK24" s="218"/>
      <c r="VUL24" s="218"/>
      <c r="VUM24" s="218"/>
      <c r="VUN24" s="218"/>
      <c r="VUO24" s="218"/>
      <c r="VUP24" s="218"/>
      <c r="VUQ24" s="218"/>
      <c r="VUR24" s="218"/>
      <c r="VUS24" s="218"/>
      <c r="VUT24" s="218"/>
      <c r="VUU24" s="218"/>
      <c r="VUV24" s="218"/>
      <c r="VUW24" s="218"/>
      <c r="VUX24" s="218"/>
      <c r="VUY24" s="218"/>
      <c r="VUZ24" s="218"/>
      <c r="VVA24" s="218"/>
      <c r="VVB24" s="218"/>
      <c r="VVC24" s="218"/>
      <c r="VVD24" s="218"/>
      <c r="VVE24" s="218"/>
      <c r="VVF24" s="218"/>
      <c r="VVG24" s="218"/>
      <c r="VVH24" s="218"/>
      <c r="VVI24" s="218"/>
      <c r="VVJ24" s="218"/>
      <c r="VVK24" s="218"/>
      <c r="VVL24" s="218"/>
      <c r="VVM24" s="218"/>
      <c r="VVN24" s="218"/>
      <c r="VVO24" s="218"/>
      <c r="VVP24" s="218"/>
      <c r="VVQ24" s="218"/>
      <c r="VVR24" s="218"/>
      <c r="VVS24" s="218"/>
      <c r="VVT24" s="218"/>
      <c r="VVU24" s="218"/>
      <c r="VVV24" s="218"/>
      <c r="VVW24" s="218"/>
      <c r="VVX24" s="218"/>
      <c r="VVY24" s="218"/>
      <c r="VVZ24" s="218"/>
      <c r="VWA24" s="218"/>
      <c r="VWB24" s="218"/>
      <c r="VWC24" s="218"/>
      <c r="VWD24" s="218"/>
      <c r="VWE24" s="218"/>
      <c r="VWF24" s="218"/>
      <c r="VWG24" s="218"/>
      <c r="VWH24" s="218"/>
      <c r="VWI24" s="218"/>
      <c r="VWJ24" s="218"/>
      <c r="VWK24" s="218"/>
      <c r="VWL24" s="218"/>
      <c r="VWM24" s="218"/>
      <c r="VWN24" s="218"/>
      <c r="VWO24" s="218"/>
      <c r="VWP24" s="218"/>
      <c r="VWQ24" s="218"/>
      <c r="VWR24" s="218"/>
      <c r="VWS24" s="218"/>
      <c r="VWT24" s="218"/>
      <c r="VWU24" s="218"/>
      <c r="VWV24" s="218"/>
      <c r="VWW24" s="218"/>
      <c r="VWX24" s="218"/>
      <c r="VWY24" s="218"/>
      <c r="VWZ24" s="218"/>
      <c r="VXA24" s="218"/>
      <c r="VXB24" s="218"/>
      <c r="VXC24" s="218"/>
      <c r="VXD24" s="218"/>
      <c r="VXE24" s="218"/>
      <c r="VXF24" s="218"/>
      <c r="VXG24" s="218"/>
      <c r="VXH24" s="218"/>
      <c r="VXI24" s="218"/>
      <c r="VXJ24" s="218"/>
      <c r="VXK24" s="218"/>
      <c r="VXL24" s="218"/>
      <c r="VXM24" s="218"/>
      <c r="VXN24" s="218"/>
      <c r="VXO24" s="218"/>
      <c r="VXP24" s="218"/>
      <c r="VXQ24" s="218"/>
      <c r="VXR24" s="218"/>
      <c r="VXS24" s="218"/>
      <c r="VXT24" s="218"/>
      <c r="VXU24" s="218"/>
      <c r="VXV24" s="218"/>
      <c r="VXW24" s="218"/>
      <c r="VXX24" s="218"/>
      <c r="VXY24" s="218"/>
      <c r="VXZ24" s="218"/>
      <c r="VYA24" s="218"/>
      <c r="VYB24" s="218"/>
      <c r="VYC24" s="218"/>
      <c r="VYD24" s="218"/>
      <c r="VYE24" s="218"/>
      <c r="VYF24" s="218"/>
      <c r="VYG24" s="218"/>
      <c r="VYH24" s="218"/>
      <c r="VYI24" s="218"/>
      <c r="VYJ24" s="218"/>
      <c r="VYK24" s="218"/>
      <c r="VYL24" s="218"/>
      <c r="VYM24" s="218"/>
      <c r="VYN24" s="218"/>
      <c r="VYO24" s="218"/>
      <c r="VYP24" s="218"/>
      <c r="VYQ24" s="218"/>
      <c r="VYR24" s="218"/>
      <c r="VYS24" s="218"/>
      <c r="VYT24" s="218"/>
      <c r="VYU24" s="218"/>
      <c r="VYV24" s="218"/>
      <c r="VYW24" s="218"/>
      <c r="VYX24" s="218"/>
      <c r="VYY24" s="218"/>
      <c r="VYZ24" s="218"/>
      <c r="VZA24" s="218"/>
      <c r="VZB24" s="218"/>
      <c r="VZC24" s="218"/>
      <c r="VZD24" s="218"/>
      <c r="VZE24" s="218"/>
      <c r="VZF24" s="218"/>
      <c r="VZG24" s="218"/>
      <c r="VZH24" s="218"/>
      <c r="VZI24" s="218"/>
      <c r="VZJ24" s="218"/>
      <c r="VZK24" s="218"/>
      <c r="VZL24" s="218"/>
      <c r="VZM24" s="218"/>
      <c r="VZN24" s="218"/>
      <c r="VZO24" s="218"/>
      <c r="VZP24" s="218"/>
      <c r="VZQ24" s="218"/>
      <c r="VZR24" s="218"/>
      <c r="VZS24" s="218"/>
      <c r="VZT24" s="218"/>
      <c r="VZU24" s="218"/>
      <c r="VZV24" s="218"/>
      <c r="VZW24" s="218"/>
      <c r="VZX24" s="218"/>
      <c r="VZY24" s="218"/>
      <c r="VZZ24" s="218"/>
      <c r="WAA24" s="218"/>
      <c r="WAB24" s="218"/>
      <c r="WAC24" s="218"/>
      <c r="WAD24" s="218"/>
      <c r="WAE24" s="218"/>
      <c r="WAF24" s="218"/>
      <c r="WAG24" s="218"/>
      <c r="WAH24" s="218"/>
      <c r="WAI24" s="218"/>
      <c r="WAJ24" s="218"/>
      <c r="WAK24" s="218"/>
      <c r="WAL24" s="218"/>
      <c r="WAM24" s="218"/>
      <c r="WAN24" s="218"/>
      <c r="WAO24" s="218"/>
      <c r="WAP24" s="218"/>
      <c r="WAQ24" s="218"/>
      <c r="WAR24" s="218"/>
      <c r="WAS24" s="218"/>
      <c r="WAT24" s="218"/>
      <c r="WAU24" s="218"/>
      <c r="WAV24" s="218"/>
      <c r="WAW24" s="218"/>
      <c r="WAX24" s="218"/>
      <c r="WAY24" s="218"/>
      <c r="WAZ24" s="218"/>
      <c r="WBA24" s="218"/>
      <c r="WBB24" s="218"/>
      <c r="WBC24" s="218"/>
      <c r="WBD24" s="218"/>
      <c r="WBE24" s="218"/>
      <c r="WBF24" s="218"/>
      <c r="WBG24" s="218"/>
      <c r="WBH24" s="218"/>
      <c r="WBI24" s="218"/>
      <c r="WBJ24" s="218"/>
      <c r="WBK24" s="218"/>
      <c r="WBL24" s="218"/>
      <c r="WBM24" s="218"/>
      <c r="WBN24" s="218"/>
      <c r="WBO24" s="218"/>
      <c r="WBP24" s="218"/>
      <c r="WBQ24" s="218"/>
      <c r="WBR24" s="218"/>
      <c r="WBS24" s="218"/>
      <c r="WBT24" s="218"/>
      <c r="WBU24" s="218"/>
      <c r="WBV24" s="218"/>
      <c r="WBW24" s="218"/>
      <c r="WBX24" s="218"/>
      <c r="WBY24" s="218"/>
      <c r="WBZ24" s="218"/>
      <c r="WCA24" s="218"/>
      <c r="WCB24" s="218"/>
      <c r="WCC24" s="218"/>
      <c r="WCD24" s="218"/>
      <c r="WCE24" s="218"/>
      <c r="WCF24" s="218"/>
      <c r="WCG24" s="218"/>
      <c r="WCH24" s="218"/>
      <c r="WCI24" s="218"/>
      <c r="WCJ24" s="218"/>
      <c r="WCK24" s="218"/>
      <c r="WCL24" s="218"/>
      <c r="WCM24" s="218"/>
      <c r="WCN24" s="218"/>
      <c r="WCO24" s="218"/>
      <c r="WCP24" s="218"/>
      <c r="WCQ24" s="218"/>
      <c r="WCR24" s="218"/>
      <c r="WCS24" s="218"/>
      <c r="WCT24" s="218"/>
      <c r="WCU24" s="218"/>
      <c r="WCV24" s="218"/>
      <c r="WCW24" s="218"/>
      <c r="WCX24" s="218"/>
      <c r="WCY24" s="218"/>
      <c r="WCZ24" s="218"/>
      <c r="WDA24" s="218"/>
      <c r="WDB24" s="218"/>
      <c r="WDC24" s="218"/>
      <c r="WDD24" s="218"/>
      <c r="WDE24" s="218"/>
      <c r="WDF24" s="218"/>
      <c r="WDG24" s="218"/>
      <c r="WDH24" s="218"/>
      <c r="WDI24" s="218"/>
      <c r="WDJ24" s="218"/>
      <c r="WDK24" s="218"/>
      <c r="WDL24" s="218"/>
      <c r="WDM24" s="218"/>
      <c r="WDN24" s="218"/>
      <c r="WDO24" s="218"/>
      <c r="WDP24" s="218"/>
      <c r="WDQ24" s="218"/>
      <c r="WDR24" s="218"/>
      <c r="WDS24" s="218"/>
      <c r="WDT24" s="218"/>
      <c r="WDU24" s="218"/>
      <c r="WDV24" s="218"/>
      <c r="WDW24" s="218"/>
      <c r="WDX24" s="218"/>
      <c r="WDY24" s="218"/>
      <c r="WDZ24" s="218"/>
      <c r="WEA24" s="218"/>
      <c r="WEB24" s="218"/>
      <c r="WEC24" s="218"/>
      <c r="WED24" s="218"/>
      <c r="WEE24" s="218"/>
      <c r="WEF24" s="218"/>
      <c r="WEG24" s="218"/>
      <c r="WEH24" s="218"/>
      <c r="WEI24" s="218"/>
      <c r="WEJ24" s="218"/>
      <c r="WEK24" s="218"/>
      <c r="WEL24" s="218"/>
      <c r="WEM24" s="218"/>
      <c r="WEN24" s="218"/>
      <c r="WEO24" s="218"/>
      <c r="WEP24" s="218"/>
      <c r="WEQ24" s="218"/>
      <c r="WER24" s="218"/>
      <c r="WES24" s="218"/>
      <c r="WET24" s="218"/>
      <c r="WEU24" s="218"/>
      <c r="WEV24" s="218"/>
      <c r="WEW24" s="218"/>
      <c r="WEX24" s="218"/>
      <c r="WEY24" s="218"/>
      <c r="WEZ24" s="218"/>
      <c r="WFA24" s="218"/>
      <c r="WFB24" s="218"/>
      <c r="WFC24" s="218"/>
      <c r="WFD24" s="218"/>
      <c r="WFE24" s="218"/>
      <c r="WFF24" s="218"/>
      <c r="WFG24" s="218"/>
      <c r="WFH24" s="218"/>
      <c r="WFI24" s="218"/>
      <c r="WFJ24" s="218"/>
      <c r="WFK24" s="218"/>
      <c r="WFL24" s="218"/>
      <c r="WFM24" s="218"/>
      <c r="WFN24" s="218"/>
      <c r="WFO24" s="218"/>
      <c r="WFP24" s="218"/>
      <c r="WFQ24" s="218"/>
      <c r="WFR24" s="218"/>
      <c r="WFS24" s="218"/>
      <c r="WFT24" s="218"/>
      <c r="WFU24" s="218"/>
      <c r="WFV24" s="218"/>
      <c r="WFW24" s="218"/>
      <c r="WFX24" s="218"/>
      <c r="WFY24" s="218"/>
      <c r="WFZ24" s="218"/>
      <c r="WGA24" s="218"/>
      <c r="WGB24" s="218"/>
      <c r="WGC24" s="218"/>
      <c r="WGD24" s="218"/>
      <c r="WGE24" s="218"/>
      <c r="WGF24" s="218"/>
      <c r="WGG24" s="218"/>
      <c r="WGH24" s="218"/>
      <c r="WGI24" s="218"/>
      <c r="WGJ24" s="218"/>
      <c r="WGK24" s="218"/>
      <c r="WGL24" s="218"/>
      <c r="WGM24" s="218"/>
      <c r="WGN24" s="218"/>
      <c r="WGO24" s="218"/>
      <c r="WGP24" s="218"/>
      <c r="WGQ24" s="218"/>
      <c r="WGR24" s="218"/>
      <c r="WGS24" s="218"/>
      <c r="WGT24" s="218"/>
      <c r="WGU24" s="218"/>
      <c r="WGV24" s="218"/>
      <c r="WGW24" s="218"/>
      <c r="WGX24" s="218"/>
      <c r="WGY24" s="218"/>
      <c r="WGZ24" s="218"/>
      <c r="WHA24" s="218"/>
      <c r="WHB24" s="218"/>
      <c r="WHC24" s="218"/>
      <c r="WHD24" s="218"/>
      <c r="WHE24" s="218"/>
      <c r="WHF24" s="218"/>
      <c r="WHG24" s="218"/>
      <c r="WHH24" s="218"/>
      <c r="WHI24" s="218"/>
      <c r="WHJ24" s="218"/>
      <c r="WHK24" s="218"/>
      <c r="WHL24" s="218"/>
      <c r="WHM24" s="218"/>
      <c r="WHN24" s="218"/>
      <c r="WHO24" s="218"/>
      <c r="WHP24" s="218"/>
      <c r="WHQ24" s="218"/>
      <c r="WHR24" s="218"/>
      <c r="WHS24" s="218"/>
      <c r="WHT24" s="218"/>
      <c r="WHU24" s="218"/>
      <c r="WHV24" s="218"/>
      <c r="WHW24" s="218"/>
      <c r="WHX24" s="218"/>
      <c r="WHY24" s="218"/>
      <c r="WHZ24" s="218"/>
      <c r="WIA24" s="218"/>
      <c r="WIB24" s="218"/>
      <c r="WIC24" s="218"/>
      <c r="WID24" s="218"/>
      <c r="WIE24" s="218"/>
      <c r="WIF24" s="218"/>
      <c r="WIG24" s="218"/>
      <c r="WIH24" s="218"/>
      <c r="WII24" s="218"/>
      <c r="WIJ24" s="218"/>
      <c r="WIK24" s="218"/>
      <c r="WIL24" s="218"/>
      <c r="WIM24" s="218"/>
      <c r="WIN24" s="218"/>
      <c r="WIO24" s="218"/>
      <c r="WIP24" s="218"/>
      <c r="WIQ24" s="218"/>
      <c r="WIR24" s="218"/>
      <c r="WIS24" s="218"/>
      <c r="WIT24" s="218"/>
      <c r="WIU24" s="218"/>
      <c r="WIV24" s="218"/>
      <c r="WIW24" s="218"/>
      <c r="WIX24" s="218"/>
      <c r="WIY24" s="218"/>
      <c r="WIZ24" s="218"/>
      <c r="WJA24" s="218"/>
      <c r="WJB24" s="218"/>
      <c r="WJC24" s="218"/>
      <c r="WJD24" s="218"/>
      <c r="WJE24" s="218"/>
      <c r="WJF24" s="218"/>
      <c r="WJG24" s="218"/>
      <c r="WJH24" s="218"/>
      <c r="WJI24" s="218"/>
      <c r="WJJ24" s="218"/>
      <c r="WJK24" s="218"/>
      <c r="WJL24" s="218"/>
      <c r="WJM24" s="218"/>
      <c r="WJN24" s="218"/>
      <c r="WJO24" s="218"/>
      <c r="WJP24" s="218"/>
      <c r="WJQ24" s="218"/>
      <c r="WJR24" s="218"/>
      <c r="WJS24" s="218"/>
      <c r="WJT24" s="218"/>
      <c r="WJU24" s="218"/>
      <c r="WJV24" s="218"/>
      <c r="WJW24" s="218"/>
      <c r="WJX24" s="218"/>
      <c r="WJY24" s="218"/>
      <c r="WJZ24" s="218"/>
      <c r="WKA24" s="218"/>
      <c r="WKB24" s="218"/>
      <c r="WKC24" s="218"/>
      <c r="WKD24" s="218"/>
      <c r="WKE24" s="218"/>
      <c r="WKF24" s="218"/>
      <c r="WKG24" s="218"/>
      <c r="WKH24" s="218"/>
      <c r="WKI24" s="218"/>
      <c r="WKJ24" s="218"/>
      <c r="WKK24" s="218"/>
      <c r="WKL24" s="218"/>
      <c r="WKM24" s="218"/>
      <c r="WKN24" s="218"/>
      <c r="WKO24" s="218"/>
      <c r="WKP24" s="218"/>
      <c r="WKQ24" s="218"/>
      <c r="WKR24" s="218"/>
      <c r="WKS24" s="218"/>
      <c r="WKT24" s="218"/>
      <c r="WKU24" s="218"/>
      <c r="WKV24" s="218"/>
      <c r="WKW24" s="218"/>
      <c r="WKX24" s="218"/>
      <c r="WKY24" s="218"/>
      <c r="WKZ24" s="218"/>
      <c r="WLA24" s="218"/>
      <c r="WLB24" s="218"/>
      <c r="WLC24" s="218"/>
      <c r="WLD24" s="218"/>
      <c r="WLE24" s="218"/>
      <c r="WLF24" s="218"/>
      <c r="WLG24" s="218"/>
      <c r="WLH24" s="218"/>
      <c r="WLI24" s="218"/>
      <c r="WLJ24" s="218"/>
      <c r="WLK24" s="218"/>
      <c r="WLL24" s="218"/>
      <c r="WLM24" s="218"/>
      <c r="WLN24" s="218"/>
      <c r="WLO24" s="218"/>
      <c r="WLP24" s="218"/>
      <c r="WLQ24" s="218"/>
      <c r="WLR24" s="218"/>
      <c r="WLS24" s="218"/>
      <c r="WLT24" s="218"/>
      <c r="WLU24" s="218"/>
      <c r="WLV24" s="218"/>
      <c r="WLW24" s="218"/>
      <c r="WLX24" s="218"/>
      <c r="WLY24" s="218"/>
      <c r="WLZ24" s="218"/>
      <c r="WMA24" s="218"/>
      <c r="WMB24" s="218"/>
      <c r="WMC24" s="218"/>
      <c r="WMD24" s="218"/>
      <c r="WME24" s="218"/>
      <c r="WMF24" s="218"/>
      <c r="WMG24" s="218"/>
      <c r="WMH24" s="218"/>
      <c r="WMI24" s="218"/>
      <c r="WMJ24" s="218"/>
      <c r="WMK24" s="218"/>
      <c r="WML24" s="218"/>
      <c r="WMM24" s="218"/>
      <c r="WMN24" s="218"/>
      <c r="WMO24" s="218"/>
      <c r="WMP24" s="218"/>
      <c r="WMQ24" s="218"/>
      <c r="WMR24" s="218"/>
      <c r="WMS24" s="218"/>
      <c r="WMT24" s="218"/>
      <c r="WMU24" s="218"/>
      <c r="WMV24" s="218"/>
      <c r="WMW24" s="218"/>
      <c r="WMX24" s="218"/>
      <c r="WMY24" s="218"/>
      <c r="WMZ24" s="218"/>
      <c r="WNA24" s="218"/>
      <c r="WNB24" s="218"/>
      <c r="WNC24" s="218"/>
      <c r="WND24" s="218"/>
      <c r="WNE24" s="218"/>
      <c r="WNF24" s="218"/>
      <c r="WNG24" s="218"/>
      <c r="WNH24" s="218"/>
      <c r="WNI24" s="218"/>
      <c r="WNJ24" s="218"/>
      <c r="WNK24" s="218"/>
      <c r="WNL24" s="218"/>
      <c r="WNM24" s="218"/>
      <c r="WNN24" s="218"/>
      <c r="WNO24" s="218"/>
      <c r="WNP24" s="218"/>
      <c r="WNQ24" s="218"/>
      <c r="WNR24" s="218"/>
      <c r="WNS24" s="218"/>
      <c r="WNT24" s="218"/>
      <c r="WNU24" s="218"/>
      <c r="WNV24" s="218"/>
      <c r="WNW24" s="218"/>
      <c r="WNX24" s="218"/>
      <c r="WNY24" s="218"/>
      <c r="WNZ24" s="218"/>
      <c r="WOA24" s="218"/>
      <c r="WOB24" s="218"/>
      <c r="WOC24" s="218"/>
      <c r="WOD24" s="218"/>
      <c r="WOE24" s="218"/>
      <c r="WOF24" s="218"/>
      <c r="WOG24" s="218"/>
      <c r="WOH24" s="218"/>
      <c r="WOI24" s="218"/>
      <c r="WOJ24" s="218"/>
      <c r="WOK24" s="218"/>
      <c r="WOL24" s="218"/>
      <c r="WOM24" s="218"/>
      <c r="WON24" s="218"/>
      <c r="WOO24" s="218"/>
      <c r="WOP24" s="218"/>
      <c r="WOQ24" s="218"/>
      <c r="WOR24" s="218"/>
      <c r="WOS24" s="218"/>
      <c r="WOT24" s="218"/>
      <c r="WOU24" s="218"/>
      <c r="WOV24" s="218"/>
      <c r="WOW24" s="218"/>
      <c r="WOX24" s="218"/>
      <c r="WOY24" s="218"/>
      <c r="WOZ24" s="218"/>
      <c r="WPA24" s="218"/>
      <c r="WPB24" s="218"/>
      <c r="WPC24" s="218"/>
      <c r="WPD24" s="218"/>
      <c r="WPE24" s="218"/>
      <c r="WPF24" s="218"/>
      <c r="WPG24" s="218"/>
      <c r="WPH24" s="218"/>
      <c r="WPI24" s="218"/>
      <c r="WPJ24" s="218"/>
      <c r="WPK24" s="218"/>
      <c r="WPL24" s="218"/>
      <c r="WPM24" s="218"/>
      <c r="WPN24" s="218"/>
      <c r="WPO24" s="218"/>
      <c r="WPP24" s="218"/>
      <c r="WPQ24" s="218"/>
      <c r="WPR24" s="218"/>
      <c r="WPS24" s="218"/>
      <c r="WPT24" s="218"/>
      <c r="WPU24" s="218"/>
      <c r="WPV24" s="218"/>
      <c r="WPW24" s="218"/>
      <c r="WPX24" s="218"/>
      <c r="WPY24" s="218"/>
      <c r="WPZ24" s="218"/>
      <c r="WQA24" s="218"/>
      <c r="WQB24" s="218"/>
      <c r="WQC24" s="218"/>
      <c r="WQD24" s="218"/>
      <c r="WQE24" s="218"/>
      <c r="WQF24" s="218"/>
      <c r="WQG24" s="218"/>
      <c r="WQH24" s="218"/>
      <c r="WQI24" s="218"/>
      <c r="WQJ24" s="218"/>
      <c r="WQK24" s="218"/>
      <c r="WQL24" s="218"/>
      <c r="WQM24" s="218"/>
      <c r="WQN24" s="218"/>
      <c r="WQO24" s="218"/>
      <c r="WQP24" s="218"/>
      <c r="WQQ24" s="218"/>
      <c r="WQR24" s="218"/>
      <c r="WQS24" s="218"/>
      <c r="WQT24" s="218"/>
      <c r="WQU24" s="218"/>
      <c r="WQV24" s="218"/>
      <c r="WQW24" s="218"/>
      <c r="WQX24" s="218"/>
      <c r="WQY24" s="218"/>
      <c r="WQZ24" s="218"/>
      <c r="WRA24" s="218"/>
      <c r="WRB24" s="218"/>
      <c r="WRC24" s="218"/>
      <c r="WRD24" s="218"/>
      <c r="WRE24" s="218"/>
      <c r="WRF24" s="218"/>
      <c r="WRG24" s="218"/>
      <c r="WRH24" s="218"/>
      <c r="WRI24" s="218"/>
      <c r="WRJ24" s="218"/>
      <c r="WRK24" s="218"/>
      <c r="WRL24" s="218"/>
      <c r="WRM24" s="218"/>
      <c r="WRN24" s="218"/>
      <c r="WRO24" s="218"/>
      <c r="WRP24" s="218"/>
      <c r="WRQ24" s="218"/>
      <c r="WRR24" s="218"/>
      <c r="WRS24" s="218"/>
      <c r="WRT24" s="218"/>
      <c r="WRU24" s="218"/>
      <c r="WRV24" s="218"/>
      <c r="WRW24" s="218"/>
      <c r="WRX24" s="218"/>
      <c r="WRY24" s="218"/>
      <c r="WRZ24" s="218"/>
      <c r="WSA24" s="218"/>
      <c r="WSB24" s="218"/>
      <c r="WSC24" s="218"/>
      <c r="WSD24" s="218"/>
      <c r="WSE24" s="218"/>
      <c r="WSF24" s="218"/>
      <c r="WSG24" s="218"/>
      <c r="WSH24" s="218"/>
      <c r="WSI24" s="218"/>
      <c r="WSJ24" s="218"/>
      <c r="WSK24" s="218"/>
      <c r="WSL24" s="218"/>
      <c r="WSM24" s="218"/>
      <c r="WSN24" s="218"/>
      <c r="WSO24" s="218"/>
      <c r="WSP24" s="218"/>
      <c r="WSQ24" s="218"/>
      <c r="WSR24" s="218"/>
      <c r="WSS24" s="218"/>
      <c r="WST24" s="218"/>
      <c r="WSU24" s="218"/>
      <c r="WSV24" s="218"/>
      <c r="WSW24" s="218"/>
      <c r="WSX24" s="218"/>
      <c r="WSY24" s="218"/>
      <c r="WSZ24" s="218"/>
      <c r="WTA24" s="218"/>
      <c r="WTB24" s="218"/>
      <c r="WTC24" s="218"/>
      <c r="WTD24" s="218"/>
      <c r="WTE24" s="218"/>
      <c r="WTF24" s="218"/>
      <c r="WTG24" s="218"/>
      <c r="WTH24" s="218"/>
      <c r="WTI24" s="218"/>
      <c r="WTJ24" s="218"/>
      <c r="WTK24" s="218"/>
      <c r="WTL24" s="218"/>
      <c r="WTM24" s="218"/>
      <c r="WTN24" s="218"/>
      <c r="WTO24" s="218"/>
      <c r="WTP24" s="218"/>
      <c r="WTQ24" s="218"/>
      <c r="WTR24" s="218"/>
      <c r="WTS24" s="218"/>
      <c r="WTT24" s="218"/>
      <c r="WTU24" s="218"/>
      <c r="WTV24" s="218"/>
      <c r="WTW24" s="218"/>
      <c r="WTX24" s="218"/>
      <c r="WTY24" s="218"/>
      <c r="WTZ24" s="218"/>
      <c r="WUA24" s="218"/>
      <c r="WUB24" s="218"/>
      <c r="WUC24" s="218"/>
      <c r="WUD24" s="218"/>
      <c r="WUE24" s="218"/>
      <c r="WUF24" s="218"/>
      <c r="WUG24" s="218"/>
      <c r="WUH24" s="218"/>
      <c r="WUI24" s="218"/>
      <c r="WUJ24" s="218"/>
      <c r="WUK24" s="218"/>
      <c r="WUL24" s="218"/>
      <c r="WUM24" s="218"/>
      <c r="WUN24" s="218"/>
      <c r="WUO24" s="218"/>
      <c r="WUP24" s="218"/>
      <c r="WUQ24" s="218"/>
      <c r="WUR24" s="218"/>
      <c r="WUS24" s="218"/>
      <c r="WUT24" s="218"/>
      <c r="WUU24" s="218"/>
      <c r="WUV24" s="218"/>
      <c r="WUW24" s="218"/>
      <c r="WUX24" s="218"/>
      <c r="WUY24" s="218"/>
      <c r="WUZ24" s="218"/>
      <c r="WVA24" s="218"/>
      <c r="WVB24" s="218"/>
      <c r="WVC24" s="218"/>
      <c r="WVD24" s="218"/>
      <c r="WVE24" s="218"/>
      <c r="WVF24" s="218"/>
      <c r="WVG24" s="218"/>
      <c r="WVH24" s="218"/>
      <c r="WVI24" s="218"/>
      <c r="WVJ24" s="218"/>
      <c r="WVK24" s="218"/>
      <c r="WVL24" s="218"/>
      <c r="WVM24" s="218"/>
      <c r="WVN24" s="218"/>
      <c r="WVO24" s="218"/>
      <c r="WVP24" s="218"/>
      <c r="WVQ24" s="218"/>
      <c r="WVR24" s="218"/>
      <c r="WVS24" s="218"/>
      <c r="WVT24" s="218"/>
      <c r="WVU24" s="218"/>
      <c r="WVV24" s="218"/>
      <c r="WVW24" s="218"/>
      <c r="WVX24" s="218"/>
      <c r="WVY24" s="218"/>
      <c r="WVZ24" s="218"/>
      <c r="WWA24" s="218"/>
      <c r="WWB24" s="218"/>
      <c r="WWC24" s="218"/>
      <c r="WWD24" s="218"/>
      <c r="WWE24" s="218"/>
      <c r="WWF24" s="218"/>
      <c r="WWG24" s="218"/>
      <c r="WWH24" s="218"/>
      <c r="WWI24" s="218"/>
      <c r="WWJ24" s="218"/>
      <c r="WWK24" s="218"/>
      <c r="WWL24" s="218"/>
      <c r="WWM24" s="218"/>
      <c r="WWN24" s="218"/>
      <c r="WWO24" s="218"/>
      <c r="WWP24" s="218"/>
      <c r="WWQ24" s="218"/>
      <c r="WWR24" s="218"/>
      <c r="WWS24" s="218"/>
      <c r="WWT24" s="218"/>
      <c r="WWU24" s="218"/>
      <c r="WWV24" s="218"/>
      <c r="WWW24" s="218"/>
      <c r="WWX24" s="218"/>
      <c r="WWY24" s="218"/>
      <c r="WWZ24" s="218"/>
      <c r="WXA24" s="218"/>
      <c r="WXB24" s="218"/>
      <c r="WXC24" s="218"/>
      <c r="WXD24" s="218"/>
      <c r="WXE24" s="218"/>
      <c r="WXF24" s="218"/>
      <c r="WXG24" s="218"/>
      <c r="WXH24" s="218"/>
      <c r="WXI24" s="218"/>
      <c r="WXJ24" s="218"/>
      <c r="WXK24" s="218"/>
      <c r="WXL24" s="218"/>
      <c r="WXM24" s="218"/>
      <c r="WXN24" s="218"/>
      <c r="WXO24" s="218"/>
      <c r="WXP24" s="218"/>
      <c r="WXQ24" s="218"/>
      <c r="WXR24" s="218"/>
      <c r="WXS24" s="218"/>
      <c r="WXT24" s="218"/>
      <c r="WXU24" s="218"/>
      <c r="WXV24" s="218"/>
      <c r="WXW24" s="218"/>
      <c r="WXX24" s="218"/>
      <c r="WXY24" s="218"/>
      <c r="WXZ24" s="218"/>
      <c r="WYA24" s="218"/>
      <c r="WYB24" s="218"/>
      <c r="WYC24" s="218"/>
      <c r="WYD24" s="218"/>
      <c r="WYE24" s="218"/>
      <c r="WYF24" s="218"/>
      <c r="WYG24" s="218"/>
      <c r="WYH24" s="218"/>
      <c r="WYI24" s="218"/>
      <c r="WYJ24" s="218"/>
      <c r="WYK24" s="218"/>
      <c r="WYL24" s="218"/>
      <c r="WYM24" s="218"/>
      <c r="WYN24" s="218"/>
      <c r="WYO24" s="218"/>
      <c r="WYP24" s="218"/>
      <c r="WYQ24" s="218"/>
      <c r="WYR24" s="218"/>
      <c r="WYS24" s="218"/>
      <c r="WYT24" s="218"/>
      <c r="WYU24" s="218"/>
      <c r="WYV24" s="218"/>
      <c r="WYW24" s="218"/>
      <c r="WYX24" s="218"/>
      <c r="WYY24" s="218"/>
      <c r="WYZ24" s="218"/>
      <c r="WZA24" s="218"/>
      <c r="WZB24" s="218"/>
      <c r="WZC24" s="218"/>
      <c r="WZD24" s="218"/>
      <c r="WZE24" s="218"/>
      <c r="WZF24" s="218"/>
      <c r="WZG24" s="218"/>
      <c r="WZH24" s="218"/>
      <c r="WZI24" s="218"/>
      <c r="WZJ24" s="218"/>
      <c r="WZK24" s="218"/>
      <c r="WZL24" s="218"/>
      <c r="WZM24" s="218"/>
      <c r="WZN24" s="218"/>
      <c r="WZO24" s="218"/>
      <c r="WZP24" s="218"/>
      <c r="WZQ24" s="218"/>
      <c r="WZR24" s="218"/>
      <c r="WZS24" s="218"/>
      <c r="WZT24" s="218"/>
      <c r="WZU24" s="218"/>
      <c r="WZV24" s="218"/>
      <c r="WZW24" s="218"/>
      <c r="WZX24" s="218"/>
      <c r="WZY24" s="218"/>
      <c r="WZZ24" s="218"/>
      <c r="XAA24" s="218"/>
      <c r="XAB24" s="218"/>
      <c r="XAC24" s="218"/>
      <c r="XAD24" s="218"/>
      <c r="XAE24" s="218"/>
      <c r="XAF24" s="218"/>
      <c r="XAG24" s="218"/>
      <c r="XAH24" s="218"/>
      <c r="XAI24" s="218"/>
      <c r="XAJ24" s="218"/>
      <c r="XAK24" s="218"/>
      <c r="XAL24" s="218"/>
      <c r="XAM24" s="218"/>
      <c r="XAN24" s="218"/>
      <c r="XAO24" s="218"/>
      <c r="XAP24" s="218"/>
      <c r="XAQ24" s="218"/>
      <c r="XAR24" s="218"/>
      <c r="XAS24" s="218"/>
      <c r="XAT24" s="218"/>
      <c r="XAU24" s="218"/>
      <c r="XAV24" s="218"/>
      <c r="XAW24" s="218"/>
      <c r="XAX24" s="218"/>
      <c r="XAY24" s="218"/>
      <c r="XAZ24" s="218"/>
      <c r="XBA24" s="218"/>
      <c r="XBB24" s="218"/>
      <c r="XBC24" s="218"/>
      <c r="XBD24" s="218"/>
      <c r="XBE24" s="218"/>
      <c r="XBF24" s="218"/>
      <c r="XBG24" s="218"/>
      <c r="XBH24" s="218"/>
      <c r="XBI24" s="218"/>
      <c r="XBJ24" s="218"/>
      <c r="XBK24" s="218"/>
      <c r="XBL24" s="218"/>
      <c r="XBM24" s="218"/>
      <c r="XBN24" s="218"/>
      <c r="XBO24" s="218"/>
      <c r="XBP24" s="218"/>
      <c r="XBQ24" s="218"/>
      <c r="XBR24" s="218"/>
      <c r="XBS24" s="218"/>
      <c r="XBT24" s="218"/>
      <c r="XBU24" s="218"/>
      <c r="XBV24" s="218"/>
      <c r="XBW24" s="218"/>
      <c r="XBX24" s="218"/>
      <c r="XBY24" s="218"/>
      <c r="XBZ24" s="218"/>
      <c r="XCA24" s="218"/>
      <c r="XCB24" s="218"/>
      <c r="XCC24" s="218"/>
      <c r="XCD24" s="218"/>
      <c r="XCE24" s="218"/>
      <c r="XCF24" s="218"/>
      <c r="XCG24" s="218"/>
      <c r="XCH24" s="218"/>
      <c r="XCI24" s="218"/>
      <c r="XCJ24" s="218"/>
      <c r="XCK24" s="218"/>
      <c r="XCL24" s="218"/>
      <c r="XCM24" s="218"/>
      <c r="XCN24" s="218"/>
      <c r="XCO24" s="218"/>
      <c r="XCP24" s="218"/>
      <c r="XCQ24" s="218"/>
      <c r="XCR24" s="218"/>
      <c r="XCS24" s="218"/>
      <c r="XCT24" s="218"/>
      <c r="XCU24" s="218"/>
      <c r="XCV24" s="218"/>
      <c r="XCW24" s="218"/>
      <c r="XCX24" s="218"/>
      <c r="XCY24" s="218"/>
      <c r="XCZ24" s="218"/>
      <c r="XDA24" s="218"/>
      <c r="XDB24" s="218"/>
      <c r="XDC24" s="218"/>
      <c r="XDD24" s="218"/>
      <c r="XDE24" s="218"/>
      <c r="XDF24" s="218"/>
      <c r="XDG24" s="218"/>
      <c r="XDH24" s="218"/>
      <c r="XDI24" s="218"/>
      <c r="XDJ24" s="218"/>
      <c r="XDK24" s="218"/>
      <c r="XDL24" s="218"/>
      <c r="XDM24" s="218"/>
      <c r="XDN24" s="218"/>
      <c r="XDO24" s="218"/>
      <c r="XDP24" s="218"/>
      <c r="XDQ24" s="218"/>
      <c r="XDR24" s="218"/>
      <c r="XDS24" s="218"/>
      <c r="XDT24" s="218"/>
      <c r="XDU24" s="218"/>
      <c r="XDV24" s="218"/>
      <c r="XDW24" s="218"/>
      <c r="XDX24" s="218"/>
      <c r="XDY24" s="218"/>
      <c r="XDZ24" s="218"/>
      <c r="XEA24" s="218"/>
      <c r="XEB24" s="218"/>
      <c r="XEC24" s="218"/>
      <c r="XED24" s="218"/>
      <c r="XEE24" s="218"/>
      <c r="XEF24" s="218"/>
    </row>
    <row r="25" spans="1:16360" s="220" customFormat="1">
      <c r="A25">
        <v>2</v>
      </c>
      <c r="B25" s="39" t="s">
        <v>17</v>
      </c>
      <c r="C25" s="220">
        <v>9.8000000000000004E-2</v>
      </c>
      <c r="D25" s="220">
        <v>3.2000000000000001E-2</v>
      </c>
      <c r="E25" s="220">
        <v>0.13420000000000001</v>
      </c>
      <c r="F25" s="220">
        <v>0.1341</v>
      </c>
      <c r="G25" s="220">
        <v>0.1154</v>
      </c>
      <c r="H25" s="220">
        <v>6.6299999999999998E-2</v>
      </c>
      <c r="I25" s="220">
        <v>0.06</v>
      </c>
      <c r="J25" s="220">
        <v>5.0700000000000002E-2</v>
      </c>
      <c r="K25" s="220">
        <v>4.87E-2</v>
      </c>
      <c r="L25" s="220">
        <v>0.12859999999999999</v>
      </c>
      <c r="M25" s="220">
        <v>0.10780000000000001</v>
      </c>
      <c r="N25" s="220">
        <v>8.7499999999999994E-2</v>
      </c>
      <c r="O25" s="220">
        <v>8.8999999999999996E-2</v>
      </c>
      <c r="P25" s="220">
        <v>0.17</v>
      </c>
      <c r="Q25" s="220">
        <v>3.5999999999999997E-2</v>
      </c>
      <c r="R25" s="220">
        <v>8.5999999999999993E-2</v>
      </c>
      <c r="S25" s="220">
        <v>3.9E-2</v>
      </c>
      <c r="T25" s="220">
        <v>7.8E-2</v>
      </c>
      <c r="U25" s="220">
        <v>9.9199999999999997E-2</v>
      </c>
      <c r="V25" s="220">
        <v>8.6900000000000005E-2</v>
      </c>
      <c r="W25" s="220">
        <v>0.10390000000000001</v>
      </c>
      <c r="X25" s="220">
        <v>0.104</v>
      </c>
      <c r="Y25" s="220">
        <v>0.104</v>
      </c>
      <c r="Z25" s="220">
        <v>5.8999999999999997E-2</v>
      </c>
      <c r="AA25" s="220">
        <v>8.6900000000000005E-2</v>
      </c>
      <c r="AB25" s="220">
        <v>2.9000000000000001E-2</v>
      </c>
      <c r="AC25" s="220">
        <v>6.7000000000000004E-2</v>
      </c>
      <c r="AD25" s="220">
        <v>2.8000000000000001E-2</v>
      </c>
      <c r="AE25" s="220">
        <v>6.7000000000000004E-2</v>
      </c>
      <c r="AF25" s="220">
        <v>7.9699999999999993E-2</v>
      </c>
      <c r="AG25" s="220">
        <v>7.0599999999999996E-2</v>
      </c>
      <c r="AH25" s="220">
        <v>7.6200000000000004E-2</v>
      </c>
      <c r="AI25" s="220">
        <v>8.9899999999999994E-2</v>
      </c>
      <c r="AJ25" s="220">
        <v>9.0200000000000002E-2</v>
      </c>
      <c r="AK25" s="220">
        <v>6.2700000000000006E-2</v>
      </c>
      <c r="AL25" s="220">
        <v>7.4300000000000005E-2</v>
      </c>
      <c r="AM25" s="220">
        <v>0.14000000000000001</v>
      </c>
      <c r="AN25" s="220">
        <v>0.08</v>
      </c>
      <c r="AO25" s="220">
        <v>0.13900000000000001</v>
      </c>
      <c r="AP25" s="220">
        <v>5.6000000000000001E-2</v>
      </c>
      <c r="AQ25" s="220">
        <v>5.6000000000000001E-2</v>
      </c>
      <c r="AR25" s="220">
        <v>5.6000000000000001E-2</v>
      </c>
      <c r="AS25" s="220">
        <v>7.0000000000000007E-2</v>
      </c>
      <c r="AT25" s="220">
        <v>7.0000000000000007E-2</v>
      </c>
      <c r="AU25" s="220">
        <v>7.0000000000000007E-2</v>
      </c>
      <c r="AW25" s="220">
        <v>0.06</v>
      </c>
      <c r="AX25" s="220">
        <v>5.8000000000000003E-2</v>
      </c>
      <c r="AY25" s="220">
        <v>3.2399999999999998E-2</v>
      </c>
      <c r="AZ25" s="220">
        <v>9.4399999999999998E-2</v>
      </c>
      <c r="BA25" s="220">
        <v>1.17E-2</v>
      </c>
    </row>
    <row r="26" spans="1:16360" s="220" customFormat="1">
      <c r="A26">
        <v>3</v>
      </c>
      <c r="B26" s="39" t="s">
        <v>20</v>
      </c>
      <c r="C26" s="220">
        <v>0.15</v>
      </c>
      <c r="D26" s="220">
        <v>0.15</v>
      </c>
      <c r="E26" s="220">
        <v>0.15</v>
      </c>
      <c r="F26" s="220">
        <v>0.20458135860979465</v>
      </c>
      <c r="G26" s="220">
        <v>0.20458135860979465</v>
      </c>
      <c r="H26" s="220">
        <v>0.20458135860979465</v>
      </c>
      <c r="I26" s="220">
        <v>0.20300000000000001</v>
      </c>
      <c r="J26" s="220">
        <v>0.20300000000000001</v>
      </c>
      <c r="K26" s="220">
        <v>0.20300000000000001</v>
      </c>
      <c r="L26" s="220">
        <v>0.11700000000000001</v>
      </c>
      <c r="M26" s="220">
        <v>0.11700000000000001</v>
      </c>
      <c r="N26" s="220">
        <v>0.11700000000000001</v>
      </c>
      <c r="O26" s="220">
        <v>0.13</v>
      </c>
      <c r="P26" s="220">
        <v>0.13</v>
      </c>
      <c r="Q26" s="220">
        <v>0.13</v>
      </c>
      <c r="W26" s="220">
        <v>4.8000000000000001E-2</v>
      </c>
      <c r="X26" s="220">
        <v>4.8000000000000001E-2</v>
      </c>
      <c r="Y26" s="220">
        <v>0.13</v>
      </c>
      <c r="Z26" s="220">
        <v>0.13</v>
      </c>
      <c r="AA26" s="220">
        <v>0.13</v>
      </c>
      <c r="AB26" s="220">
        <v>4.8000000000000001E-2</v>
      </c>
      <c r="AD26" s="220">
        <v>4.8000000000000001E-2</v>
      </c>
      <c r="AF26" s="220">
        <v>4.8000000000000001E-2</v>
      </c>
      <c r="AG26" s="220">
        <v>7.4999999999999997E-2</v>
      </c>
      <c r="AI26" s="220">
        <v>4.8000000000000001E-2</v>
      </c>
      <c r="AJ26" s="220">
        <v>5.0999999999999997E-2</v>
      </c>
      <c r="AK26" s="220">
        <v>5.0999999999999997E-2</v>
      </c>
    </row>
    <row r="27" spans="1:16360" s="220" customFormat="1">
      <c r="A27">
        <v>4</v>
      </c>
      <c r="B27" s="39" t="s">
        <v>41</v>
      </c>
      <c r="C27" s="220">
        <v>5.5E-2</v>
      </c>
      <c r="D27" s="220">
        <v>1.6E-2</v>
      </c>
      <c r="E27" s="220">
        <v>6.4000000000000001E-2</v>
      </c>
      <c r="F27" s="220">
        <v>9.4200000000000006E-2</v>
      </c>
      <c r="G27" s="220">
        <v>3.39E-2</v>
      </c>
      <c r="H27" s="220">
        <v>5.3999999999999999E-2</v>
      </c>
      <c r="I27" s="220">
        <v>3.2500000000000001E-2</v>
      </c>
      <c r="J27" s="220">
        <v>2.01E-2</v>
      </c>
      <c r="K27" s="220">
        <v>3.3700000000000001E-2</v>
      </c>
      <c r="L27" s="220">
        <v>2.5263431931853431E-2</v>
      </c>
      <c r="M27" s="220">
        <v>5.9316240898459105E-2</v>
      </c>
      <c r="N27" s="220">
        <v>4.9484513257702423E-2</v>
      </c>
      <c r="O27" s="220">
        <v>2.4E-2</v>
      </c>
      <c r="P27" s="220">
        <v>5.1999999999999998E-2</v>
      </c>
      <c r="Q27" s="220">
        <v>1.6E-2</v>
      </c>
      <c r="R27" s="220">
        <v>2.1999999999999999E-2</v>
      </c>
      <c r="S27" s="220">
        <v>5.8000000000000003E-2</v>
      </c>
      <c r="T27" s="220">
        <v>1.7000000000000001E-2</v>
      </c>
      <c r="U27" s="220">
        <v>1.1037794325835737E-2</v>
      </c>
      <c r="V27" s="220">
        <v>7.7095288881120494E-2</v>
      </c>
      <c r="W27" s="220">
        <v>0.14000000000000001</v>
      </c>
      <c r="Y27" s="220">
        <v>0.14000000000000001</v>
      </c>
      <c r="Z27" s="220">
        <v>0.13</v>
      </c>
      <c r="AA27" s="220">
        <v>0.12</v>
      </c>
      <c r="AB27" s="220">
        <v>0.17299999999999999</v>
      </c>
      <c r="AD27" s="220">
        <v>0.14099999999999999</v>
      </c>
      <c r="AF27" s="220">
        <v>0.15</v>
      </c>
      <c r="AG27" s="220">
        <v>0.14000000000000001</v>
      </c>
      <c r="AI27" s="220">
        <v>0.17299999999999999</v>
      </c>
      <c r="AJ27" s="220">
        <v>0.2</v>
      </c>
      <c r="AK27" s="220">
        <v>0.22</v>
      </c>
      <c r="AL27" s="220">
        <v>0.224</v>
      </c>
      <c r="AM27" s="220">
        <v>0.14000000000000001</v>
      </c>
      <c r="AN27" s="220">
        <v>0.215</v>
      </c>
      <c r="AO27" s="220">
        <v>0.21299999999999999</v>
      </c>
      <c r="AP27" s="220">
        <v>0.21791695099301209</v>
      </c>
      <c r="AQ27" s="220">
        <v>0.21919463066533534</v>
      </c>
      <c r="AR27" s="220">
        <v>0.23548080427325629</v>
      </c>
      <c r="AS27" s="220">
        <v>0.30890404998688725</v>
      </c>
      <c r="AT27" s="220">
        <v>0.49099999999999999</v>
      </c>
      <c r="AU27" s="220">
        <v>0.42199999999999999</v>
      </c>
      <c r="AV27" s="220">
        <v>0.28199999999999997</v>
      </c>
      <c r="AW27" s="220">
        <v>0.221</v>
      </c>
      <c r="AX27" s="220">
        <v>0.17100000000000001</v>
      </c>
      <c r="AY27" s="220">
        <v>0.17299999999999999</v>
      </c>
    </row>
    <row r="28" spans="1:16360" s="220" customFormat="1">
      <c r="A28">
        <v>5</v>
      </c>
      <c r="B28" s="39" t="s">
        <v>25</v>
      </c>
      <c r="C28" s="220">
        <v>0.02</v>
      </c>
      <c r="D28" s="220">
        <v>1.4999999999999999E-2</v>
      </c>
      <c r="E28" s="220">
        <v>-1.4999999999999999E-2</v>
      </c>
      <c r="F28" s="220">
        <v>1.4999999999999999E-2</v>
      </c>
      <c r="G28" s="220">
        <v>1.4999999999999999E-2</v>
      </c>
      <c r="H28" s="220">
        <v>-1.4999999999999999E-2</v>
      </c>
      <c r="I28" s="220">
        <v>-3.5000000000000003E-2</v>
      </c>
      <c r="J28" s="220">
        <v>-0.04</v>
      </c>
      <c r="K28" s="220">
        <v>-0.03</v>
      </c>
      <c r="L28" s="220">
        <v>1.4999999999999999E-2</v>
      </c>
      <c r="M28" s="220">
        <v>0.02</v>
      </c>
      <c r="N28" s="220">
        <v>3.0000000000000001E-3</v>
      </c>
      <c r="O28" s="220">
        <v>1.4999999999999999E-2</v>
      </c>
      <c r="P28" s="220">
        <v>4.4999999999999998E-2</v>
      </c>
      <c r="Q28" s="220">
        <v>6.5000000000000002E-2</v>
      </c>
      <c r="R28" s="220">
        <v>1.4999999999999999E-2</v>
      </c>
      <c r="S28" s="220">
        <v>2.5000000000000001E-2</v>
      </c>
      <c r="T28" s="220">
        <v>5.5E-2</v>
      </c>
      <c r="U28" s="220">
        <v>7.6999999999999999E-2</v>
      </c>
      <c r="V28" s="220">
        <v>0.09</v>
      </c>
      <c r="W28" s="220">
        <v>6.5000000000000002E-2</v>
      </c>
      <c r="X28" s="220">
        <v>0.08</v>
      </c>
      <c r="Y28" s="220">
        <v>6.5000000000000002E-2</v>
      </c>
      <c r="Z28" s="220">
        <v>9.2999999999999999E-2</v>
      </c>
      <c r="AA28" s="220">
        <v>0.05</v>
      </c>
      <c r="AB28" s="220">
        <v>4.4999999999999998E-2</v>
      </c>
      <c r="AC28" s="220">
        <v>4.4999999999999998E-2</v>
      </c>
      <c r="AD28" s="220">
        <v>0.08</v>
      </c>
      <c r="AE28" s="220">
        <v>7.0000000000000007E-2</v>
      </c>
      <c r="AF28" s="220">
        <v>7.4999999999999997E-2</v>
      </c>
      <c r="AG28" s="220">
        <v>7.4999999999999997E-2</v>
      </c>
      <c r="AH28" s="220">
        <v>3.6999999999999998E-2</v>
      </c>
      <c r="AI28" s="220">
        <v>7.2999999999999995E-2</v>
      </c>
      <c r="AJ28" s="220">
        <v>0.1</v>
      </c>
      <c r="AK28" s="220">
        <v>0.112</v>
      </c>
      <c r="AL28" s="220">
        <v>0.12</v>
      </c>
      <c r="AM28" s="220">
        <v>0.105</v>
      </c>
      <c r="AN28" s="220">
        <v>0.11</v>
      </c>
      <c r="AO28" s="220">
        <v>0.125</v>
      </c>
      <c r="AP28" s="220">
        <v>0.125</v>
      </c>
      <c r="AQ28" s="220">
        <v>0.09</v>
      </c>
      <c r="AR28" s="220">
        <v>0.13200000000000001</v>
      </c>
      <c r="AS28" s="220">
        <v>0.11700000000000001</v>
      </c>
      <c r="AT28" s="220">
        <v>0.13</v>
      </c>
      <c r="AU28" s="220">
        <v>0.1</v>
      </c>
      <c r="AV28" s="220">
        <v>9.5000000000000001E-2</v>
      </c>
      <c r="AW28" s="220">
        <v>0.1</v>
      </c>
      <c r="AX28" s="220">
        <v>0.125</v>
      </c>
      <c r="AY28" s="220">
        <v>7.6999999999999999E-2</v>
      </c>
      <c r="AZ28" s="220">
        <v>0.03</v>
      </c>
      <c r="BA28" s="220">
        <v>9.5000000000000001E-2</v>
      </c>
    </row>
    <row r="29" spans="1:16360" s="220" customFormat="1">
      <c r="A29">
        <v>6</v>
      </c>
      <c r="B29" s="56" t="s">
        <v>49</v>
      </c>
      <c r="AC29" s="217"/>
      <c r="AD29" s="217"/>
      <c r="AE29" s="217"/>
      <c r="AF29" s="217"/>
      <c r="AH29" s="217"/>
      <c r="AI29" s="217"/>
      <c r="AJ29" s="217"/>
      <c r="AK29" s="217"/>
    </row>
    <row r="30" spans="1:16360" s="344" customFormat="1">
      <c r="A30" s="342">
        <v>7</v>
      </c>
      <c r="B30" s="343" t="s">
        <v>27</v>
      </c>
      <c r="AG30" s="344">
        <v>3.5999999999999997E-2</v>
      </c>
      <c r="AH30" s="344">
        <v>0.106</v>
      </c>
      <c r="AI30" s="344">
        <v>0.105</v>
      </c>
      <c r="AJ30" s="344">
        <v>0.16200000000000001</v>
      </c>
      <c r="AK30" s="344">
        <v>0.185</v>
      </c>
      <c r="AL30" s="344">
        <v>0.24099999999999999</v>
      </c>
      <c r="AM30" s="344">
        <v>0.19800000000000001</v>
      </c>
      <c r="AN30" s="344">
        <v>0.247</v>
      </c>
      <c r="AO30" s="344">
        <v>0.254</v>
      </c>
      <c r="AP30" s="344">
        <v>0.22</v>
      </c>
      <c r="AQ30" s="344">
        <v>0.25</v>
      </c>
      <c r="AR30" s="344">
        <v>0.21</v>
      </c>
      <c r="AS30" s="344">
        <v>0.23799999999999999</v>
      </c>
      <c r="AT30" s="344">
        <v>0.25600000000000001</v>
      </c>
      <c r="AU30" s="344">
        <v>0.23300000000000001</v>
      </c>
      <c r="AV30" s="344">
        <v>0.28699999999999998</v>
      </c>
      <c r="AW30" s="344">
        <v>0.22700000000000001</v>
      </c>
      <c r="AX30" s="344">
        <v>0.17</v>
      </c>
      <c r="AY30" s="344">
        <v>0.19600000000000001</v>
      </c>
      <c r="AZ30" s="344">
        <v>0.14599999999999999</v>
      </c>
      <c r="BA30" s="344">
        <v>0.112</v>
      </c>
    </row>
    <row r="31" spans="1:16360" s="220" customFormat="1">
      <c r="A31">
        <v>8</v>
      </c>
      <c r="B31" s="39" t="s">
        <v>34</v>
      </c>
      <c r="C31" s="220">
        <v>0.04</v>
      </c>
      <c r="D31" s="220">
        <v>0.03</v>
      </c>
      <c r="E31" s="220">
        <v>0.08</v>
      </c>
      <c r="F31" s="220">
        <v>0.06</v>
      </c>
      <c r="G31" s="220">
        <v>0.08</v>
      </c>
      <c r="H31" s="220">
        <v>7.0000000000000007E-2</v>
      </c>
      <c r="I31" s="220">
        <v>0.09</v>
      </c>
      <c r="J31" s="220">
        <v>0.09</v>
      </c>
      <c r="K31" s="220">
        <v>0.11</v>
      </c>
      <c r="L31" s="220">
        <v>0.08</v>
      </c>
      <c r="M31" s="220">
        <v>0.1</v>
      </c>
      <c r="N31" s="220">
        <v>0.11</v>
      </c>
      <c r="O31" s="220">
        <v>0.13</v>
      </c>
      <c r="P31" s="220">
        <v>0.2</v>
      </c>
      <c r="Q31" s="220">
        <v>0.1</v>
      </c>
      <c r="R31" s="220">
        <v>0.14000000000000001</v>
      </c>
      <c r="S31" s="220">
        <v>0.1</v>
      </c>
      <c r="T31" s="220">
        <v>0.09</v>
      </c>
      <c r="U31" s="220">
        <v>0.1</v>
      </c>
      <c r="V31" s="220">
        <v>0.12</v>
      </c>
      <c r="W31" s="220">
        <v>0.05</v>
      </c>
      <c r="X31" s="220">
        <v>0.16</v>
      </c>
      <c r="Y31" s="220">
        <v>0.16</v>
      </c>
      <c r="Z31" s="220">
        <v>0.1</v>
      </c>
      <c r="AA31" s="220">
        <v>0.13</v>
      </c>
      <c r="AB31" s="220">
        <v>0.13</v>
      </c>
      <c r="AD31" s="220">
        <v>0.11</v>
      </c>
      <c r="AF31" s="220">
        <v>0.08</v>
      </c>
      <c r="AG31" s="220">
        <v>0.08</v>
      </c>
      <c r="AI31" s="220">
        <v>0.06</v>
      </c>
      <c r="AJ31" s="220">
        <v>0.08</v>
      </c>
      <c r="AK31" s="220">
        <v>0.04</v>
      </c>
      <c r="AL31" s="220">
        <v>0.06</v>
      </c>
      <c r="AM31" s="220">
        <v>0.06</v>
      </c>
      <c r="AN31" s="220">
        <v>0</v>
      </c>
      <c r="AO31" s="220">
        <v>0.11</v>
      </c>
      <c r="AP31" s="220">
        <v>0.08</v>
      </c>
      <c r="AQ31" s="220">
        <v>7.0000000000000007E-2</v>
      </c>
      <c r="AR31" s="220">
        <v>0.06</v>
      </c>
      <c r="AS31" s="220">
        <v>7.0000000000000007E-2</v>
      </c>
      <c r="AT31" s="220">
        <v>7.0000000000000007E-2</v>
      </c>
      <c r="AU31" s="220">
        <v>0.08</v>
      </c>
      <c r="AV31" s="220">
        <v>0.11</v>
      </c>
      <c r="AW31" s="220">
        <v>0.08</v>
      </c>
      <c r="AX31" s="220">
        <v>0.09</v>
      </c>
      <c r="AY31" s="220">
        <v>7.0000000000000007E-2</v>
      </c>
      <c r="AZ31" s="220">
        <v>0.12</v>
      </c>
      <c r="BA31" s="220">
        <v>0.04</v>
      </c>
    </row>
    <row r="32" spans="1:16360" s="220" customFormat="1">
      <c r="A32">
        <v>9</v>
      </c>
      <c r="B32" s="39" t="s">
        <v>45</v>
      </c>
      <c r="C32" s="220">
        <v>-8.9999999999999993E-3</v>
      </c>
      <c r="D32" s="220">
        <v>-8.9999999999999993E-3</v>
      </c>
      <c r="E32" s="220">
        <v>-8.9999999999999993E-3</v>
      </c>
      <c r="F32" s="220">
        <v>1.6E-2</v>
      </c>
      <c r="G32" s="220">
        <v>1.6E-2</v>
      </c>
      <c r="H32" s="220">
        <v>1.6E-2</v>
      </c>
      <c r="I32" s="220">
        <v>-4.0000000000000001E-3</v>
      </c>
      <c r="J32" s="220">
        <v>-4.0000000000000001E-3</v>
      </c>
      <c r="K32" s="220">
        <v>-4.0000000000000001E-3</v>
      </c>
      <c r="L32" s="220">
        <v>-6.8000000000000005E-2</v>
      </c>
      <c r="M32" s="220">
        <v>-6.8000000000000005E-2</v>
      </c>
      <c r="N32" s="220">
        <v>-6.8000000000000005E-2</v>
      </c>
      <c r="O32" s="220">
        <v>-8.5999999999999993E-2</v>
      </c>
      <c r="P32" s="220">
        <v>-8.5999999999999993E-2</v>
      </c>
      <c r="Q32" s="220">
        <v>-8.5999999999999993E-2</v>
      </c>
      <c r="R32" s="220">
        <v>-0.113</v>
      </c>
      <c r="S32" s="220">
        <v>-0.113</v>
      </c>
      <c r="T32" s="220">
        <v>-0.113</v>
      </c>
      <c r="U32" s="220">
        <v>-0.105</v>
      </c>
      <c r="V32" s="220">
        <v>-0.105</v>
      </c>
      <c r="W32" s="220">
        <v>-0.105</v>
      </c>
      <c r="X32" s="220">
        <v>-5.0999999999999997E-2</v>
      </c>
      <c r="Y32" s="220">
        <v>-0.105</v>
      </c>
      <c r="Z32" s="220">
        <v>-0.105</v>
      </c>
      <c r="AA32" s="220">
        <v>-5.0999999999999997E-2</v>
      </c>
      <c r="AB32" s="220">
        <v>-5.0999999999999997E-2</v>
      </c>
      <c r="AD32" s="220">
        <v>2.4E-2</v>
      </c>
      <c r="AF32" s="220">
        <v>2.4E-2</v>
      </c>
      <c r="AG32" s="220">
        <v>4.1000000000000002E-2</v>
      </c>
      <c r="AH32" s="220">
        <v>4.1000000000000002E-2</v>
      </c>
      <c r="AI32" s="220">
        <v>4.1000000000000002E-2</v>
      </c>
      <c r="AJ32" s="220">
        <v>8.5000000000000006E-2</v>
      </c>
      <c r="AK32" s="220">
        <v>8.5000000000000006E-2</v>
      </c>
      <c r="AL32" s="220">
        <v>8.5000000000000006E-2</v>
      </c>
      <c r="AM32" s="220">
        <v>5.1999999999999998E-2</v>
      </c>
      <c r="AN32" s="220">
        <v>5.1999999999999998E-2</v>
      </c>
      <c r="AO32" s="220">
        <v>5.1999999999999998E-2</v>
      </c>
      <c r="AP32" s="220">
        <v>8.2000000000000003E-2</v>
      </c>
      <c r="AQ32" s="220">
        <v>8.2000000000000003E-2</v>
      </c>
      <c r="AR32" s="220">
        <v>8.2000000000000003E-2</v>
      </c>
      <c r="AS32" s="220">
        <v>9.9000000000000005E-2</v>
      </c>
      <c r="AT32" s="220">
        <v>0.1</v>
      </c>
      <c r="AU32" s="220">
        <v>0.1</v>
      </c>
      <c r="AV32" s="220">
        <v>6.6000000000000003E-2</v>
      </c>
      <c r="AW32" s="220">
        <v>6.6000000000000003E-2</v>
      </c>
      <c r="AX32" s="220">
        <v>6.6000000000000003E-2</v>
      </c>
      <c r="AY32" s="220">
        <v>0.14299999999999999</v>
      </c>
      <c r="AZ32" s="220">
        <v>0.14299999999999999</v>
      </c>
      <c r="BA32" s="220">
        <v>0.14299999999999999</v>
      </c>
    </row>
    <row r="33" spans="1:53" s="220" customFormat="1">
      <c r="A33">
        <v>10</v>
      </c>
      <c r="B33" s="39" t="s">
        <v>36</v>
      </c>
      <c r="C33" s="220">
        <v>0.26</v>
      </c>
      <c r="D33" s="220">
        <v>0.26</v>
      </c>
      <c r="E33" s="220">
        <v>0.26</v>
      </c>
      <c r="F33" s="220">
        <v>0.18079999999999999</v>
      </c>
      <c r="G33" s="220">
        <v>0.18079999999999999</v>
      </c>
      <c r="H33" s="220">
        <v>0.18079999999999999</v>
      </c>
      <c r="I33" s="220">
        <v>0.2082</v>
      </c>
      <c r="J33" s="220">
        <v>0.2082</v>
      </c>
      <c r="K33" s="220">
        <v>0.2082</v>
      </c>
      <c r="L33" s="220">
        <v>0.24099999999999999</v>
      </c>
      <c r="M33" s="220">
        <v>0.24099999999999999</v>
      </c>
      <c r="N33" s="220">
        <v>0.24099999999999999</v>
      </c>
      <c r="O33" s="220">
        <v>0.186</v>
      </c>
      <c r="P33" s="220">
        <v>0.186</v>
      </c>
      <c r="Q33" s="220">
        <v>0.186</v>
      </c>
      <c r="R33" s="220">
        <v>0.21</v>
      </c>
      <c r="S33" s="220">
        <v>0.21</v>
      </c>
      <c r="T33" s="220">
        <v>0.21</v>
      </c>
      <c r="X33" s="220">
        <v>0.22</v>
      </c>
      <c r="Y33" s="220">
        <v>0.22</v>
      </c>
      <c r="Z33" s="220">
        <v>0.22</v>
      </c>
      <c r="AA33" s="220">
        <v>7.4999999999999997E-2</v>
      </c>
      <c r="AB33" s="220">
        <v>7.4999999999999997E-2</v>
      </c>
      <c r="AD33" s="220">
        <v>0.17</v>
      </c>
      <c r="AF33" s="220">
        <v>0.17</v>
      </c>
      <c r="AG33" s="220">
        <v>0.13</v>
      </c>
      <c r="AH33" s="220">
        <v>0.13</v>
      </c>
      <c r="AI33" s="220">
        <v>0.13</v>
      </c>
      <c r="AJ33" s="220">
        <v>7.9000000000000001E-2</v>
      </c>
      <c r="AK33" s="220">
        <v>7.9000000000000001E-2</v>
      </c>
      <c r="AL33" s="220">
        <v>7.9000000000000001E-2</v>
      </c>
      <c r="AM33" s="220">
        <v>0.08</v>
      </c>
      <c r="AN33" s="220">
        <v>0.08</v>
      </c>
      <c r="AO33" s="220">
        <v>0.08</v>
      </c>
      <c r="AP33" s="220">
        <v>7.0000000000000007E-2</v>
      </c>
      <c r="AQ33" s="220">
        <v>7.0000000000000007E-2</v>
      </c>
      <c r="AR33" s="220">
        <v>7.0000000000000007E-2</v>
      </c>
      <c r="AS33" s="220">
        <v>0.04</v>
      </c>
      <c r="AT33" s="220">
        <v>0.04</v>
      </c>
      <c r="AU33" s="220">
        <v>0.04</v>
      </c>
      <c r="AV33" s="220">
        <v>0.06</v>
      </c>
      <c r="AW33" s="220">
        <v>0.06</v>
      </c>
      <c r="AX33" s="220">
        <v>0.06</v>
      </c>
      <c r="AY33" s="220">
        <v>0.02</v>
      </c>
      <c r="AZ33" s="220">
        <v>0.02</v>
      </c>
      <c r="BA33" s="220">
        <v>0.02</v>
      </c>
    </row>
    <row r="34" spans="1:53" s="220" customFormat="1">
      <c r="A34">
        <v>11</v>
      </c>
      <c r="B34" s="39" t="s">
        <v>24</v>
      </c>
      <c r="X34" s="220">
        <v>0.13500000000000001</v>
      </c>
      <c r="Y34" s="220">
        <v>0.17499999999999999</v>
      </c>
      <c r="Z34" s="220">
        <v>9.5000000000000001E-2</v>
      </c>
      <c r="AA34" s="220">
        <v>0.184</v>
      </c>
      <c r="AB34" s="220">
        <v>0.112</v>
      </c>
      <c r="AC34" s="220">
        <v>7.2999999999999995E-2</v>
      </c>
      <c r="AD34" s="220">
        <v>1.4E-2</v>
      </c>
      <c r="AE34" s="220">
        <v>0.16400000000000001</v>
      </c>
      <c r="AF34" s="220">
        <v>0.111</v>
      </c>
      <c r="AG34" s="220">
        <v>7.0999999999999994E-2</v>
      </c>
      <c r="AH34" s="220">
        <v>0.159</v>
      </c>
      <c r="AI34" s="220">
        <v>0.10100000000000001</v>
      </c>
      <c r="AJ34" s="220">
        <v>0.17399999999999999</v>
      </c>
      <c r="AK34" s="220">
        <v>0.1</v>
      </c>
      <c r="AL34" s="220">
        <v>0.216</v>
      </c>
      <c r="AM34" s="220">
        <v>0.04</v>
      </c>
      <c r="AN34" s="220">
        <v>0.247</v>
      </c>
      <c r="AO34" s="220">
        <v>0.18</v>
      </c>
      <c r="AP34" s="220">
        <v>0.19600000000000001</v>
      </c>
      <c r="AQ34" s="220">
        <v>0.153</v>
      </c>
      <c r="AR34" s="220">
        <v>0.14399999999999999</v>
      </c>
      <c r="AS34" s="220">
        <v>0.24199999999999999</v>
      </c>
      <c r="AT34" s="220">
        <v>0.19800000000000001</v>
      </c>
      <c r="AU34" s="220">
        <v>0.14499999999999999</v>
      </c>
      <c r="AV34" s="220">
        <v>0.20200000000000001</v>
      </c>
      <c r="AW34" s="220">
        <v>0.14899999999999999</v>
      </c>
      <c r="AX34" s="220">
        <v>6.5000000000000002E-2</v>
      </c>
      <c r="AY34" s="220">
        <v>0.20100000000000001</v>
      </c>
      <c r="AZ34" s="220">
        <v>7.3999999999999996E-2</v>
      </c>
      <c r="BA34" s="220">
        <v>4.2999999999999997E-2</v>
      </c>
    </row>
    <row r="35" spans="1:53" s="220" customFormat="1" ht="14.1" customHeight="1">
      <c r="A35">
        <v>12</v>
      </c>
      <c r="B35" s="56" t="s">
        <v>46</v>
      </c>
      <c r="AC35" s="217"/>
      <c r="AD35" s="217"/>
      <c r="AE35" s="217"/>
      <c r="AF35" s="217"/>
      <c r="AH35" s="217"/>
      <c r="AI35" s="217"/>
      <c r="AJ35" s="217"/>
      <c r="AK35" s="217"/>
    </row>
    <row r="36" spans="1:53" s="220" customFormat="1">
      <c r="A36" s="211">
        <v>13</v>
      </c>
      <c r="B36" s="55" t="s">
        <v>42</v>
      </c>
      <c r="C36" s="220">
        <v>0.05</v>
      </c>
      <c r="D36" s="220">
        <v>0.05</v>
      </c>
      <c r="E36" s="220">
        <v>0.05</v>
      </c>
      <c r="F36" s="220">
        <v>0.03</v>
      </c>
      <c r="G36" s="220">
        <v>0.03</v>
      </c>
      <c r="H36" s="220">
        <v>0.03</v>
      </c>
      <c r="I36" s="220">
        <v>0.02</v>
      </c>
      <c r="J36" s="220">
        <v>0.02</v>
      </c>
      <c r="K36" s="220">
        <v>0.02</v>
      </c>
      <c r="L36" s="220">
        <v>0.106</v>
      </c>
      <c r="M36" s="220">
        <v>0.106</v>
      </c>
      <c r="N36" s="220">
        <v>0.106</v>
      </c>
      <c r="O36" s="220">
        <v>0.158</v>
      </c>
      <c r="P36" s="220">
        <v>0.158</v>
      </c>
      <c r="Q36" s="220">
        <v>0.158</v>
      </c>
      <c r="R36" s="220">
        <v>0.159</v>
      </c>
      <c r="S36" s="220">
        <v>0.159</v>
      </c>
      <c r="T36" s="220">
        <v>0.159</v>
      </c>
      <c r="U36" s="220">
        <v>0.17</v>
      </c>
      <c r="V36" s="220">
        <v>0.17</v>
      </c>
      <c r="W36" s="220">
        <v>0.17</v>
      </c>
      <c r="X36" s="220">
        <v>0.09</v>
      </c>
      <c r="Y36" s="220">
        <v>0.09</v>
      </c>
      <c r="Z36" s="220">
        <v>0.09</v>
      </c>
      <c r="AA36" s="220">
        <v>0.1</v>
      </c>
      <c r="AB36" s="220">
        <v>0.1</v>
      </c>
      <c r="AD36" s="220">
        <v>7.0000000000000007E-2</v>
      </c>
      <c r="AF36" s="220">
        <v>7.0000000000000007E-2</v>
      </c>
      <c r="AG36" s="220">
        <v>0.12</v>
      </c>
      <c r="AH36" s="220">
        <v>0.12</v>
      </c>
      <c r="AI36" s="220">
        <v>0.12</v>
      </c>
      <c r="AJ36" s="220">
        <v>0.19</v>
      </c>
      <c r="AK36" s="220">
        <v>0.19</v>
      </c>
      <c r="AL36" s="220">
        <v>0.19</v>
      </c>
      <c r="AM36" s="220">
        <v>0.12</v>
      </c>
      <c r="AN36" s="220">
        <v>0.12</v>
      </c>
      <c r="AO36" s="220">
        <v>0.12</v>
      </c>
      <c r="AP36" s="220">
        <v>0.12</v>
      </c>
      <c r="AQ36" s="220">
        <v>0.12</v>
      </c>
      <c r="AR36" s="220">
        <v>0.12</v>
      </c>
      <c r="AS36" s="220">
        <v>0.11</v>
      </c>
      <c r="AT36" s="220">
        <v>0.11</v>
      </c>
      <c r="AU36" s="220">
        <v>0.11</v>
      </c>
      <c r="AV36" s="220">
        <v>0.05</v>
      </c>
      <c r="AW36" s="220">
        <v>0.05</v>
      </c>
      <c r="AX36" s="220">
        <v>0.05</v>
      </c>
      <c r="AY36" s="220">
        <v>0.04</v>
      </c>
      <c r="AZ36" s="220">
        <v>0.04</v>
      </c>
      <c r="BA36" s="220">
        <v>0.04</v>
      </c>
    </row>
    <row r="37" spans="1:53" s="211" customFormat="1">
      <c r="B37" s="55"/>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c r="AD37" s="124"/>
      <c r="AE37" s="124"/>
      <c r="AF37" s="124"/>
      <c r="AG37" s="124"/>
      <c r="AH37" s="212"/>
      <c r="AI37" s="124"/>
      <c r="AJ37" s="124"/>
      <c r="AK37" s="124"/>
      <c r="AL37" s="124"/>
      <c r="AM37" s="124"/>
      <c r="AN37" s="124"/>
      <c r="AO37" s="124"/>
      <c r="AP37" s="124"/>
      <c r="AQ37" s="124"/>
      <c r="AR37" s="124"/>
    </row>
    <row r="38" spans="1:53">
      <c r="B38" s="39" t="s">
        <v>201</v>
      </c>
    </row>
    <row r="39" spans="1:53" s="256" customFormat="1">
      <c r="B39" s="320" t="s">
        <v>200</v>
      </c>
      <c r="C39" s="321">
        <f t="shared" ref="C39:E39" si="1">AVERAGE(C24:C36)</f>
        <v>8.3000000000000004E-2</v>
      </c>
      <c r="D39" s="321">
        <f t="shared" si="1"/>
        <v>6.8000000000000005E-2</v>
      </c>
      <c r="E39" s="321">
        <f t="shared" si="1"/>
        <v>8.9275000000000007E-2</v>
      </c>
      <c r="F39" s="321">
        <f>AVERAGE(F24:F36)</f>
        <v>9.1835169826224333E-2</v>
      </c>
      <c r="G39" s="321">
        <f t="shared" ref="G39:BA39" si="2">AVERAGE(G24:G36)</f>
        <v>8.4460169826224341E-2</v>
      </c>
      <c r="H39" s="321">
        <f t="shared" si="2"/>
        <v>7.5835169826224333E-2</v>
      </c>
      <c r="I39" s="321">
        <f t="shared" si="2"/>
        <v>7.1837499999999999E-2</v>
      </c>
      <c r="J39" s="321">
        <f t="shared" si="2"/>
        <v>6.8500000000000005E-2</v>
      </c>
      <c r="K39" s="321">
        <f t="shared" si="2"/>
        <v>7.3700000000000015E-2</v>
      </c>
      <c r="L39" s="321">
        <f t="shared" si="2"/>
        <v>8.0607928991481684E-2</v>
      </c>
      <c r="M39" s="321">
        <f t="shared" si="2"/>
        <v>8.5389530112307391E-2</v>
      </c>
      <c r="N39" s="321">
        <f t="shared" si="2"/>
        <v>8.0748064157212793E-2</v>
      </c>
      <c r="O39" s="321">
        <f t="shared" si="2"/>
        <v>8.0750000000000002E-2</v>
      </c>
      <c r="P39" s="321">
        <f t="shared" si="2"/>
        <v>0.10687500000000001</v>
      </c>
      <c r="Q39" s="321">
        <f t="shared" si="2"/>
        <v>7.5624999999999998E-2</v>
      </c>
      <c r="R39" s="321">
        <f t="shared" si="2"/>
        <v>7.4142857142857149E-2</v>
      </c>
      <c r="S39" s="321">
        <f t="shared" si="2"/>
        <v>6.8285714285714283E-2</v>
      </c>
      <c r="T39" s="321">
        <f t="shared" si="2"/>
        <v>7.0857142857142855E-2</v>
      </c>
      <c r="U39" s="321">
        <f t="shared" si="2"/>
        <v>5.8706299054305966E-2</v>
      </c>
      <c r="V39" s="321">
        <f t="shared" si="2"/>
        <v>7.3165881480186754E-2</v>
      </c>
      <c r="W39" s="321">
        <f t="shared" si="2"/>
        <v>6.7414285714285732E-2</v>
      </c>
      <c r="X39" s="321">
        <f t="shared" si="2"/>
        <v>9.8250000000000004E-2</v>
      </c>
      <c r="Y39" s="321">
        <f t="shared" si="2"/>
        <v>0.10877777777777778</v>
      </c>
      <c r="Z39" s="321">
        <f t="shared" si="2"/>
        <v>9.0222222222222218E-2</v>
      </c>
      <c r="AA39" s="321">
        <f t="shared" si="2"/>
        <v>9.1655555555555546E-2</v>
      </c>
      <c r="AB39" s="321">
        <f t="shared" si="2"/>
        <v>7.3444444444444451E-2</v>
      </c>
      <c r="AC39" s="321">
        <f t="shared" si="2"/>
        <v>6.1666666666666668E-2</v>
      </c>
      <c r="AD39" s="321">
        <f t="shared" si="2"/>
        <v>7.6111111111111115E-2</v>
      </c>
      <c r="AE39" s="321">
        <f t="shared" si="2"/>
        <v>0.10033333333333334</v>
      </c>
      <c r="AF39" s="321">
        <f t="shared" si="2"/>
        <v>8.974444444444446E-2</v>
      </c>
      <c r="AG39" s="321">
        <f t="shared" si="2"/>
        <v>8.3860000000000004E-2</v>
      </c>
      <c r="AH39" s="321">
        <f t="shared" si="2"/>
        <v>9.5600000000000004E-2</v>
      </c>
      <c r="AI39" s="321">
        <f t="shared" si="2"/>
        <v>9.4089999999999993E-2</v>
      </c>
      <c r="AJ39" s="321">
        <f t="shared" si="2"/>
        <v>0.12111999999999998</v>
      </c>
      <c r="AK39" s="321">
        <f t="shared" si="2"/>
        <v>0.11247</v>
      </c>
      <c r="AL39" s="321">
        <f t="shared" si="2"/>
        <v>0.14325555555555555</v>
      </c>
      <c r="AM39" s="321">
        <f t="shared" si="2"/>
        <v>0.10388888888888889</v>
      </c>
      <c r="AN39" s="321">
        <f t="shared" si="2"/>
        <v>0.12788888888888886</v>
      </c>
      <c r="AO39" s="321">
        <f t="shared" si="2"/>
        <v>0.14144444444444446</v>
      </c>
      <c r="AP39" s="321">
        <f t="shared" si="2"/>
        <v>0.12965743899922355</v>
      </c>
      <c r="AQ39" s="321">
        <f t="shared" si="2"/>
        <v>0.12335495896281505</v>
      </c>
      <c r="AR39" s="321">
        <f t="shared" si="2"/>
        <v>0.12327564491925069</v>
      </c>
      <c r="AS39" s="321">
        <f t="shared" si="2"/>
        <v>0.14387822777632081</v>
      </c>
      <c r="AT39" s="321">
        <f t="shared" si="2"/>
        <v>0.1627777777777778</v>
      </c>
      <c r="AU39" s="321">
        <f>AVERAGE(AU24:AU36)</f>
        <v>0.14444444444444446</v>
      </c>
      <c r="AV39" s="321">
        <f t="shared" si="2"/>
        <v>0.14399999999999999</v>
      </c>
      <c r="AW39" s="321">
        <f t="shared" si="2"/>
        <v>0.11255555555555558</v>
      </c>
      <c r="AX39" s="321">
        <f t="shared" si="2"/>
        <v>9.5000000000000001E-2</v>
      </c>
      <c r="AY39" s="321">
        <f t="shared" si="2"/>
        <v>0.10582222222222223</v>
      </c>
      <c r="AZ39" s="321">
        <f t="shared" si="2"/>
        <v>8.3424999999999999E-2</v>
      </c>
      <c r="BA39" s="321">
        <f t="shared" si="2"/>
        <v>6.3087499999999991E-2</v>
      </c>
    </row>
    <row r="41" spans="1:53">
      <c r="A41" s="53"/>
    </row>
    <row r="42" spans="1:53">
      <c r="A42" s="81"/>
      <c r="B42" s="81"/>
      <c r="C42" s="81" t="str">
        <f t="shared" ref="C42:BA42" si="3">_xlfn.CONCAT(YEAR(C23),"Q",ROUNDUP(MONTH(C23)/3,0))</f>
        <v>2014Q2</v>
      </c>
      <c r="D42" s="81" t="str">
        <f t="shared" si="3"/>
        <v>2014Q2</v>
      </c>
      <c r="E42" s="81" t="str">
        <f t="shared" si="3"/>
        <v>2014Q2</v>
      </c>
      <c r="F42" s="81" t="str">
        <f t="shared" si="3"/>
        <v>2014Q3</v>
      </c>
      <c r="G42" s="81" t="str">
        <f t="shared" si="3"/>
        <v>2014Q3</v>
      </c>
      <c r="H42" s="81" t="str">
        <f t="shared" si="3"/>
        <v>2014Q3</v>
      </c>
      <c r="I42" s="81" t="str">
        <f t="shared" si="3"/>
        <v>2014Q4</v>
      </c>
      <c r="J42" s="81" t="str">
        <f t="shared" si="3"/>
        <v>2014Q4</v>
      </c>
      <c r="K42" s="81" t="str">
        <f t="shared" si="3"/>
        <v>2014Q4</v>
      </c>
      <c r="L42" s="81" t="str">
        <f t="shared" si="3"/>
        <v>2015Q1</v>
      </c>
      <c r="M42" s="81" t="str">
        <f t="shared" si="3"/>
        <v>2015Q1</v>
      </c>
      <c r="N42" s="81" t="str">
        <f t="shared" si="3"/>
        <v>2015Q1</v>
      </c>
      <c r="O42" s="81" t="str">
        <f t="shared" si="3"/>
        <v>2015Q2</v>
      </c>
      <c r="P42" s="81" t="str">
        <f t="shared" si="3"/>
        <v>2015Q2</v>
      </c>
      <c r="Q42" s="81" t="str">
        <f t="shared" si="3"/>
        <v>2015Q2</v>
      </c>
      <c r="R42" s="81" t="str">
        <f t="shared" si="3"/>
        <v>2015Q3</v>
      </c>
      <c r="S42" s="81" t="str">
        <f t="shared" si="3"/>
        <v>2015Q3</v>
      </c>
      <c r="T42" s="81" t="str">
        <f t="shared" si="3"/>
        <v>2015Q3</v>
      </c>
      <c r="U42" s="81" t="str">
        <f t="shared" si="3"/>
        <v>2015Q4</v>
      </c>
      <c r="V42" s="81" t="str">
        <f t="shared" si="3"/>
        <v>2015Q4</v>
      </c>
      <c r="W42" s="81" t="str">
        <f t="shared" si="3"/>
        <v>2015Q4</v>
      </c>
      <c r="X42" s="81" t="str">
        <f t="shared" si="3"/>
        <v>2016Q1</v>
      </c>
      <c r="Y42" s="81" t="str">
        <f t="shared" si="3"/>
        <v>2016Q1</v>
      </c>
      <c r="Z42" s="81" t="str">
        <f t="shared" si="3"/>
        <v>2016Q1</v>
      </c>
      <c r="AA42" s="81" t="str">
        <f t="shared" si="3"/>
        <v>2016Q2</v>
      </c>
      <c r="AB42" s="81" t="str">
        <f t="shared" si="3"/>
        <v>2016Q2</v>
      </c>
      <c r="AC42" s="81" t="str">
        <f t="shared" si="3"/>
        <v>2016Q2</v>
      </c>
      <c r="AD42" s="81" t="str">
        <f t="shared" si="3"/>
        <v>2016Q3</v>
      </c>
      <c r="AE42" s="81" t="str">
        <f t="shared" si="3"/>
        <v>2016Q3</v>
      </c>
      <c r="AF42" s="81" t="str">
        <f t="shared" si="3"/>
        <v>2016Q3</v>
      </c>
      <c r="AG42" s="81" t="str">
        <f t="shared" si="3"/>
        <v>2016Q4</v>
      </c>
      <c r="AH42" s="81" t="str">
        <f t="shared" si="3"/>
        <v>2016Q4</v>
      </c>
      <c r="AI42" s="81" t="str">
        <f t="shared" si="3"/>
        <v>2016Q4</v>
      </c>
      <c r="AJ42" s="81" t="str">
        <f t="shared" si="3"/>
        <v>2017Q1</v>
      </c>
      <c r="AK42" s="81" t="str">
        <f t="shared" si="3"/>
        <v>2017Q1</v>
      </c>
      <c r="AL42" s="81" t="str">
        <f t="shared" si="3"/>
        <v>2017Q1</v>
      </c>
      <c r="AM42" s="81" t="str">
        <f t="shared" si="3"/>
        <v>2017Q2</v>
      </c>
      <c r="AN42" s="81" t="str">
        <f t="shared" si="3"/>
        <v>2017Q2</v>
      </c>
      <c r="AO42" s="81" t="str">
        <f t="shared" si="3"/>
        <v>2017Q2</v>
      </c>
      <c r="AP42" s="81" t="str">
        <f t="shared" si="3"/>
        <v>2017Q3</v>
      </c>
      <c r="AQ42" s="81" t="str">
        <f t="shared" si="3"/>
        <v>2017Q3</v>
      </c>
      <c r="AR42" s="81" t="str">
        <f t="shared" si="3"/>
        <v>2017Q3</v>
      </c>
      <c r="AS42" s="81" t="str">
        <f t="shared" si="3"/>
        <v>2017Q4</v>
      </c>
      <c r="AT42" s="81" t="str">
        <f t="shared" si="3"/>
        <v>2017Q4</v>
      </c>
      <c r="AU42" s="81" t="str">
        <f t="shared" si="3"/>
        <v>2017Q4</v>
      </c>
      <c r="AV42" s="83" t="str">
        <f t="shared" si="3"/>
        <v>2018Q1</v>
      </c>
      <c r="AW42" s="83" t="str">
        <f t="shared" si="3"/>
        <v>2018Q1</v>
      </c>
      <c r="AX42" s="83" t="str">
        <f t="shared" si="3"/>
        <v>2018Q1</v>
      </c>
      <c r="AY42" s="83" t="str">
        <f t="shared" si="3"/>
        <v>2018Q2</v>
      </c>
      <c r="AZ42" s="83" t="str">
        <f t="shared" si="3"/>
        <v>2018Q2</v>
      </c>
      <c r="BA42" s="83" t="str">
        <f t="shared" si="3"/>
        <v>2018Q2</v>
      </c>
    </row>
    <row r="43" spans="1:53">
      <c r="A43" s="82">
        <v>1</v>
      </c>
      <c r="B43" s="83">
        <v>2</v>
      </c>
      <c r="C43" s="83">
        <v>3</v>
      </c>
      <c r="D43" s="82">
        <v>4</v>
      </c>
      <c r="E43" s="83">
        <v>5</v>
      </c>
      <c r="F43" s="83">
        <v>6</v>
      </c>
      <c r="G43" s="82">
        <v>7</v>
      </c>
      <c r="H43" s="83">
        <v>8</v>
      </c>
      <c r="I43" s="83">
        <v>9</v>
      </c>
      <c r="J43" s="82">
        <v>10</v>
      </c>
      <c r="K43" s="83">
        <v>11</v>
      </c>
      <c r="L43" s="83">
        <v>12</v>
      </c>
      <c r="M43" s="82">
        <v>13</v>
      </c>
      <c r="N43" s="83">
        <v>14</v>
      </c>
      <c r="O43" s="83">
        <v>15</v>
      </c>
      <c r="P43" s="82">
        <v>16</v>
      </c>
      <c r="Q43" s="83">
        <v>17</v>
      </c>
      <c r="R43" s="83">
        <v>18</v>
      </c>
      <c r="S43" s="82">
        <v>19</v>
      </c>
      <c r="T43" s="83">
        <v>20</v>
      </c>
      <c r="U43" s="83">
        <v>21</v>
      </c>
      <c r="V43" s="82">
        <v>22</v>
      </c>
      <c r="W43" s="83">
        <v>23</v>
      </c>
      <c r="X43" s="83">
        <v>24</v>
      </c>
      <c r="Y43" s="82">
        <v>25</v>
      </c>
      <c r="Z43" s="83">
        <v>26</v>
      </c>
      <c r="AA43" s="83">
        <v>27</v>
      </c>
      <c r="AB43" s="82">
        <v>28</v>
      </c>
      <c r="AC43" s="83">
        <v>29</v>
      </c>
      <c r="AD43" s="83">
        <v>30</v>
      </c>
      <c r="AE43" s="82">
        <v>31</v>
      </c>
      <c r="AF43" s="83">
        <v>32</v>
      </c>
      <c r="AG43" s="83">
        <v>33</v>
      </c>
      <c r="AH43" s="82">
        <v>34</v>
      </c>
      <c r="AI43" s="83">
        <v>35</v>
      </c>
      <c r="AJ43" s="83">
        <v>36</v>
      </c>
      <c r="AK43" s="82">
        <v>37</v>
      </c>
      <c r="AL43" s="83">
        <v>38</v>
      </c>
      <c r="AM43" s="83">
        <v>39</v>
      </c>
      <c r="AN43" s="82">
        <v>40</v>
      </c>
      <c r="AO43" s="83">
        <v>41</v>
      </c>
      <c r="AP43" s="83">
        <v>42</v>
      </c>
      <c r="AQ43" s="82">
        <v>43</v>
      </c>
      <c r="AR43" s="83">
        <v>44</v>
      </c>
      <c r="AS43" s="83">
        <v>45</v>
      </c>
      <c r="AT43" s="82">
        <v>46</v>
      </c>
      <c r="AU43" s="83">
        <v>47</v>
      </c>
      <c r="AV43" s="83">
        <v>48</v>
      </c>
      <c r="AW43" s="83">
        <v>49</v>
      </c>
      <c r="AX43" s="83">
        <v>50</v>
      </c>
      <c r="AY43" s="83">
        <v>51</v>
      </c>
      <c r="AZ43" s="83">
        <v>52</v>
      </c>
      <c r="BA43" s="83">
        <v>53</v>
      </c>
    </row>
    <row r="44" spans="1:53">
      <c r="A44" s="84"/>
      <c r="B44" s="85"/>
      <c r="C44" s="85">
        <v>5</v>
      </c>
      <c r="D44" s="85">
        <v>6</v>
      </c>
      <c r="E44" s="85">
        <v>7</v>
      </c>
      <c r="F44" s="85">
        <v>8</v>
      </c>
      <c r="G44" s="85">
        <v>9</v>
      </c>
      <c r="H44" s="85">
        <v>10</v>
      </c>
      <c r="I44" s="85">
        <v>11</v>
      </c>
      <c r="J44" s="85">
        <v>12</v>
      </c>
      <c r="K44" s="85">
        <v>13</v>
      </c>
      <c r="L44" s="85">
        <v>14</v>
      </c>
      <c r="M44" s="85">
        <v>15</v>
      </c>
      <c r="N44" s="85">
        <v>16</v>
      </c>
      <c r="O44" s="85">
        <v>17</v>
      </c>
      <c r="P44" s="85">
        <v>18</v>
      </c>
      <c r="Q44" s="85">
        <v>19</v>
      </c>
      <c r="R44" s="85">
        <v>20</v>
      </c>
      <c r="S44" s="85">
        <v>21</v>
      </c>
      <c r="T44" s="85">
        <v>22</v>
      </c>
      <c r="U44" s="85">
        <v>23</v>
      </c>
      <c r="V44" s="85">
        <v>24</v>
      </c>
      <c r="W44" s="85">
        <v>25</v>
      </c>
      <c r="X44" s="85">
        <v>26</v>
      </c>
      <c r="Y44" s="85">
        <v>27</v>
      </c>
      <c r="Z44" s="85">
        <v>28</v>
      </c>
      <c r="AA44" s="85">
        <v>29</v>
      </c>
      <c r="AB44" s="85">
        <v>30</v>
      </c>
      <c r="AC44" s="85">
        <v>31</v>
      </c>
      <c r="AD44" s="85">
        <v>32</v>
      </c>
      <c r="AE44" s="85">
        <v>33</v>
      </c>
      <c r="AF44" s="85">
        <v>34</v>
      </c>
      <c r="AG44" s="85">
        <v>35</v>
      </c>
      <c r="AH44" s="85">
        <v>36</v>
      </c>
      <c r="AI44" s="85">
        <v>37</v>
      </c>
      <c r="AJ44" s="85">
        <v>38</v>
      </c>
      <c r="AK44" s="85">
        <v>39</v>
      </c>
      <c r="AL44" s="85">
        <v>40</v>
      </c>
      <c r="AM44" s="85">
        <v>41</v>
      </c>
      <c r="AN44" s="85">
        <v>42</v>
      </c>
      <c r="AO44" s="85">
        <v>43</v>
      </c>
      <c r="AP44" s="85">
        <v>44</v>
      </c>
      <c r="AQ44" s="85">
        <v>45</v>
      </c>
      <c r="AR44" s="85">
        <v>46</v>
      </c>
      <c r="AS44" s="85">
        <v>47</v>
      </c>
      <c r="AT44" s="85">
        <v>48</v>
      </c>
      <c r="AU44" s="85">
        <v>49</v>
      </c>
      <c r="AV44" s="83">
        <v>50</v>
      </c>
      <c r="AW44" s="83">
        <v>51</v>
      </c>
      <c r="AX44" s="83">
        <v>52</v>
      </c>
      <c r="AY44" s="83">
        <v>53</v>
      </c>
      <c r="AZ44" s="83">
        <v>54</v>
      </c>
      <c r="BA44" s="83">
        <v>55</v>
      </c>
    </row>
    <row r="48" spans="1:53">
      <c r="A48" s="213" t="s">
        <v>552</v>
      </c>
      <c r="B48" s="213">
        <v>41640</v>
      </c>
      <c r="C48" s="213">
        <v>41671</v>
      </c>
      <c r="D48" s="213">
        <v>41699</v>
      </c>
      <c r="E48" s="213">
        <v>41730</v>
      </c>
      <c r="F48" s="213">
        <v>41760</v>
      </c>
      <c r="G48" s="213">
        <v>41791</v>
      </c>
      <c r="H48" s="213">
        <v>41821</v>
      </c>
      <c r="I48" s="213">
        <v>41852</v>
      </c>
      <c r="J48" s="213">
        <v>41883</v>
      </c>
      <c r="K48" s="213">
        <v>41913</v>
      </c>
      <c r="L48" s="213">
        <v>41944</v>
      </c>
      <c r="M48" s="213">
        <v>41974</v>
      </c>
      <c r="N48" s="213">
        <v>42005</v>
      </c>
      <c r="O48" s="213">
        <v>42036</v>
      </c>
      <c r="P48" s="213">
        <v>42064</v>
      </c>
      <c r="Q48" s="213">
        <v>42095</v>
      </c>
      <c r="R48" s="213">
        <v>42125</v>
      </c>
      <c r="S48" s="213">
        <v>42156</v>
      </c>
      <c r="T48" s="213">
        <v>42186</v>
      </c>
      <c r="U48" s="213">
        <v>42217</v>
      </c>
      <c r="V48" s="213">
        <v>42248</v>
      </c>
      <c r="W48" s="213">
        <v>42278</v>
      </c>
      <c r="X48" s="213">
        <v>42309</v>
      </c>
      <c r="Y48" s="213">
        <v>42339</v>
      </c>
      <c r="Z48" s="213">
        <v>42370</v>
      </c>
      <c r="AA48" s="213">
        <v>42401</v>
      </c>
      <c r="AB48" s="213">
        <v>42430</v>
      </c>
      <c r="AC48" s="213">
        <v>42461</v>
      </c>
      <c r="AD48" s="213">
        <v>42491</v>
      </c>
      <c r="AE48" s="213"/>
      <c r="AF48" s="213">
        <v>42552</v>
      </c>
      <c r="AG48" s="213">
        <v>42584</v>
      </c>
      <c r="AH48" s="213">
        <v>42614</v>
      </c>
      <c r="AI48" s="213">
        <v>42644</v>
      </c>
      <c r="AJ48" s="213">
        <v>42690</v>
      </c>
      <c r="AK48" s="213">
        <v>42720</v>
      </c>
      <c r="AL48" s="213">
        <v>42736</v>
      </c>
      <c r="AM48" s="213">
        <v>42783</v>
      </c>
      <c r="AN48" s="213" t="s">
        <v>553</v>
      </c>
      <c r="AO48" s="213">
        <v>42826</v>
      </c>
      <c r="AP48" s="213" t="s">
        <v>554</v>
      </c>
      <c r="AQ48" s="213" t="s">
        <v>555</v>
      </c>
      <c r="AR48" s="213" t="s">
        <v>556</v>
      </c>
      <c r="AS48" s="213">
        <v>42948</v>
      </c>
      <c r="AT48" s="213" t="s">
        <v>557</v>
      </c>
      <c r="AU48" t="s">
        <v>558</v>
      </c>
      <c r="AV48">
        <v>43040</v>
      </c>
      <c r="AW48">
        <v>43070</v>
      </c>
    </row>
    <row r="49" spans="1:46">
      <c r="A49" s="211" t="s">
        <v>25</v>
      </c>
    </row>
    <row r="50" spans="1:46">
      <c r="A50" s="211" t="s">
        <v>17</v>
      </c>
    </row>
    <row r="51" spans="1:46">
      <c r="A51" s="211" t="s">
        <v>34</v>
      </c>
    </row>
    <row r="52" spans="1:46">
      <c r="A52" s="211" t="s">
        <v>24</v>
      </c>
    </row>
    <row r="53" spans="1:46">
      <c r="A53" s="211" t="s">
        <v>27</v>
      </c>
      <c r="AT53" s="211"/>
    </row>
    <row r="54" spans="1:46">
      <c r="A54" s="211" t="s">
        <v>49</v>
      </c>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row>
    <row r="55" spans="1:46">
      <c r="A55" s="211" t="s">
        <v>45</v>
      </c>
      <c r="AR55" s="211"/>
      <c r="AS55" s="211"/>
      <c r="AT55" s="211"/>
    </row>
    <row r="56" spans="1:46">
      <c r="A56" s="211" t="s">
        <v>46</v>
      </c>
    </row>
    <row r="57" spans="1:46">
      <c r="A57" s="211" t="s">
        <v>36</v>
      </c>
      <c r="AR57" s="211"/>
      <c r="AS57" s="211"/>
      <c r="AT57" s="211"/>
    </row>
    <row r="58" spans="1:46">
      <c r="A58" s="211" t="s">
        <v>20</v>
      </c>
      <c r="AL58" s="211"/>
      <c r="AM58" s="211"/>
      <c r="AN58" s="211"/>
      <c r="AO58" s="211"/>
      <c r="AP58" s="211"/>
      <c r="AQ58" s="211"/>
      <c r="AR58" s="211"/>
      <c r="AS58" s="211"/>
      <c r="AT58" s="211"/>
    </row>
    <row r="59" spans="1:46">
      <c r="A59" s="211" t="s">
        <v>41</v>
      </c>
      <c r="B59" s="211"/>
      <c r="AS59" s="211"/>
      <c r="AT59" s="211"/>
    </row>
    <row r="60" spans="1:46">
      <c r="A60" s="211" t="s">
        <v>35</v>
      </c>
      <c r="B60" s="211"/>
    </row>
  </sheetData>
  <protectedRanges>
    <protectedRange algorithmName="SHA-512" hashValue="KAOnLuCe5GfH5gbXOyGYHawuIUmhs4wWGWrwshxuBW+6TTNZSLK70KQYe3Q59oMI1d1HBA152w6kORswPElEng==" saltValue="Bq0aOinNk9h9jqlEXOMlsA==" spinCount="100000" sqref="HA19:XFD20 CX19:CX20 C44:AR44 C20:AR20 C19:AU19 C43:AU43 A19:B20 A43:B44 BB19:CQ20" name="Range1"/>
    <protectedRange algorithmName="SHA-512" hashValue="KAOnLuCe5GfH5gbXOyGYHawuIUmhs4wWGWrwshxuBW+6TTNZSLK70KQYe3Q59oMI1d1HBA152w6kORswPElEng==" saltValue="Bq0aOinNk9h9jqlEXOMlsA==" spinCount="100000" sqref="HA18:XFD18 A42:AU42 A18:AU18 BB18:CX18" name="Range1_1"/>
  </protectedRanges>
  <conditionalFormatting sqref="P3:S4 T5:V5 J8:M10 K3:N4 H5:T6 M8:O12 R8:T12 C15:V15 C3:I6 C8:K12 C11:P12">
    <cfRule type="cellIs" dxfId="99" priority="340" operator="equal">
      <formula>0</formula>
    </cfRule>
  </conditionalFormatting>
  <conditionalFormatting sqref="I11:M12">
    <cfRule type="cellIs" dxfId="98" priority="336" operator="equal">
      <formula>0</formula>
    </cfRule>
  </conditionalFormatting>
  <conditionalFormatting sqref="I5:L6 I3:L3 D5:G6 D3:G3">
    <cfRule type="cellIs" dxfId="97" priority="335" operator="equal">
      <formula>0</formula>
    </cfRule>
  </conditionalFormatting>
  <conditionalFormatting sqref="J15:M15">
    <cfRule type="cellIs" dxfId="96" priority="334" operator="equal">
      <formula>0</formula>
    </cfRule>
  </conditionalFormatting>
  <conditionalFormatting sqref="M5:M6">
    <cfRule type="cellIs" dxfId="95" priority="333" operator="equal">
      <formula>0</formula>
    </cfRule>
  </conditionalFormatting>
  <conditionalFormatting sqref="N15">
    <cfRule type="cellIs" dxfId="94" priority="327" operator="equal">
      <formula>0</formula>
    </cfRule>
  </conditionalFormatting>
  <conditionalFormatting sqref="N5">
    <cfRule type="cellIs" dxfId="93" priority="326" operator="equal">
      <formula>0</formula>
    </cfRule>
  </conditionalFormatting>
  <conditionalFormatting sqref="K9:N12 F9:I12">
    <cfRule type="cellIs" dxfId="92" priority="323" operator="equal">
      <formula>0</formula>
    </cfRule>
  </conditionalFormatting>
  <conditionalFormatting sqref="O15">
    <cfRule type="cellIs" dxfId="91" priority="321" operator="equal">
      <formula>0</formula>
    </cfRule>
  </conditionalFormatting>
  <conditionalFormatting sqref="O9:O10">
    <cfRule type="cellIs" dxfId="90" priority="320" operator="equal">
      <formula>0</formula>
    </cfRule>
  </conditionalFormatting>
  <conditionalFormatting sqref="J5:N5">
    <cfRule type="cellIs" dxfId="89" priority="319" operator="equal">
      <formula>0</formula>
    </cfRule>
  </conditionalFormatting>
  <conditionalFormatting sqref="P15">
    <cfRule type="cellIs" dxfId="88" priority="317" operator="equal">
      <formula>0</formula>
    </cfRule>
  </conditionalFormatting>
  <conditionalFormatting sqref="L5:P5">
    <cfRule type="cellIs" dxfId="87" priority="312" operator="equal">
      <formula>0</formula>
    </cfRule>
  </conditionalFormatting>
  <conditionalFormatting sqref="L5:P5">
    <cfRule type="cellIs" dxfId="86" priority="311" operator="equal">
      <formula>0</formula>
    </cfRule>
  </conditionalFormatting>
  <conditionalFormatting sqref="R5">
    <cfRule type="cellIs" dxfId="85" priority="306" operator="equal">
      <formula>0</formula>
    </cfRule>
  </conditionalFormatting>
  <conditionalFormatting sqref="T3">
    <cfRule type="cellIs" dxfId="84" priority="304" operator="equal">
      <formula>0</formula>
    </cfRule>
  </conditionalFormatting>
  <conditionalFormatting sqref="R6:V6 R11:V12">
    <cfRule type="cellIs" dxfId="83" priority="303" operator="equal">
      <formula>0</formula>
    </cfRule>
  </conditionalFormatting>
  <conditionalFormatting sqref="D10:S12">
    <cfRule type="cellIs" dxfId="82" priority="302" operator="equal">
      <formula>0</formula>
    </cfRule>
  </conditionalFormatting>
  <conditionalFormatting sqref="U15">
    <cfRule type="cellIs" dxfId="81" priority="297" operator="equal">
      <formula>0</formula>
    </cfRule>
  </conditionalFormatting>
  <conditionalFormatting sqref="U5">
    <cfRule type="cellIs" dxfId="80" priority="296" operator="equal">
      <formula>0</formula>
    </cfRule>
  </conditionalFormatting>
  <conditionalFormatting sqref="V3">
    <cfRule type="cellIs" dxfId="79" priority="293" operator="equal">
      <formula>0</formula>
    </cfRule>
  </conditionalFormatting>
  <conditionalFormatting sqref="W5">
    <cfRule type="cellIs" dxfId="78" priority="292" operator="equal">
      <formula>0</formula>
    </cfRule>
  </conditionalFormatting>
  <conditionalFormatting sqref="W15">
    <cfRule type="cellIs" dxfId="77" priority="288" operator="equal">
      <formula>0</formula>
    </cfRule>
  </conditionalFormatting>
  <conditionalFormatting sqref="L5:L6">
    <cfRule type="cellIs" dxfId="76" priority="280" operator="equal">
      <formula>0</formula>
    </cfRule>
  </conditionalFormatting>
  <conditionalFormatting sqref="M5">
    <cfRule type="cellIs" dxfId="75" priority="275" operator="equal">
      <formula>0</formula>
    </cfRule>
  </conditionalFormatting>
  <conditionalFormatting sqref="N9:N10">
    <cfRule type="cellIs" dxfId="74" priority="270" operator="equal">
      <formula>0</formula>
    </cfRule>
  </conditionalFormatting>
  <conditionalFormatting sqref="Q5">
    <cfRule type="cellIs" dxfId="73" priority="262" operator="equal">
      <formula>0</formula>
    </cfRule>
  </conditionalFormatting>
  <conditionalFormatting sqref="S3">
    <cfRule type="cellIs" dxfId="72" priority="261" operator="equal">
      <formula>0</formula>
    </cfRule>
  </conditionalFormatting>
  <conditionalFormatting sqref="T5">
    <cfRule type="cellIs" dxfId="71" priority="256" operator="equal">
      <formula>0</formula>
    </cfRule>
  </conditionalFormatting>
  <conditionalFormatting sqref="U3">
    <cfRule type="cellIs" dxfId="70" priority="253" operator="equal">
      <formula>0</formula>
    </cfRule>
  </conditionalFormatting>
  <conditionalFormatting sqref="V5">
    <cfRule type="cellIs" dxfId="69" priority="252" operator="equal">
      <formula>0</formula>
    </cfRule>
  </conditionalFormatting>
  <conditionalFormatting sqref="L5:L6">
    <cfRule type="cellIs" dxfId="68" priority="242" operator="equal">
      <formula>0</formula>
    </cfRule>
  </conditionalFormatting>
  <conditionalFormatting sqref="M15">
    <cfRule type="cellIs" dxfId="67" priority="237" operator="equal">
      <formula>0</formula>
    </cfRule>
  </conditionalFormatting>
  <conditionalFormatting sqref="M5">
    <cfRule type="cellIs" dxfId="66" priority="236" operator="equal">
      <formula>0</formula>
    </cfRule>
  </conditionalFormatting>
  <conditionalFormatting sqref="N15">
    <cfRule type="cellIs" dxfId="65" priority="232" operator="equal">
      <formula>0</formula>
    </cfRule>
  </conditionalFormatting>
  <conditionalFormatting sqref="N9:N10">
    <cfRule type="cellIs" dxfId="64" priority="231" operator="equal">
      <formula>0</formula>
    </cfRule>
  </conditionalFormatting>
  <conditionalFormatting sqref="O15">
    <cfRule type="cellIs" dxfId="63" priority="229" operator="equal">
      <formula>0</formula>
    </cfRule>
  </conditionalFormatting>
  <conditionalFormatting sqref="Q5">
    <cfRule type="cellIs" dxfId="62" priority="223" operator="equal">
      <formula>0</formula>
    </cfRule>
  </conditionalFormatting>
  <conditionalFormatting sqref="S3">
    <cfRule type="cellIs" dxfId="61" priority="222" operator="equal">
      <formula>0</formula>
    </cfRule>
  </conditionalFormatting>
  <conditionalFormatting sqref="T15">
    <cfRule type="cellIs" dxfId="60" priority="217" operator="equal">
      <formula>0</formula>
    </cfRule>
  </conditionalFormatting>
  <conditionalFormatting sqref="T5">
    <cfRule type="cellIs" dxfId="59" priority="216" operator="equal">
      <formula>0</formula>
    </cfRule>
  </conditionalFormatting>
  <conditionalFormatting sqref="U3">
    <cfRule type="cellIs" dxfId="58" priority="213" operator="equal">
      <formula>0</formula>
    </cfRule>
  </conditionalFormatting>
  <conditionalFormatting sqref="V5">
    <cfRule type="cellIs" dxfId="57" priority="212" operator="equal">
      <formula>0</formula>
    </cfRule>
  </conditionalFormatting>
  <conditionalFormatting sqref="V15">
    <cfRule type="cellIs" dxfId="56" priority="209" operator="equal">
      <formula>0</formula>
    </cfRule>
  </conditionalFormatting>
  <conditionalFormatting sqref="K5:K6">
    <cfRule type="cellIs" dxfId="55" priority="201" operator="equal">
      <formula>0</formula>
    </cfRule>
  </conditionalFormatting>
  <conditionalFormatting sqref="L5">
    <cfRule type="cellIs" dxfId="54" priority="196" operator="equal">
      <formula>0</formula>
    </cfRule>
  </conditionalFormatting>
  <conditionalFormatting sqref="M9:M10">
    <cfRule type="cellIs" dxfId="53" priority="191" operator="equal">
      <formula>0</formula>
    </cfRule>
  </conditionalFormatting>
  <conditionalFormatting sqref="P5">
    <cfRule type="cellIs" dxfId="52" priority="183" operator="equal">
      <formula>0</formula>
    </cfRule>
  </conditionalFormatting>
  <conditionalFormatting sqref="R3">
    <cfRule type="cellIs" dxfId="51" priority="182" operator="equal">
      <formula>0</formula>
    </cfRule>
  </conditionalFormatting>
  <conditionalFormatting sqref="S5">
    <cfRule type="cellIs" dxfId="50" priority="177" operator="equal">
      <formula>0</formula>
    </cfRule>
  </conditionalFormatting>
  <conditionalFormatting sqref="T3">
    <cfRule type="cellIs" dxfId="49" priority="174" operator="equal">
      <formula>0</formula>
    </cfRule>
  </conditionalFormatting>
  <conditionalFormatting sqref="U5">
    <cfRule type="cellIs" dxfId="48" priority="173" operator="equal">
      <formula>0</formula>
    </cfRule>
  </conditionalFormatting>
  <conditionalFormatting sqref="D11:H12">
    <cfRule type="cellIs" dxfId="47" priority="163" operator="equal">
      <formula>0</formula>
    </cfRule>
  </conditionalFormatting>
  <conditionalFormatting sqref="E15:H15">
    <cfRule type="cellIs" dxfId="46" priority="162" operator="equal">
      <formula>0</formula>
    </cfRule>
  </conditionalFormatting>
  <conditionalFormatting sqref="H5:H6">
    <cfRule type="cellIs" dxfId="45" priority="161" operator="equal">
      <formula>0</formula>
    </cfRule>
  </conditionalFormatting>
  <conditionalFormatting sqref="I15">
    <cfRule type="cellIs" dxfId="44" priority="156" operator="equal">
      <formula>0</formula>
    </cfRule>
  </conditionalFormatting>
  <conditionalFormatting sqref="I5">
    <cfRule type="cellIs" dxfId="43" priority="155" operator="equal">
      <formula>0</formula>
    </cfRule>
  </conditionalFormatting>
  <conditionalFormatting sqref="J15">
    <cfRule type="cellIs" dxfId="42" priority="151" operator="equal">
      <formula>0</formula>
    </cfRule>
  </conditionalFormatting>
  <conditionalFormatting sqref="J9:J10">
    <cfRule type="cellIs" dxfId="41" priority="150" operator="equal">
      <formula>0</formula>
    </cfRule>
  </conditionalFormatting>
  <conditionalFormatting sqref="E5:I5">
    <cfRule type="cellIs" dxfId="40" priority="149" operator="equal">
      <formula>0</formula>
    </cfRule>
  </conditionalFormatting>
  <conditionalFormatting sqref="K15">
    <cfRule type="cellIs" dxfId="39" priority="147" operator="equal">
      <formula>0</formula>
    </cfRule>
  </conditionalFormatting>
  <conditionalFormatting sqref="G5:K5">
    <cfRule type="cellIs" dxfId="38" priority="142" operator="equal">
      <formula>0</formula>
    </cfRule>
  </conditionalFormatting>
  <conditionalFormatting sqref="G5:K5">
    <cfRule type="cellIs" dxfId="37" priority="141" operator="equal">
      <formula>0</formula>
    </cfRule>
  </conditionalFormatting>
  <conditionalFormatting sqref="M5">
    <cfRule type="cellIs" dxfId="36" priority="139" operator="equal">
      <formula>0</formula>
    </cfRule>
  </conditionalFormatting>
  <conditionalFormatting sqref="O3">
    <cfRule type="cellIs" dxfId="35" priority="137" operator="equal">
      <formula>0</formula>
    </cfRule>
  </conditionalFormatting>
  <conditionalFormatting sqref="M6:Q6 M11:Q12">
    <cfRule type="cellIs" dxfId="34" priority="136" operator="equal">
      <formula>0</formula>
    </cfRule>
  </conditionalFormatting>
  <conditionalFormatting sqref="P15">
    <cfRule type="cellIs" dxfId="33" priority="131" operator="equal">
      <formula>0</formula>
    </cfRule>
  </conditionalFormatting>
  <conditionalFormatting sqref="P5">
    <cfRule type="cellIs" dxfId="32" priority="130" operator="equal">
      <formula>0</formula>
    </cfRule>
  </conditionalFormatting>
  <conditionalFormatting sqref="Q3">
    <cfRule type="cellIs" dxfId="31" priority="127" operator="equal">
      <formula>0</formula>
    </cfRule>
  </conditionalFormatting>
  <conditionalFormatting sqref="R5">
    <cfRule type="cellIs" dxfId="30" priority="126" operator="equal">
      <formula>0</formula>
    </cfRule>
  </conditionalFormatting>
  <conditionalFormatting sqref="R15">
    <cfRule type="cellIs" dxfId="29" priority="123" operator="equal">
      <formula>0</formula>
    </cfRule>
  </conditionalFormatting>
  <conditionalFormatting sqref="G5:G6">
    <cfRule type="cellIs" dxfId="28" priority="115" operator="equal">
      <formula>0</formula>
    </cfRule>
  </conditionalFormatting>
  <conditionalFormatting sqref="H5">
    <cfRule type="cellIs" dxfId="27" priority="110" operator="equal">
      <formula>0</formula>
    </cfRule>
  </conditionalFormatting>
  <conditionalFormatting sqref="I9:I10">
    <cfRule type="cellIs" dxfId="26" priority="105" operator="equal">
      <formula>0</formula>
    </cfRule>
  </conditionalFormatting>
  <conditionalFormatting sqref="L5">
    <cfRule type="cellIs" dxfId="25" priority="97" operator="equal">
      <formula>0</formula>
    </cfRule>
  </conditionalFormatting>
  <conditionalFormatting sqref="N3">
    <cfRule type="cellIs" dxfId="24" priority="96" operator="equal">
      <formula>0</formula>
    </cfRule>
  </conditionalFormatting>
  <conditionalFormatting sqref="O5">
    <cfRule type="cellIs" dxfId="23" priority="91" operator="equal">
      <formula>0</formula>
    </cfRule>
  </conditionalFormatting>
  <conditionalFormatting sqref="P3">
    <cfRule type="cellIs" dxfId="22" priority="88" operator="equal">
      <formula>0</formula>
    </cfRule>
  </conditionalFormatting>
  <conditionalFormatting sqref="Q5">
    <cfRule type="cellIs" dxfId="21" priority="87" operator="equal">
      <formula>0</formula>
    </cfRule>
  </conditionalFormatting>
  <conditionalFormatting sqref="G5:G6">
    <cfRule type="cellIs" dxfId="20" priority="77" operator="equal">
      <formula>0</formula>
    </cfRule>
  </conditionalFormatting>
  <conditionalFormatting sqref="H15">
    <cfRule type="cellIs" dxfId="19" priority="72" operator="equal">
      <formula>0</formula>
    </cfRule>
  </conditionalFormatting>
  <conditionalFormatting sqref="H5">
    <cfRule type="cellIs" dxfId="18" priority="71" operator="equal">
      <formula>0</formula>
    </cfRule>
  </conditionalFormatting>
  <conditionalFormatting sqref="I15">
    <cfRule type="cellIs" dxfId="17" priority="67" operator="equal">
      <formula>0</formula>
    </cfRule>
  </conditionalFormatting>
  <conditionalFormatting sqref="I9:I10">
    <cfRule type="cellIs" dxfId="16" priority="66" operator="equal">
      <formula>0</formula>
    </cfRule>
  </conditionalFormatting>
  <conditionalFormatting sqref="J15">
    <cfRule type="cellIs" dxfId="15" priority="64" operator="equal">
      <formula>0</formula>
    </cfRule>
  </conditionalFormatting>
  <conditionalFormatting sqref="L5">
    <cfRule type="cellIs" dxfId="14" priority="58" operator="equal">
      <formula>0</formula>
    </cfRule>
  </conditionalFormatting>
  <conditionalFormatting sqref="N3">
    <cfRule type="cellIs" dxfId="13" priority="57" operator="equal">
      <formula>0</formula>
    </cfRule>
  </conditionalFormatting>
  <conditionalFormatting sqref="O15">
    <cfRule type="cellIs" dxfId="12" priority="52" operator="equal">
      <formula>0</formula>
    </cfRule>
  </conditionalFormatting>
  <conditionalFormatting sqref="O5">
    <cfRule type="cellIs" dxfId="11" priority="51" operator="equal">
      <formula>0</formula>
    </cfRule>
  </conditionalFormatting>
  <conditionalFormatting sqref="P3">
    <cfRule type="cellIs" dxfId="10" priority="48" operator="equal">
      <formula>0</formula>
    </cfRule>
  </conditionalFormatting>
  <conditionalFormatting sqref="Q5">
    <cfRule type="cellIs" dxfId="9" priority="47" operator="equal">
      <formula>0</formula>
    </cfRule>
  </conditionalFormatting>
  <conditionalFormatting sqref="Q15">
    <cfRule type="cellIs" dxfId="8" priority="44" operator="equal">
      <formula>0</formula>
    </cfRule>
  </conditionalFormatting>
  <conditionalFormatting sqref="F5:F6">
    <cfRule type="cellIs" dxfId="7" priority="36" operator="equal">
      <formula>0</formula>
    </cfRule>
  </conditionalFormatting>
  <conditionalFormatting sqref="G5">
    <cfRule type="cellIs" dxfId="6" priority="31" operator="equal">
      <formula>0</formula>
    </cfRule>
  </conditionalFormatting>
  <conditionalFormatting sqref="H9:H10">
    <cfRule type="cellIs" dxfId="5" priority="26" operator="equal">
      <formula>0</formula>
    </cfRule>
  </conditionalFormatting>
  <conditionalFormatting sqref="K5">
    <cfRule type="cellIs" dxfId="4" priority="18" operator="equal">
      <formula>0</formula>
    </cfRule>
  </conditionalFormatting>
  <conditionalFormatting sqref="M3">
    <cfRule type="cellIs" dxfId="3" priority="17" operator="equal">
      <formula>0</formula>
    </cfRule>
  </conditionalFormatting>
  <conditionalFormatting sqref="N5">
    <cfRule type="cellIs" dxfId="2" priority="12" operator="equal">
      <formula>0</formula>
    </cfRule>
  </conditionalFormatting>
  <conditionalFormatting sqref="O3">
    <cfRule type="cellIs" dxfId="1" priority="9" operator="equal">
      <formula>0</formula>
    </cfRule>
  </conditionalFormatting>
  <conditionalFormatting sqref="P5">
    <cfRule type="cellIs" dxfId="0" priority="8"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S1028"/>
  <sheetViews>
    <sheetView zoomScale="78" zoomScaleNormal="78" workbookViewId="0">
      <selection activeCell="B1" sqref="B1:M2"/>
    </sheetView>
  </sheetViews>
  <sheetFormatPr defaultColWidth="9.140625" defaultRowHeight="15"/>
  <cols>
    <col min="1" max="1" width="4.42578125" style="15" customWidth="1"/>
    <col min="2" max="8" width="17.140625" style="15" customWidth="1"/>
    <col min="9" max="12" width="9.140625" style="15"/>
    <col min="13" max="13" width="9.140625" style="15" customWidth="1"/>
    <col min="14" max="16384" width="9.140625" style="15"/>
  </cols>
  <sheetData>
    <row r="1" spans="2:16" ht="9" customHeight="1">
      <c r="B1" s="372" t="s">
        <v>563</v>
      </c>
      <c r="C1" s="372"/>
      <c r="D1" s="372"/>
      <c r="E1" s="372"/>
      <c r="F1" s="372"/>
      <c r="G1" s="372"/>
      <c r="H1" s="372"/>
      <c r="I1" s="372"/>
      <c r="J1" s="372"/>
      <c r="K1" s="372"/>
      <c r="L1" s="372"/>
      <c r="M1" s="372"/>
      <c r="N1" s="106"/>
    </row>
    <row r="2" spans="2:16" ht="26.25" customHeight="1">
      <c r="B2" s="372"/>
      <c r="C2" s="372"/>
      <c r="D2" s="372"/>
      <c r="E2" s="372"/>
      <c r="F2" s="372"/>
      <c r="G2" s="372"/>
      <c r="H2" s="372"/>
      <c r="I2" s="372"/>
      <c r="J2" s="372"/>
      <c r="K2" s="372"/>
      <c r="L2" s="372"/>
      <c r="M2" s="372"/>
      <c r="N2" s="106"/>
      <c r="O2" s="106"/>
      <c r="P2" s="106"/>
    </row>
    <row r="3" spans="2:16" ht="3" customHeight="1"/>
    <row r="4" spans="2:16" ht="3.75" customHeight="1"/>
    <row r="5" spans="2:16" ht="2.25" customHeight="1">
      <c r="B5" s="373"/>
      <c r="C5" s="373"/>
      <c r="D5" s="373"/>
      <c r="E5" s="373"/>
      <c r="F5" s="373"/>
      <c r="G5" s="373"/>
      <c r="H5" s="373"/>
    </row>
    <row r="6" spans="2:16" ht="15" customHeight="1">
      <c r="B6" s="374" t="s">
        <v>55</v>
      </c>
      <c r="C6" s="375" t="s">
        <v>370</v>
      </c>
      <c r="D6" s="375" t="s">
        <v>371</v>
      </c>
      <c r="E6" s="374" t="s">
        <v>372</v>
      </c>
      <c r="F6" s="375" t="s">
        <v>373</v>
      </c>
      <c r="G6" s="375" t="s">
        <v>374</v>
      </c>
      <c r="H6" s="374" t="s">
        <v>375</v>
      </c>
    </row>
    <row r="7" spans="2:16" ht="15" customHeight="1">
      <c r="B7" s="374"/>
      <c r="C7" s="375"/>
      <c r="D7" s="375"/>
      <c r="E7" s="374"/>
      <c r="F7" s="375"/>
      <c r="G7" s="375"/>
      <c r="H7" s="374"/>
    </row>
    <row r="8" spans="2:16" ht="15" customHeight="1">
      <c r="B8" s="374"/>
      <c r="C8" s="375"/>
      <c r="D8" s="375"/>
      <c r="E8" s="374"/>
      <c r="F8" s="375"/>
      <c r="G8" s="375"/>
      <c r="H8" s="374"/>
    </row>
    <row r="9" spans="2:16" ht="25.5" customHeight="1">
      <c r="B9" s="374"/>
      <c r="C9" s="375"/>
      <c r="D9" s="375"/>
      <c r="E9" s="374"/>
      <c r="F9" s="375"/>
      <c r="G9" s="375"/>
      <c r="H9" s="374"/>
      <c r="J9" s="109"/>
    </row>
    <row r="10" spans="2:16" ht="15" customHeight="1">
      <c r="B10" s="174" t="s">
        <v>35</v>
      </c>
      <c r="C10" s="175">
        <v>0.56568542494923801</v>
      </c>
      <c r="D10" s="176">
        <v>0.22360679774997896</v>
      </c>
      <c r="E10" s="175">
        <v>0.17320508075688773</v>
      </c>
      <c r="F10" s="177" t="s">
        <v>227</v>
      </c>
      <c r="G10" s="177" t="s">
        <v>227</v>
      </c>
      <c r="H10" s="177" t="s">
        <v>227</v>
      </c>
    </row>
    <row r="11" spans="2:16" ht="15" customHeight="1">
      <c r="B11" s="174" t="s">
        <v>17</v>
      </c>
      <c r="C11" s="178">
        <v>0.1</v>
      </c>
      <c r="D11" s="175">
        <v>-0.1</v>
      </c>
      <c r="E11" s="178">
        <v>0.28284271247461901</v>
      </c>
      <c r="F11" s="178">
        <v>0.2449489742783178</v>
      </c>
      <c r="G11" s="175">
        <v>-0.17320508075688773</v>
      </c>
      <c r="H11" s="178">
        <v>-0.2</v>
      </c>
    </row>
    <row r="12" spans="2:16">
      <c r="B12" s="174" t="s">
        <v>20</v>
      </c>
      <c r="C12" s="178">
        <v>0.59160797830996159</v>
      </c>
      <c r="D12" s="175">
        <v>0.1224744871391589</v>
      </c>
      <c r="E12" s="175">
        <v>0.52915026221291817</v>
      </c>
      <c r="F12" s="176">
        <v>0</v>
      </c>
      <c r="G12" s="175">
        <v>0.1</v>
      </c>
      <c r="H12" s="175">
        <v>0.52915026221291817</v>
      </c>
    </row>
    <row r="13" spans="2:16">
      <c r="B13" s="174" t="s">
        <v>41</v>
      </c>
      <c r="C13" s="175">
        <v>0</v>
      </c>
      <c r="D13" s="175">
        <v>0.33166247903553997</v>
      </c>
      <c r="E13" s="175">
        <v>0.4</v>
      </c>
      <c r="F13" s="175">
        <v>0.26457513110645908</v>
      </c>
      <c r="G13" s="175">
        <v>0.52915026221291817</v>
      </c>
      <c r="H13" s="175">
        <v>0</v>
      </c>
    </row>
    <row r="14" spans="2:16">
      <c r="B14" s="174" t="s">
        <v>25</v>
      </c>
      <c r="C14" s="175">
        <v>0.36055512754639896</v>
      </c>
      <c r="D14" s="178">
        <v>0.33166247903553997</v>
      </c>
      <c r="E14" s="176">
        <v>0.7</v>
      </c>
      <c r="F14" s="175">
        <v>0.45825756949558399</v>
      </c>
      <c r="G14" s="178">
        <v>0.3</v>
      </c>
      <c r="H14" s="178">
        <v>0.51961524227066325</v>
      </c>
    </row>
    <row r="15" spans="2:16">
      <c r="B15" s="174" t="s">
        <v>49</v>
      </c>
      <c r="C15" s="175">
        <v>0.74161984870956632</v>
      </c>
      <c r="D15" s="175">
        <v>0.81853527718724506</v>
      </c>
      <c r="E15" s="175">
        <v>0.65574385243020006</v>
      </c>
      <c r="F15" s="177" t="s">
        <v>227</v>
      </c>
      <c r="G15" s="177" t="s">
        <v>227</v>
      </c>
      <c r="H15" s="177" t="s">
        <v>227</v>
      </c>
    </row>
    <row r="16" spans="2:16">
      <c r="B16" s="174" t="s">
        <v>27</v>
      </c>
      <c r="C16" s="175">
        <v>-0.1414213562373095</v>
      </c>
      <c r="D16" s="175">
        <v>0.2</v>
      </c>
      <c r="E16" s="175">
        <v>0.79372539331937719</v>
      </c>
      <c r="F16" s="179">
        <v>0.1</v>
      </c>
      <c r="G16" s="179">
        <v>0.36055512754639896</v>
      </c>
      <c r="H16" s="179">
        <v>0.87177978870813466</v>
      </c>
    </row>
    <row r="17" spans="2:8">
      <c r="B17" s="174" t="s">
        <v>34</v>
      </c>
      <c r="C17" s="175">
        <v>-0.5830951894845301</v>
      </c>
      <c r="D17" s="175">
        <v>0.34641016151377546</v>
      </c>
      <c r="E17" s="178">
        <v>0.37416573867739417</v>
      </c>
      <c r="F17" s="175">
        <v>-0.22360679774997896</v>
      </c>
      <c r="G17" s="175">
        <v>0.33166247903553997</v>
      </c>
      <c r="H17" s="175">
        <v>0.42426406871192851</v>
      </c>
    </row>
    <row r="18" spans="2:8">
      <c r="B18" s="174" t="s">
        <v>45</v>
      </c>
      <c r="C18" s="175">
        <v>-0.1</v>
      </c>
      <c r="D18" s="178">
        <v>0.36055512754639896</v>
      </c>
      <c r="E18" s="175">
        <v>0.2</v>
      </c>
      <c r="F18" s="175">
        <v>-0.47958315233127197</v>
      </c>
      <c r="G18" s="178">
        <v>0.37416573867739417</v>
      </c>
      <c r="H18" s="175">
        <v>0.1414213562373095</v>
      </c>
    </row>
    <row r="19" spans="2:8">
      <c r="B19" s="248" t="s">
        <v>36</v>
      </c>
      <c r="C19" s="178">
        <v>0.62449979983983983</v>
      </c>
      <c r="D19" s="178">
        <v>0</v>
      </c>
      <c r="E19" s="178">
        <v>0.1414213562373095</v>
      </c>
      <c r="F19" s="176">
        <v>0.64807406984078597</v>
      </c>
      <c r="G19" s="175">
        <v>0</v>
      </c>
      <c r="H19" s="178">
        <v>0.1</v>
      </c>
    </row>
    <row r="20" spans="2:8">
      <c r="B20" s="248" t="s">
        <v>24</v>
      </c>
      <c r="C20" s="175">
        <v>0.3872983346207417</v>
      </c>
      <c r="D20" s="175">
        <v>0.22360679774997896</v>
      </c>
      <c r="E20" s="175">
        <v>0</v>
      </c>
      <c r="F20" s="179">
        <v>0.2</v>
      </c>
      <c r="G20" s="179">
        <v>0.37416573867739417</v>
      </c>
      <c r="H20" s="179">
        <v>0.1414213562373095</v>
      </c>
    </row>
    <row r="21" spans="2:8" ht="15.75" customHeight="1">
      <c r="B21" s="174" t="s">
        <v>46</v>
      </c>
      <c r="C21" s="179">
        <v>0.5830951894845301</v>
      </c>
      <c r="D21" s="179">
        <v>0.2449489742783178</v>
      </c>
      <c r="E21" s="179">
        <v>0.1414213562373095</v>
      </c>
      <c r="F21" s="175" t="s">
        <v>227</v>
      </c>
      <c r="G21" s="175" t="s">
        <v>227</v>
      </c>
      <c r="H21" s="175" t="s">
        <v>227</v>
      </c>
    </row>
    <row r="22" spans="2:8">
      <c r="B22" s="174" t="s">
        <v>42</v>
      </c>
      <c r="C22" s="177" t="s">
        <v>227</v>
      </c>
      <c r="D22" s="177" t="s">
        <v>227</v>
      </c>
      <c r="E22" s="177" t="s">
        <v>227</v>
      </c>
      <c r="F22" s="179">
        <v>0.57445626465380284</v>
      </c>
      <c r="G22" s="179">
        <v>0</v>
      </c>
      <c r="H22" s="179">
        <v>0.22360679774997896</v>
      </c>
    </row>
    <row r="23" spans="2:8" ht="20.25" customHeight="1"/>
    <row r="24" spans="2:8" ht="15.75">
      <c r="B24" s="180" t="s">
        <v>461</v>
      </c>
    </row>
    <row r="25" spans="2:8" ht="15" customHeight="1">
      <c r="B25" s="230" t="s">
        <v>407</v>
      </c>
      <c r="C25" s="231"/>
      <c r="D25" s="230" t="s">
        <v>343</v>
      </c>
      <c r="E25" s="231"/>
    </row>
    <row r="26" spans="2:8" ht="15" customHeight="1">
      <c r="B26" s="224" t="s">
        <v>391</v>
      </c>
      <c r="C26" s="225"/>
      <c r="D26" s="226" t="s">
        <v>392</v>
      </c>
      <c r="E26" s="227"/>
    </row>
    <row r="27" spans="2:8" ht="15" customHeight="1">
      <c r="B27" s="228" t="s">
        <v>390</v>
      </c>
      <c r="C27" s="229"/>
      <c r="D27" s="226" t="s">
        <v>393</v>
      </c>
      <c r="E27" s="227"/>
    </row>
    <row r="28" spans="2:8">
      <c r="B28" s="234" t="s">
        <v>389</v>
      </c>
      <c r="C28" s="235"/>
      <c r="D28" s="226" t="s">
        <v>394</v>
      </c>
      <c r="E28" s="227"/>
    </row>
    <row r="29" spans="2:8">
      <c r="B29" s="236" t="s">
        <v>388</v>
      </c>
      <c r="C29" s="237"/>
      <c r="D29" s="226" t="s">
        <v>395</v>
      </c>
      <c r="E29" s="227"/>
    </row>
    <row r="30" spans="2:8">
      <c r="B30" s="238" t="s">
        <v>366</v>
      </c>
      <c r="C30" s="239"/>
      <c r="D30" s="226" t="s">
        <v>396</v>
      </c>
      <c r="E30" s="227"/>
    </row>
    <row r="31" spans="2:8">
      <c r="B31" s="232" t="s">
        <v>397</v>
      </c>
      <c r="C31" s="233"/>
      <c r="D31" s="226" t="s">
        <v>402</v>
      </c>
      <c r="E31" s="227"/>
    </row>
    <row r="32" spans="2:8">
      <c r="B32" s="242" t="s">
        <v>398</v>
      </c>
      <c r="C32" s="243"/>
      <c r="D32" s="226" t="s">
        <v>403</v>
      </c>
      <c r="E32" s="227"/>
    </row>
    <row r="33" spans="2:5">
      <c r="B33" s="244" t="s">
        <v>399</v>
      </c>
      <c r="C33" s="245"/>
      <c r="D33" s="226" t="s">
        <v>404</v>
      </c>
      <c r="E33" s="227"/>
    </row>
    <row r="34" spans="2:5">
      <c r="B34" s="246" t="s">
        <v>400</v>
      </c>
      <c r="C34" s="247"/>
      <c r="D34" s="226" t="s">
        <v>405</v>
      </c>
      <c r="E34" s="227"/>
    </row>
    <row r="35" spans="2:5">
      <c r="B35" s="240" t="s">
        <v>401</v>
      </c>
      <c r="C35" s="241"/>
      <c r="D35" s="226" t="s">
        <v>406</v>
      </c>
      <c r="E35" s="227"/>
    </row>
    <row r="36" spans="2:5" ht="20.25" customHeight="1"/>
    <row r="987" spans="6:12">
      <c r="F987" s="104"/>
      <c r="G987" s="104"/>
      <c r="H987" s="104"/>
      <c r="I987" s="104"/>
      <c r="J987" s="104"/>
      <c r="K987" s="104"/>
      <c r="L987" s="104"/>
    </row>
    <row r="988" spans="6:12">
      <c r="F988" s="105"/>
      <c r="G988" s="105"/>
      <c r="H988" s="105"/>
      <c r="I988" s="105"/>
      <c r="J988" s="105"/>
      <c r="K988" s="105"/>
      <c r="L988" s="105"/>
    </row>
    <row r="989" spans="6:12">
      <c r="F989" s="17"/>
      <c r="G989" s="17"/>
      <c r="H989" s="17"/>
      <c r="I989" s="17"/>
      <c r="J989" s="17"/>
      <c r="K989" s="17"/>
      <c r="L989" s="17"/>
    </row>
    <row r="990" spans="6:12">
      <c r="F990" s="17"/>
      <c r="G990" s="17"/>
      <c r="H990" s="17"/>
      <c r="I990" s="17"/>
      <c r="J990" s="17"/>
      <c r="K990" s="17"/>
      <c r="L990" s="17"/>
    </row>
    <row r="991" spans="6:12">
      <c r="F991" s="17"/>
      <c r="G991" s="17"/>
      <c r="H991" s="17"/>
      <c r="I991" s="17"/>
      <c r="J991" s="17"/>
      <c r="K991" s="17"/>
      <c r="L991" s="17"/>
    </row>
    <row r="992" spans="6:12">
      <c r="F992" s="17"/>
      <c r="G992" s="17"/>
      <c r="H992" s="17"/>
      <c r="I992" s="17"/>
      <c r="J992" s="17"/>
      <c r="K992" s="17"/>
      <c r="L992" s="17"/>
    </row>
    <row r="993" spans="1:19">
      <c r="F993" s="88"/>
      <c r="G993" s="88"/>
      <c r="H993" s="88"/>
      <c r="I993" s="88"/>
      <c r="J993" s="88"/>
      <c r="K993" s="88"/>
      <c r="L993" s="88"/>
    </row>
    <row r="994" spans="1:19">
      <c r="F994" s="88"/>
      <c r="G994" s="88"/>
      <c r="H994" s="88"/>
      <c r="I994" s="88"/>
      <c r="J994" s="88"/>
      <c r="K994" s="88"/>
      <c r="L994" s="88"/>
    </row>
    <row r="995" spans="1:19">
      <c r="F995" s="17"/>
      <c r="G995" s="17"/>
      <c r="H995" s="17"/>
      <c r="I995" s="17"/>
      <c r="J995" s="17"/>
      <c r="K995" s="17"/>
      <c r="L995" s="17"/>
    </row>
    <row r="996" spans="1:19">
      <c r="F996" s="17"/>
      <c r="G996" s="17"/>
      <c r="H996" s="17"/>
      <c r="I996" s="17"/>
      <c r="J996" s="17"/>
      <c r="K996" s="17"/>
      <c r="L996" s="17"/>
    </row>
    <row r="997" spans="1:19">
      <c r="A997" s="104"/>
      <c r="C997" s="104"/>
      <c r="D997" s="104"/>
      <c r="E997" s="104"/>
      <c r="F997" s="17"/>
      <c r="G997" s="17"/>
      <c r="H997" s="17"/>
      <c r="I997" s="17"/>
      <c r="J997" s="17"/>
      <c r="K997" s="17"/>
      <c r="L997" s="17"/>
      <c r="M997" s="104"/>
      <c r="N997" s="104"/>
      <c r="O997" s="104"/>
      <c r="P997" s="104"/>
      <c r="Q997" s="104"/>
      <c r="R997" s="104"/>
    </row>
    <row r="998" spans="1:19">
      <c r="A998" s="105"/>
      <c r="B998" s="104"/>
      <c r="C998" s="105"/>
      <c r="D998" s="105"/>
      <c r="E998" s="105"/>
      <c r="F998" s="88"/>
      <c r="G998" s="88"/>
      <c r="H998" s="88"/>
      <c r="I998" s="88"/>
      <c r="J998" s="88"/>
      <c r="K998" s="88"/>
      <c r="L998" s="88"/>
      <c r="M998" s="105"/>
      <c r="N998" s="105"/>
      <c r="O998" s="105"/>
      <c r="P998" s="105"/>
      <c r="Q998" s="105"/>
      <c r="R998" s="105"/>
      <c r="S998" s="105"/>
    </row>
    <row r="999" spans="1:19">
      <c r="A999" s="17"/>
      <c r="B999" s="105"/>
      <c r="C999" s="17"/>
      <c r="D999" s="17"/>
      <c r="E999" s="17"/>
      <c r="F999" s="88"/>
      <c r="G999" s="88"/>
      <c r="H999" s="88"/>
      <c r="I999" s="88"/>
      <c r="J999" s="88"/>
      <c r="K999" s="88"/>
      <c r="L999" s="88"/>
      <c r="M999" s="17"/>
      <c r="N999" s="17"/>
      <c r="O999" s="17"/>
      <c r="P999" s="17"/>
      <c r="Q999" s="17"/>
      <c r="R999" s="17"/>
      <c r="S999" s="17"/>
    </row>
    <row r="1000" spans="1:19">
      <c r="A1000" s="17"/>
      <c r="B1000" s="17"/>
      <c r="C1000" s="17"/>
      <c r="D1000" s="17"/>
      <c r="E1000" s="17"/>
      <c r="F1000" s="88"/>
      <c r="G1000" s="88"/>
      <c r="H1000" s="88"/>
      <c r="I1000" s="88"/>
      <c r="J1000" s="88"/>
      <c r="K1000" s="88"/>
      <c r="L1000" s="88"/>
      <c r="M1000" s="17"/>
      <c r="N1000" s="17"/>
      <c r="O1000" s="17"/>
      <c r="P1000" s="17"/>
      <c r="Q1000" s="17"/>
      <c r="R1000" s="17"/>
      <c r="S1000" s="17"/>
    </row>
    <row r="1001" spans="1:19">
      <c r="A1001" s="17"/>
      <c r="B1001" s="17"/>
      <c r="C1001" s="17"/>
      <c r="D1001" s="17"/>
      <c r="E1001" s="17"/>
      <c r="F1001" s="88"/>
      <c r="G1001" s="88"/>
      <c r="H1001" s="88"/>
      <c r="I1001" s="88"/>
      <c r="J1001" s="88"/>
      <c r="K1001" s="88"/>
      <c r="L1001" s="88"/>
      <c r="M1001" s="17"/>
      <c r="N1001" s="17"/>
      <c r="O1001" s="17"/>
      <c r="P1001" s="17"/>
      <c r="Q1001" s="17"/>
      <c r="R1001" s="17"/>
      <c r="S1001" s="17"/>
    </row>
    <row r="1002" spans="1:19">
      <c r="A1002" s="17"/>
      <c r="B1002" s="17"/>
      <c r="C1002" s="17"/>
      <c r="D1002" s="17"/>
      <c r="E1002" s="17"/>
      <c r="F1002" s="88"/>
      <c r="G1002" s="88"/>
      <c r="H1002" s="88"/>
      <c r="I1002" s="88"/>
      <c r="J1002" s="88"/>
      <c r="K1002" s="88"/>
      <c r="L1002" s="88"/>
      <c r="M1002" s="17"/>
      <c r="N1002" s="17"/>
      <c r="O1002" s="17"/>
      <c r="P1002" s="17"/>
      <c r="Q1002" s="17"/>
      <c r="R1002" s="17"/>
      <c r="S1002" s="17"/>
    </row>
    <row r="1003" spans="1:19">
      <c r="A1003" s="88"/>
      <c r="B1003" s="17"/>
      <c r="C1003" s="88"/>
      <c r="D1003" s="88"/>
      <c r="E1003" s="88"/>
      <c r="F1003" s="88"/>
      <c r="G1003" s="88"/>
      <c r="H1003" s="88"/>
      <c r="I1003" s="88"/>
      <c r="J1003" s="88"/>
      <c r="K1003" s="88"/>
      <c r="L1003" s="88"/>
      <c r="M1003" s="88"/>
      <c r="N1003" s="88"/>
      <c r="O1003" s="88"/>
      <c r="P1003" s="88"/>
      <c r="Q1003" s="88"/>
      <c r="R1003" s="88"/>
      <c r="S1003" s="89"/>
    </row>
    <row r="1004" spans="1:19">
      <c r="A1004" s="88"/>
      <c r="B1004" s="88"/>
      <c r="C1004" s="88"/>
      <c r="D1004" s="88"/>
      <c r="E1004" s="88"/>
      <c r="F1004" s="88"/>
      <c r="G1004" s="88"/>
      <c r="H1004" s="88"/>
      <c r="I1004" s="88"/>
      <c r="J1004" s="88"/>
      <c r="K1004" s="88"/>
      <c r="L1004" s="88"/>
      <c r="M1004" s="88"/>
      <c r="N1004" s="88"/>
      <c r="O1004" s="88"/>
      <c r="P1004" s="88"/>
      <c r="Q1004" s="88"/>
      <c r="R1004" s="88"/>
      <c r="S1004" s="89"/>
    </row>
    <row r="1005" spans="1:19">
      <c r="A1005" s="17"/>
      <c r="B1005" s="88"/>
      <c r="C1005" s="17"/>
      <c r="D1005" s="17"/>
      <c r="E1005" s="17"/>
      <c r="F1005" s="88"/>
      <c r="G1005" s="88"/>
      <c r="H1005" s="88"/>
      <c r="I1005" s="88"/>
      <c r="J1005" s="88"/>
      <c r="K1005" s="88"/>
      <c r="L1005" s="88"/>
      <c r="M1005" s="17"/>
      <c r="N1005" s="17"/>
      <c r="O1005" s="17"/>
      <c r="P1005" s="17"/>
      <c r="Q1005" s="17"/>
      <c r="R1005" s="17"/>
      <c r="S1005" s="89"/>
    </row>
    <row r="1006" spans="1:19">
      <c r="A1006" s="17"/>
      <c r="B1006" s="17"/>
      <c r="C1006" s="17"/>
      <c r="D1006" s="17"/>
      <c r="E1006" s="17"/>
      <c r="F1006" s="88"/>
      <c r="G1006" s="88"/>
      <c r="H1006" s="88"/>
      <c r="I1006" s="88"/>
      <c r="J1006" s="88"/>
      <c r="K1006" s="88"/>
      <c r="L1006" s="88"/>
      <c r="M1006" s="17"/>
      <c r="N1006" s="17"/>
      <c r="O1006" s="17"/>
      <c r="P1006" s="17"/>
      <c r="Q1006" s="17"/>
      <c r="R1006" s="17"/>
      <c r="S1006" s="89"/>
    </row>
    <row r="1007" spans="1:19">
      <c r="A1007" s="17"/>
      <c r="B1007" s="17"/>
      <c r="C1007" s="17"/>
      <c r="D1007" s="17"/>
      <c r="E1007" s="17"/>
      <c r="F1007" s="88"/>
      <c r="G1007" s="88"/>
      <c r="H1007" s="88"/>
      <c r="I1007" s="88"/>
      <c r="J1007" s="88"/>
      <c r="K1007" s="88"/>
      <c r="L1007" s="88"/>
      <c r="M1007" s="17"/>
      <c r="N1007" s="17"/>
      <c r="O1007" s="17"/>
      <c r="P1007" s="17"/>
      <c r="Q1007" s="17"/>
      <c r="R1007" s="17"/>
      <c r="S1007" s="89"/>
    </row>
    <row r="1008" spans="1:19">
      <c r="A1008" s="88"/>
      <c r="B1008" s="17"/>
      <c r="C1008" s="88"/>
      <c r="D1008" s="88"/>
      <c r="E1008" s="88"/>
      <c r="F1008" s="88"/>
      <c r="G1008" s="88"/>
      <c r="H1008" s="88"/>
      <c r="I1008" s="88"/>
      <c r="J1008" s="88"/>
      <c r="K1008" s="88"/>
      <c r="L1008" s="88"/>
      <c r="M1008" s="88"/>
      <c r="N1008" s="88"/>
      <c r="O1008" s="88"/>
      <c r="P1008" s="88"/>
      <c r="Q1008" s="88"/>
      <c r="R1008" s="88"/>
      <c r="S1008" s="89"/>
    </row>
    <row r="1009" spans="1:19">
      <c r="A1009" s="88"/>
      <c r="B1009" s="88"/>
      <c r="C1009" s="88"/>
      <c r="D1009" s="88"/>
      <c r="E1009" s="88"/>
      <c r="F1009" s="88"/>
      <c r="G1009" s="88"/>
      <c r="H1009" s="88"/>
      <c r="I1009" s="88"/>
      <c r="J1009" s="88"/>
      <c r="K1009" s="88"/>
      <c r="L1009" s="88"/>
      <c r="M1009" s="88"/>
      <c r="N1009" s="88"/>
      <c r="O1009" s="88"/>
      <c r="P1009" s="88"/>
      <c r="Q1009" s="88"/>
      <c r="R1009" s="88"/>
      <c r="S1009" s="89"/>
    </row>
    <row r="1010" spans="1:19">
      <c r="A1010" s="88"/>
      <c r="B1010" s="88"/>
      <c r="C1010" s="88"/>
      <c r="D1010" s="88"/>
      <c r="E1010" s="88"/>
      <c r="F1010" s="88"/>
      <c r="G1010" s="88"/>
      <c r="H1010" s="88"/>
      <c r="I1010" s="88"/>
      <c r="J1010" s="88"/>
      <c r="K1010" s="88"/>
      <c r="L1010" s="88"/>
      <c r="M1010" s="88"/>
      <c r="N1010" s="88"/>
      <c r="O1010" s="88"/>
      <c r="P1010" s="88"/>
      <c r="Q1010" s="88"/>
      <c r="R1010" s="88"/>
      <c r="S1010" s="89"/>
    </row>
    <row r="1011" spans="1:19">
      <c r="A1011" s="88"/>
      <c r="B1011" s="88"/>
      <c r="C1011" s="88"/>
      <c r="D1011" s="88"/>
      <c r="E1011" s="88"/>
      <c r="F1011" s="88"/>
      <c r="G1011" s="88"/>
      <c r="H1011" s="88"/>
      <c r="I1011" s="88"/>
      <c r="J1011" s="88"/>
      <c r="K1011" s="88"/>
      <c r="L1011" s="88"/>
      <c r="M1011" s="88"/>
      <c r="N1011" s="88"/>
      <c r="O1011" s="88"/>
      <c r="P1011" s="88"/>
      <c r="Q1011" s="88"/>
      <c r="R1011" s="88"/>
      <c r="S1011" s="89"/>
    </row>
    <row r="1012" spans="1:19">
      <c r="A1012" s="88"/>
      <c r="B1012" s="88"/>
      <c r="C1012" s="88"/>
      <c r="D1012" s="88"/>
      <c r="E1012" s="88"/>
      <c r="F1012" s="88"/>
      <c r="G1012" s="88"/>
      <c r="H1012" s="88"/>
      <c r="I1012" s="88"/>
      <c r="J1012" s="88"/>
      <c r="K1012" s="88"/>
      <c r="L1012" s="88"/>
      <c r="M1012" s="88"/>
      <c r="N1012" s="88"/>
      <c r="O1012" s="88"/>
      <c r="P1012" s="88"/>
      <c r="Q1012" s="88"/>
      <c r="R1012" s="88"/>
      <c r="S1012" s="89"/>
    </row>
    <row r="1013" spans="1:19">
      <c r="A1013" s="88"/>
      <c r="B1013" s="88"/>
      <c r="C1013" s="88"/>
      <c r="D1013" s="88"/>
      <c r="E1013" s="88"/>
      <c r="F1013" s="88"/>
      <c r="G1013" s="88"/>
      <c r="H1013" s="88"/>
      <c r="I1013" s="88"/>
      <c r="J1013" s="88"/>
      <c r="K1013" s="88"/>
      <c r="L1013" s="88"/>
      <c r="M1013" s="88"/>
      <c r="N1013" s="88"/>
      <c r="O1013" s="88"/>
      <c r="P1013" s="88"/>
      <c r="Q1013" s="88"/>
      <c r="R1013" s="88"/>
      <c r="S1013" s="89"/>
    </row>
    <row r="1014" spans="1:19">
      <c r="A1014" s="88"/>
      <c r="B1014" s="88"/>
      <c r="C1014" s="88"/>
      <c r="D1014" s="88"/>
      <c r="E1014" s="88"/>
      <c r="F1014" s="88"/>
      <c r="G1014" s="88"/>
      <c r="H1014" s="88"/>
      <c r="I1014" s="88"/>
      <c r="J1014" s="88"/>
      <c r="K1014" s="88"/>
      <c r="L1014" s="88"/>
      <c r="M1014" s="88"/>
      <c r="N1014" s="88"/>
      <c r="O1014" s="88"/>
      <c r="P1014" s="88"/>
      <c r="Q1014" s="88"/>
      <c r="R1014" s="88"/>
      <c r="S1014" s="89"/>
    </row>
    <row r="1015" spans="1:19">
      <c r="A1015" s="88"/>
      <c r="B1015" s="88"/>
      <c r="C1015" s="88"/>
      <c r="D1015" s="88"/>
      <c r="E1015" s="88"/>
      <c r="F1015" s="88"/>
      <c r="G1015" s="88"/>
      <c r="H1015" s="88"/>
      <c r="I1015" s="88"/>
      <c r="J1015" s="88"/>
      <c r="K1015" s="88"/>
      <c r="L1015" s="88"/>
      <c r="M1015" s="88"/>
      <c r="N1015" s="88"/>
      <c r="O1015" s="88"/>
      <c r="P1015" s="88"/>
      <c r="Q1015" s="88"/>
      <c r="R1015" s="88"/>
    </row>
    <row r="1016" spans="1:19">
      <c r="A1016" s="88"/>
      <c r="B1016" s="88"/>
      <c r="C1016" s="88"/>
      <c r="D1016" s="88"/>
      <c r="E1016" s="88"/>
      <c r="F1016" s="88"/>
      <c r="G1016" s="88"/>
      <c r="H1016" s="88"/>
      <c r="I1016" s="88"/>
      <c r="J1016" s="88"/>
      <c r="K1016" s="88"/>
      <c r="L1016" s="88"/>
      <c r="M1016" s="88"/>
      <c r="N1016" s="88"/>
      <c r="O1016" s="88"/>
      <c r="P1016" s="88"/>
      <c r="Q1016" s="88"/>
      <c r="R1016" s="88"/>
    </row>
    <row r="1017" spans="1:19">
      <c r="A1017" s="88"/>
      <c r="B1017" s="88"/>
      <c r="C1017" s="88"/>
      <c r="D1017" s="88"/>
      <c r="E1017" s="88"/>
      <c r="F1017" s="88"/>
      <c r="G1017" s="88"/>
      <c r="H1017" s="88"/>
      <c r="I1017" s="88"/>
      <c r="J1017" s="88"/>
      <c r="K1017" s="88"/>
      <c r="L1017" s="88"/>
      <c r="M1017" s="88"/>
      <c r="N1017" s="88"/>
      <c r="O1017" s="88"/>
      <c r="P1017" s="88"/>
      <c r="Q1017" s="88"/>
      <c r="R1017" s="88"/>
    </row>
    <row r="1018" spans="1:19">
      <c r="A1018" s="88"/>
      <c r="B1018" s="88"/>
      <c r="C1018" s="88"/>
      <c r="D1018" s="88"/>
      <c r="E1018" s="88"/>
      <c r="M1018" s="88"/>
      <c r="N1018" s="88"/>
      <c r="O1018" s="88"/>
      <c r="P1018" s="88"/>
      <c r="Q1018" s="88"/>
      <c r="R1018" s="88"/>
    </row>
    <row r="1019" spans="1:19">
      <c r="A1019" s="88"/>
      <c r="B1019" s="88"/>
      <c r="C1019" s="88"/>
      <c r="D1019" s="88"/>
      <c r="E1019" s="88"/>
      <c r="M1019" s="88"/>
      <c r="N1019" s="88"/>
      <c r="O1019" s="88"/>
      <c r="P1019" s="88"/>
      <c r="Q1019" s="88"/>
      <c r="R1019" s="88"/>
    </row>
    <row r="1020" spans="1:19">
      <c r="A1020" s="88"/>
      <c r="B1020" s="88"/>
      <c r="C1020" s="88"/>
      <c r="D1020" s="88"/>
      <c r="E1020" s="88"/>
      <c r="M1020" s="88"/>
      <c r="N1020" s="88"/>
      <c r="O1020" s="88"/>
      <c r="P1020" s="88"/>
      <c r="Q1020" s="88"/>
      <c r="R1020" s="88"/>
    </row>
    <row r="1021" spans="1:19">
      <c r="A1021" s="88"/>
      <c r="B1021" s="88"/>
      <c r="C1021" s="88"/>
      <c r="D1021" s="88"/>
      <c r="E1021" s="88"/>
      <c r="M1021" s="88"/>
      <c r="N1021" s="88"/>
      <c r="O1021" s="88"/>
      <c r="P1021" s="88"/>
      <c r="Q1021" s="88"/>
      <c r="R1021" s="88"/>
    </row>
    <row r="1022" spans="1:19">
      <c r="A1022" s="88"/>
      <c r="B1022" s="88"/>
      <c r="C1022" s="88"/>
      <c r="D1022" s="88"/>
      <c r="E1022" s="88"/>
      <c r="M1022" s="88"/>
      <c r="N1022" s="88"/>
      <c r="O1022" s="88"/>
      <c r="P1022" s="88"/>
      <c r="Q1022" s="88"/>
      <c r="R1022" s="88"/>
    </row>
    <row r="1023" spans="1:19">
      <c r="A1023" s="88"/>
      <c r="B1023" s="88"/>
      <c r="C1023" s="88"/>
      <c r="D1023" s="88"/>
      <c r="E1023" s="88"/>
      <c r="M1023" s="88"/>
      <c r="N1023" s="88"/>
      <c r="O1023" s="88"/>
      <c r="P1023" s="88"/>
      <c r="Q1023" s="88"/>
      <c r="R1023" s="88"/>
    </row>
    <row r="1024" spans="1:19">
      <c r="A1024" s="88"/>
      <c r="B1024" s="88"/>
      <c r="C1024" s="88"/>
      <c r="D1024" s="88"/>
      <c r="E1024" s="88"/>
      <c r="M1024" s="88"/>
      <c r="N1024" s="88"/>
      <c r="O1024" s="88"/>
      <c r="P1024" s="88"/>
      <c r="Q1024" s="88"/>
      <c r="R1024" s="88"/>
    </row>
    <row r="1025" spans="1:18">
      <c r="A1025" s="88"/>
      <c r="B1025" s="88"/>
      <c r="C1025" s="88"/>
      <c r="D1025" s="88"/>
      <c r="E1025" s="88"/>
      <c r="M1025" s="88"/>
      <c r="N1025" s="88"/>
      <c r="O1025" s="88"/>
      <c r="P1025" s="88"/>
      <c r="Q1025" s="88"/>
      <c r="R1025" s="88"/>
    </row>
    <row r="1026" spans="1:18">
      <c r="A1026" s="88"/>
      <c r="B1026" s="88"/>
      <c r="C1026" s="88"/>
      <c r="D1026" s="88"/>
      <c r="E1026" s="88"/>
      <c r="M1026" s="88"/>
      <c r="N1026" s="88"/>
      <c r="O1026" s="88"/>
      <c r="P1026" s="88"/>
      <c r="Q1026" s="88"/>
      <c r="R1026" s="88"/>
    </row>
    <row r="1027" spans="1:18">
      <c r="A1027" s="88"/>
      <c r="B1027" s="88"/>
      <c r="C1027" s="88"/>
      <c r="D1027" s="88"/>
      <c r="E1027" s="88"/>
      <c r="M1027" s="88"/>
      <c r="N1027" s="88"/>
      <c r="O1027" s="88"/>
      <c r="P1027" s="88"/>
      <c r="Q1027" s="88"/>
      <c r="R1027" s="88"/>
    </row>
    <row r="1028" spans="1:18">
      <c r="B1028" s="88"/>
    </row>
  </sheetData>
  <mergeCells count="9">
    <mergeCell ref="B1:M2"/>
    <mergeCell ref="B5:H5"/>
    <mergeCell ref="B6:B9"/>
    <mergeCell ref="C6:C9"/>
    <mergeCell ref="D6:D9"/>
    <mergeCell ref="E6:E9"/>
    <mergeCell ref="F6:F9"/>
    <mergeCell ref="G6:G9"/>
    <mergeCell ref="H6:H9"/>
  </mergeCells>
  <conditionalFormatting sqref="C10:H22">
    <cfRule type="colorScale" priority="3">
      <colorScale>
        <cfvo type="num" val="-1"/>
        <cfvo type="num" val="0"/>
        <cfvo type="num" val="1"/>
        <color rgb="FF6A4061"/>
        <color theme="0"/>
        <color rgb="FF246147"/>
      </colorScale>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olorScale" priority="4" id="{10950557-0316-4318-BF87-BBA2F43971E6}">
            <x14:colorScale>
              <x14:cfvo type="num">
                <xm:f>'Agency Work with correlation_2'!$AB$26</xm:f>
              </x14:cfvo>
              <x14:cfvo type="num">
                <xm:f>'Agency Work with correlation_2'!$AC$26</xm:f>
              </x14:cfvo>
              <x14:cfvo type="num">
                <xm:f>'Agency Work with correlation_2'!$AD$26</xm:f>
              </x14:cfvo>
              <x14:color rgb="FF7030A0"/>
              <x14:color theme="0"/>
              <x14:color rgb="FF63BE7B"/>
            </x14:colorScale>
          </x14:cfRule>
          <xm:sqref>C10:H22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FF00"/>
  </sheetPr>
  <dimension ref="A1:AY1033"/>
  <sheetViews>
    <sheetView topLeftCell="A989" zoomScale="56" zoomScaleNormal="56" workbookViewId="0">
      <selection activeCell="O1013" sqref="O1013"/>
    </sheetView>
  </sheetViews>
  <sheetFormatPr defaultColWidth="9.140625" defaultRowHeight="15"/>
  <cols>
    <col min="1" max="1" width="22.140625" style="15" customWidth="1"/>
    <col min="2" max="2" width="18.5703125" style="15" customWidth="1"/>
    <col min="3" max="3" width="10.5703125" style="15" customWidth="1"/>
    <col min="4" max="4" width="9.140625" style="15"/>
    <col min="5" max="5" width="12.140625" style="15" customWidth="1"/>
    <col min="6" max="19" width="9.140625" style="15"/>
    <col min="20" max="20" width="10" style="15" customWidth="1"/>
    <col min="21" max="21" width="9.140625" style="15"/>
    <col min="22" max="22" width="11.5703125" style="15" customWidth="1"/>
    <col min="23" max="23" width="10.85546875" style="15" customWidth="1"/>
    <col min="24" max="24" width="13.5703125" style="15" customWidth="1"/>
    <col min="25" max="30" width="12" style="15" customWidth="1"/>
    <col min="31" max="16384" width="9.140625" style="15"/>
  </cols>
  <sheetData>
    <row r="1" spans="1:30" ht="9" customHeight="1"/>
    <row r="2" spans="1:30" ht="30" customHeight="1">
      <c r="A2" s="379" t="s">
        <v>559</v>
      </c>
      <c r="B2" s="379"/>
      <c r="C2" s="379"/>
      <c r="D2" s="379"/>
      <c r="E2" s="379"/>
      <c r="F2" s="379"/>
      <c r="G2" s="379"/>
      <c r="H2" s="379"/>
      <c r="I2" s="379"/>
      <c r="J2" s="379"/>
      <c r="K2" s="379"/>
      <c r="L2" s="379"/>
      <c r="M2" s="379"/>
      <c r="N2" s="379"/>
      <c r="O2" s="379"/>
    </row>
    <row r="3" spans="1:30" ht="7.5" customHeight="1"/>
    <row r="4" spans="1:30" ht="14.25" customHeight="1"/>
    <row r="5" spans="1:30" ht="24" customHeight="1">
      <c r="C5" s="15">
        <v>4</v>
      </c>
      <c r="F5" s="380" t="s">
        <v>342</v>
      </c>
      <c r="G5" s="380"/>
      <c r="H5" s="380"/>
      <c r="I5" s="380"/>
      <c r="J5" s="380"/>
      <c r="K5" s="94" t="s">
        <v>358</v>
      </c>
      <c r="L5" s="95"/>
      <c r="M5" s="95"/>
      <c r="N5" s="96"/>
      <c r="O5" s="96"/>
      <c r="P5" s="96"/>
      <c r="Q5" s="96"/>
      <c r="R5" s="96"/>
      <c r="S5" s="96"/>
      <c r="T5" s="96"/>
      <c r="U5" s="96"/>
      <c r="V5" s="96"/>
    </row>
    <row r="6" spans="1:30" ht="18.75">
      <c r="X6" s="381" t="s">
        <v>359</v>
      </c>
      <c r="Y6" s="382"/>
      <c r="Z6" s="382"/>
      <c r="AA6" s="382"/>
      <c r="AB6" s="382"/>
      <c r="AC6" s="382"/>
      <c r="AD6" s="383"/>
    </row>
    <row r="7" spans="1:30" ht="15" customHeight="1">
      <c r="B7" s="15" t="str">
        <f>CONCATENATE(B1003," ",C1003, " - ", B1002)</f>
        <v>Y / Y Change in Hours^ Worked by Agency Workers - Finland</v>
      </c>
      <c r="M7" s="15" t="str">
        <f>CONCATENATE(B1003," ",C1002, " - ", B1002)</f>
        <v>Y / Y Change in Agency Work Sales Revenues - Finland</v>
      </c>
      <c r="X7" s="384" t="s">
        <v>387</v>
      </c>
      <c r="Y7" s="376" t="s">
        <v>360</v>
      </c>
      <c r="Z7" s="376" t="s">
        <v>361</v>
      </c>
      <c r="AA7" s="376" t="s">
        <v>362</v>
      </c>
      <c r="AB7" s="376" t="s">
        <v>363</v>
      </c>
      <c r="AC7" s="376" t="s">
        <v>364</v>
      </c>
      <c r="AD7" s="376" t="s">
        <v>365</v>
      </c>
    </row>
    <row r="8" spans="1:30">
      <c r="B8" s="15" t="str">
        <f>IF($C$5=12,CONCATENATE(B1003," ",A1005," ",A1003,"*"),CONCATENATE(B1003," ",A1005," ",A1003))</f>
        <v>Y / Y Change in Hours Worked (%)</v>
      </c>
      <c r="M8" s="15" t="str">
        <f>IF(OR($C$5=1, $C$5=6, $C$5=7, $C$5=11 ), CONCATENATE(B1003," ",A1006," ",A1003,"**"),CONCATENATE(B1003," ",A1006," ",A1003))</f>
        <v>Y / Y Change in Turnover (%)</v>
      </c>
      <c r="X8" s="385"/>
      <c r="Y8" s="377"/>
      <c r="Z8" s="377"/>
      <c r="AA8" s="377"/>
      <c r="AB8" s="377"/>
      <c r="AC8" s="377"/>
      <c r="AD8" s="377"/>
    </row>
    <row r="9" spans="1:30">
      <c r="X9" s="385"/>
      <c r="Y9" s="377"/>
      <c r="Z9" s="377"/>
      <c r="AA9" s="377"/>
      <c r="AB9" s="377"/>
      <c r="AC9" s="377"/>
      <c r="AD9" s="377"/>
    </row>
    <row r="10" spans="1:30">
      <c r="X10" s="386"/>
      <c r="Y10" s="378"/>
      <c r="Z10" s="378"/>
      <c r="AA10" s="378"/>
      <c r="AB10" s="378"/>
      <c r="AC10" s="378"/>
      <c r="AD10" s="378"/>
    </row>
    <row r="11" spans="1:30">
      <c r="X11" s="90" t="s">
        <v>35</v>
      </c>
      <c r="Y11" s="107">
        <f>SQRT(Y40)</f>
        <v>0.56568542494923801</v>
      </c>
      <c r="Z11" s="107">
        <f>SQRT(Z40)</f>
        <v>0.22360679774997896</v>
      </c>
      <c r="AA11" s="107">
        <f>SQRT(AA40)</f>
        <v>0.17320508075688773</v>
      </c>
      <c r="AB11" s="102" t="s">
        <v>227</v>
      </c>
      <c r="AC11" s="102" t="s">
        <v>227</v>
      </c>
      <c r="AD11" s="102" t="s">
        <v>227</v>
      </c>
    </row>
    <row r="12" spans="1:30">
      <c r="X12" s="90" t="s">
        <v>17</v>
      </c>
      <c r="Y12" s="107">
        <f>SQRT(Y41)</f>
        <v>0.1</v>
      </c>
      <c r="Z12" s="107">
        <f>-SQRT(Z41)</f>
        <v>-0.1</v>
      </c>
      <c r="AA12" s="107">
        <f>SQRT(AA41)</f>
        <v>0.28284271247461901</v>
      </c>
      <c r="AB12" s="107">
        <f>SQRT(AB41)</f>
        <v>0.2449489742783178</v>
      </c>
      <c r="AC12" s="107">
        <f t="shared" ref="AC12:AD12" si="0">-SQRT(AC41)</f>
        <v>-0.17320508075688773</v>
      </c>
      <c r="AD12" s="107">
        <f t="shared" si="0"/>
        <v>-0.2</v>
      </c>
    </row>
    <row r="13" spans="1:30">
      <c r="X13" s="90" t="s">
        <v>20</v>
      </c>
      <c r="Y13" s="107">
        <f>SQRT(Y42)</f>
        <v>0.59160797830996159</v>
      </c>
      <c r="Z13" s="107">
        <f>SQRT(Z42)</f>
        <v>0.1224744871391589</v>
      </c>
      <c r="AA13" s="107">
        <f t="shared" ref="Y13:AD20" si="1">SQRT(AA42)</f>
        <v>0.52915026221291817</v>
      </c>
      <c r="AB13" s="107">
        <f t="shared" si="1"/>
        <v>0</v>
      </c>
      <c r="AC13" s="107">
        <f t="shared" si="1"/>
        <v>0.1</v>
      </c>
      <c r="AD13" s="107">
        <f t="shared" si="1"/>
        <v>0.52915026221291817</v>
      </c>
    </row>
    <row r="14" spans="1:30" ht="15.6" customHeight="1">
      <c r="X14" s="90" t="s">
        <v>41</v>
      </c>
      <c r="Y14" s="107">
        <f t="shared" si="1"/>
        <v>0</v>
      </c>
      <c r="Z14" s="107">
        <f t="shared" si="1"/>
        <v>0.33166247903553997</v>
      </c>
      <c r="AA14" s="107">
        <f>SQRT(AA43)</f>
        <v>0.4</v>
      </c>
      <c r="AB14" s="107">
        <f t="shared" ref="AB14:AD14" si="2">SQRT(AB43)</f>
        <v>0.26457513110645908</v>
      </c>
      <c r="AC14" s="107">
        <f t="shared" si="2"/>
        <v>0.52915026221291817</v>
      </c>
      <c r="AD14" s="107">
        <f t="shared" si="2"/>
        <v>0</v>
      </c>
    </row>
    <row r="15" spans="1:30">
      <c r="X15" s="90" t="s">
        <v>25</v>
      </c>
      <c r="Y15" s="107">
        <f t="shared" si="1"/>
        <v>0.36055512754639896</v>
      </c>
      <c r="Z15" s="107">
        <f t="shared" si="1"/>
        <v>0.33166247903553997</v>
      </c>
      <c r="AA15" s="107">
        <f t="shared" si="1"/>
        <v>0.7</v>
      </c>
      <c r="AB15" s="107">
        <f t="shared" si="1"/>
        <v>0.45825756949558399</v>
      </c>
      <c r="AC15" s="107">
        <f t="shared" si="1"/>
        <v>0.3</v>
      </c>
      <c r="AD15" s="107">
        <f t="shared" si="1"/>
        <v>0.51961524227066325</v>
      </c>
    </row>
    <row r="16" spans="1:30">
      <c r="X16" s="90" t="s">
        <v>49</v>
      </c>
      <c r="Y16" s="107">
        <f t="shared" ref="Y16:Z16" si="3">SQRT(Y45)</f>
        <v>0.74161984870956632</v>
      </c>
      <c r="Z16" s="107">
        <f t="shared" si="3"/>
        <v>0.81853527718724506</v>
      </c>
      <c r="AA16" s="107">
        <f>SQRT(AA45)</f>
        <v>0.65574385243020006</v>
      </c>
      <c r="AB16" s="102" t="s">
        <v>227</v>
      </c>
      <c r="AC16" s="102" t="s">
        <v>227</v>
      </c>
      <c r="AD16" s="102" t="s">
        <v>227</v>
      </c>
    </row>
    <row r="17" spans="2:30">
      <c r="X17" s="90" t="s">
        <v>27</v>
      </c>
      <c r="Y17" s="107">
        <f>-SQRT(Y46)</f>
        <v>-0.1414213562373095</v>
      </c>
      <c r="Z17" s="107">
        <f>SQRT(Z46)</f>
        <v>0.2</v>
      </c>
      <c r="AA17" s="107">
        <f t="shared" si="1"/>
        <v>0.79372539331937719</v>
      </c>
      <c r="AB17" s="107">
        <f t="shared" si="1"/>
        <v>0.1</v>
      </c>
      <c r="AC17" s="107">
        <f t="shared" si="1"/>
        <v>0.36055512754639896</v>
      </c>
      <c r="AD17" s="107">
        <f t="shared" si="1"/>
        <v>0.87177978870813466</v>
      </c>
    </row>
    <row r="18" spans="2:30">
      <c r="X18" s="90" t="s">
        <v>34</v>
      </c>
      <c r="Y18" s="107">
        <f>-SQRT(Y47)</f>
        <v>-0.5830951894845301</v>
      </c>
      <c r="Z18" s="107">
        <f t="shared" si="1"/>
        <v>0.34641016151377546</v>
      </c>
      <c r="AA18" s="107">
        <f t="shared" si="1"/>
        <v>0.37416573867739417</v>
      </c>
      <c r="AB18" s="107">
        <f>-SQRT(AB47)</f>
        <v>-0.22360679774997896</v>
      </c>
      <c r="AC18" s="107">
        <f t="shared" si="1"/>
        <v>0.33166247903553997</v>
      </c>
      <c r="AD18" s="107">
        <f t="shared" si="1"/>
        <v>0.42426406871192851</v>
      </c>
    </row>
    <row r="19" spans="2:30">
      <c r="X19" s="90" t="s">
        <v>45</v>
      </c>
      <c r="Y19" s="107">
        <f>-SQRT(Y48)</f>
        <v>-0.1</v>
      </c>
      <c r="Z19" s="107">
        <f>SQRT(Z48)</f>
        <v>0.36055512754639896</v>
      </c>
      <c r="AA19" s="107">
        <f t="shared" si="1"/>
        <v>0.2</v>
      </c>
      <c r="AB19" s="107">
        <f>-SQRT(AB48)</f>
        <v>-0.47958315233127197</v>
      </c>
      <c r="AC19" s="107">
        <f>SQRT(AC48)</f>
        <v>0.37416573867739417</v>
      </c>
      <c r="AD19" s="107">
        <f t="shared" ref="AD19" si="4">SQRT(AD48)</f>
        <v>0.1414213562373095</v>
      </c>
    </row>
    <row r="20" spans="2:30">
      <c r="X20" s="90" t="s">
        <v>36</v>
      </c>
      <c r="Y20" s="107">
        <f>SQRT(Y49)</f>
        <v>0.62449979983983983</v>
      </c>
      <c r="Z20" s="107">
        <f t="shared" si="1"/>
        <v>0</v>
      </c>
      <c r="AA20" s="107">
        <f>SQRT(AA49)</f>
        <v>0.1414213562373095</v>
      </c>
      <c r="AB20" s="107">
        <f t="shared" ref="AB20:AD21" si="5">SQRT(AB49)</f>
        <v>0.64807406984078597</v>
      </c>
      <c r="AC20" s="107">
        <f t="shared" si="5"/>
        <v>0</v>
      </c>
      <c r="AD20" s="107">
        <f t="shared" si="5"/>
        <v>0.1</v>
      </c>
    </row>
    <row r="21" spans="2:30">
      <c r="X21" s="90" t="s">
        <v>24</v>
      </c>
      <c r="Y21" s="107">
        <f>SQRT(Y50)</f>
        <v>0.3872983346207417</v>
      </c>
      <c r="Z21" s="107">
        <f>SQRT(Z50)</f>
        <v>0.22360679774997896</v>
      </c>
      <c r="AA21" s="107">
        <f>SQRT(AA50)</f>
        <v>0</v>
      </c>
      <c r="AB21" s="107">
        <f t="shared" si="5"/>
        <v>0.2</v>
      </c>
      <c r="AC21" s="107">
        <f t="shared" si="5"/>
        <v>0.37416573867739417</v>
      </c>
      <c r="AD21" s="107">
        <f t="shared" si="5"/>
        <v>0.1414213562373095</v>
      </c>
    </row>
    <row r="22" spans="2:30" ht="15.75" customHeight="1">
      <c r="X22" s="90" t="s">
        <v>46</v>
      </c>
      <c r="Y22" s="107">
        <f>SQRT(Y51)</f>
        <v>0.5830951894845301</v>
      </c>
      <c r="Z22" s="107">
        <f>SQRT(Z51)</f>
        <v>0.2449489742783178</v>
      </c>
      <c r="AA22" s="107">
        <f>SQRT(AA51)</f>
        <v>0.1414213562373095</v>
      </c>
      <c r="AB22" s="102" t="s">
        <v>227</v>
      </c>
      <c r="AC22" s="102" t="s">
        <v>227</v>
      </c>
      <c r="AD22" s="202" t="s">
        <v>227</v>
      </c>
    </row>
    <row r="23" spans="2:30" ht="16.5" customHeight="1">
      <c r="X23" s="90" t="s">
        <v>42</v>
      </c>
      <c r="Y23" s="202" t="s">
        <v>227</v>
      </c>
      <c r="Z23" s="202" t="s">
        <v>227</v>
      </c>
      <c r="AA23" s="202" t="s">
        <v>227</v>
      </c>
      <c r="AB23" s="202">
        <f>SQRT(AB52)</f>
        <v>0.57445626465380284</v>
      </c>
      <c r="AC23" s="202">
        <f t="shared" ref="AC23:AD23" si="6">SQRT(AC52)</f>
        <v>0</v>
      </c>
      <c r="AD23" s="202">
        <f t="shared" si="6"/>
        <v>0.22360679774997896</v>
      </c>
    </row>
    <row r="24" spans="2:30" ht="17.25">
      <c r="B24" s="15" t="s">
        <v>235</v>
      </c>
      <c r="X24" s="112" t="s">
        <v>381</v>
      </c>
      <c r="Y24" s="98" t="s">
        <v>355</v>
      </c>
      <c r="Z24" s="388" t="s">
        <v>343</v>
      </c>
      <c r="AA24" s="389"/>
    </row>
    <row r="25" spans="2:30">
      <c r="B25" s="15" t="s">
        <v>234</v>
      </c>
      <c r="X25" s="113" t="s">
        <v>366</v>
      </c>
      <c r="Y25" s="97" t="s">
        <v>382</v>
      </c>
      <c r="Z25" s="390" t="s">
        <v>329</v>
      </c>
      <c r="AA25" s="390"/>
    </row>
    <row r="26" spans="2:30">
      <c r="B26" s="15" t="s">
        <v>216</v>
      </c>
      <c r="X26" s="113" t="s">
        <v>330</v>
      </c>
      <c r="Y26" s="97" t="s">
        <v>378</v>
      </c>
      <c r="Z26" s="391" t="s">
        <v>344</v>
      </c>
      <c r="AA26" s="391"/>
    </row>
    <row r="27" spans="2:30">
      <c r="B27" s="15" t="s">
        <v>219</v>
      </c>
      <c r="X27" s="122" t="s">
        <v>367</v>
      </c>
      <c r="Y27" s="122" t="s">
        <v>379</v>
      </c>
      <c r="Z27" s="391" t="s">
        <v>345</v>
      </c>
      <c r="AA27" s="391"/>
    </row>
    <row r="28" spans="2:30">
      <c r="X28" s="122" t="s">
        <v>368</v>
      </c>
      <c r="Y28" s="122" t="s">
        <v>380</v>
      </c>
      <c r="Z28" s="391" t="s">
        <v>346</v>
      </c>
      <c r="AA28" s="391"/>
    </row>
    <row r="29" spans="2:30" ht="31.5">
      <c r="B29" s="379" t="s">
        <v>356</v>
      </c>
      <c r="C29" s="379"/>
      <c r="D29" s="379"/>
      <c r="E29" s="379"/>
      <c r="F29" s="379"/>
      <c r="G29" s="379"/>
      <c r="H29" s="379"/>
      <c r="I29" s="379"/>
      <c r="J29" s="379"/>
      <c r="K29" s="379"/>
      <c r="L29" s="379"/>
      <c r="M29" s="379"/>
      <c r="N29" s="379"/>
      <c r="O29" s="379"/>
      <c r="P29" s="379"/>
      <c r="X29" s="113" t="s">
        <v>369</v>
      </c>
      <c r="Y29" s="97" t="s">
        <v>383</v>
      </c>
      <c r="Z29" s="391" t="s">
        <v>347</v>
      </c>
      <c r="AA29" s="391"/>
    </row>
    <row r="30" spans="2:30" ht="19.5" customHeight="1">
      <c r="X30" s="15">
        <v>0.19</v>
      </c>
      <c r="Y30" s="114">
        <f>X30*X30</f>
        <v>3.61E-2</v>
      </c>
    </row>
    <row r="31" spans="2:30" ht="15" customHeight="1">
      <c r="X31" s="15">
        <v>0.39</v>
      </c>
      <c r="Y31" s="114">
        <f t="shared" ref="Y31:Y33" si="7">X31*X31</f>
        <v>0.15210000000000001</v>
      </c>
    </row>
    <row r="32" spans="2:30" ht="15" customHeight="1">
      <c r="X32" s="15">
        <v>0.59</v>
      </c>
      <c r="Y32" s="114">
        <f t="shared" si="7"/>
        <v>0.34809999999999997</v>
      </c>
    </row>
    <row r="33" spans="9:30" ht="15" customHeight="1">
      <c r="X33" s="15">
        <v>0.79</v>
      </c>
      <c r="Y33" s="114">
        <f t="shared" si="7"/>
        <v>0.6241000000000001</v>
      </c>
    </row>
    <row r="35" spans="9:30" ht="18.75">
      <c r="X35" s="381" t="s">
        <v>359</v>
      </c>
      <c r="Y35" s="382"/>
      <c r="Z35" s="382"/>
      <c r="AA35" s="382"/>
      <c r="AB35" s="382"/>
      <c r="AC35" s="382"/>
      <c r="AD35" s="383"/>
    </row>
    <row r="36" spans="9:30">
      <c r="X36" s="384" t="s">
        <v>386</v>
      </c>
      <c r="Y36" s="376" t="s">
        <v>360</v>
      </c>
      <c r="Z36" s="376" t="s">
        <v>361</v>
      </c>
      <c r="AA36" s="376" t="s">
        <v>362</v>
      </c>
      <c r="AB36" s="376" t="s">
        <v>363</v>
      </c>
      <c r="AC36" s="376" t="s">
        <v>364</v>
      </c>
      <c r="AD36" s="376" t="s">
        <v>365</v>
      </c>
    </row>
    <row r="37" spans="9:30">
      <c r="X37" s="385"/>
      <c r="Y37" s="377"/>
      <c r="Z37" s="377"/>
      <c r="AA37" s="377"/>
      <c r="AB37" s="377"/>
      <c r="AC37" s="377"/>
      <c r="AD37" s="377"/>
    </row>
    <row r="38" spans="9:30">
      <c r="X38" s="385"/>
      <c r="Y38" s="377"/>
      <c r="Z38" s="377"/>
      <c r="AA38" s="377"/>
      <c r="AB38" s="377"/>
      <c r="AC38" s="377"/>
      <c r="AD38" s="377"/>
    </row>
    <row r="39" spans="9:30">
      <c r="X39" s="386"/>
      <c r="Y39" s="378"/>
      <c r="Z39" s="378"/>
      <c r="AA39" s="378"/>
      <c r="AB39" s="378"/>
      <c r="AC39" s="378"/>
      <c r="AD39" s="378"/>
    </row>
    <row r="40" spans="9:30">
      <c r="X40" s="90" t="s">
        <v>35</v>
      </c>
      <c r="Y40" s="113">
        <v>0.32</v>
      </c>
      <c r="Z40" s="103">
        <v>0.05</v>
      </c>
      <c r="AA40" s="113">
        <v>0.03</v>
      </c>
      <c r="AB40" s="102" t="s">
        <v>227</v>
      </c>
      <c r="AC40" s="102" t="s">
        <v>227</v>
      </c>
      <c r="AD40" s="102" t="s">
        <v>227</v>
      </c>
    </row>
    <row r="41" spans="9:30">
      <c r="X41" s="90" t="s">
        <v>17</v>
      </c>
      <c r="Y41" s="113">
        <v>0.01</v>
      </c>
      <c r="Z41" s="113">
        <v>0.01</v>
      </c>
      <c r="AA41" s="113">
        <v>0.08</v>
      </c>
      <c r="AB41" s="113">
        <v>0.06</v>
      </c>
      <c r="AC41" s="113">
        <v>0.03</v>
      </c>
      <c r="AD41" s="113">
        <v>0.04</v>
      </c>
    </row>
    <row r="42" spans="9:30" ht="20.25" customHeight="1">
      <c r="X42" s="90" t="s">
        <v>20</v>
      </c>
      <c r="Y42" s="113">
        <v>0.35</v>
      </c>
      <c r="Z42" s="113">
        <v>1.4999999999999999E-2</v>
      </c>
      <c r="AA42" s="107">
        <v>0.28000000000000003</v>
      </c>
      <c r="AB42" s="101">
        <v>0</v>
      </c>
      <c r="AC42" s="113">
        <v>0.01</v>
      </c>
      <c r="AD42" s="113">
        <v>0.28000000000000003</v>
      </c>
    </row>
    <row r="43" spans="9:30">
      <c r="X43" s="90" t="s">
        <v>41</v>
      </c>
      <c r="Y43" s="205">
        <v>0</v>
      </c>
      <c r="Z43" s="205">
        <v>0.11</v>
      </c>
      <c r="AA43" s="113">
        <v>0.16</v>
      </c>
      <c r="AB43" s="113">
        <v>7.0000000000000007E-2</v>
      </c>
      <c r="AC43" s="113">
        <v>0.28000000000000003</v>
      </c>
      <c r="AD43" s="113">
        <v>0</v>
      </c>
    </row>
    <row r="44" spans="9:30">
      <c r="I44" s="364"/>
      <c r="J44" s="364"/>
      <c r="K44" s="364"/>
      <c r="L44" s="364"/>
      <c r="M44" s="364"/>
      <c r="N44" s="364"/>
      <c r="P44" s="364"/>
      <c r="Q44" s="364"/>
      <c r="R44" s="364"/>
      <c r="S44" s="364"/>
      <c r="T44" s="364"/>
      <c r="U44" s="364"/>
      <c r="X44" s="90" t="s">
        <v>25</v>
      </c>
      <c r="Y44" s="113">
        <v>0.13</v>
      </c>
      <c r="Z44" s="113">
        <v>0.11</v>
      </c>
      <c r="AA44" s="113">
        <v>0.49</v>
      </c>
      <c r="AB44" s="113">
        <v>0.21</v>
      </c>
      <c r="AC44" s="107">
        <v>0.09</v>
      </c>
      <c r="AD44" s="101">
        <v>0.27</v>
      </c>
    </row>
    <row r="45" spans="9:30">
      <c r="X45" s="90" t="s">
        <v>49</v>
      </c>
      <c r="Y45" s="205">
        <v>0.55000000000000004</v>
      </c>
      <c r="Z45" s="102">
        <v>0.67</v>
      </c>
      <c r="AA45" s="113">
        <v>0.43</v>
      </c>
      <c r="AB45" s="102" t="s">
        <v>227</v>
      </c>
      <c r="AC45" s="102" t="s">
        <v>227</v>
      </c>
      <c r="AD45" s="102" t="s">
        <v>227</v>
      </c>
    </row>
    <row r="46" spans="9:30">
      <c r="X46" s="90" t="s">
        <v>27</v>
      </c>
      <c r="Y46" s="113">
        <v>0.02</v>
      </c>
      <c r="Z46" s="113">
        <v>0.04</v>
      </c>
      <c r="AA46" s="113">
        <v>0.63</v>
      </c>
      <c r="AB46" s="102">
        <v>0.01</v>
      </c>
      <c r="AC46" s="102">
        <v>0.13</v>
      </c>
      <c r="AD46" s="202">
        <v>0.76</v>
      </c>
    </row>
    <row r="47" spans="9:30">
      <c r="X47" s="90" t="s">
        <v>34</v>
      </c>
      <c r="Y47" s="113">
        <v>0.34</v>
      </c>
      <c r="Z47" s="113">
        <v>0.12</v>
      </c>
      <c r="AA47" s="113">
        <v>0.14000000000000001</v>
      </c>
      <c r="AB47" s="113">
        <v>0.05</v>
      </c>
      <c r="AC47" s="113">
        <v>0.11</v>
      </c>
      <c r="AD47" s="113">
        <v>0.18</v>
      </c>
    </row>
    <row r="48" spans="9:30">
      <c r="X48" s="90" t="s">
        <v>45</v>
      </c>
      <c r="Y48" s="113">
        <v>0.01</v>
      </c>
      <c r="Z48" s="113">
        <v>0.13</v>
      </c>
      <c r="AA48" s="113">
        <v>0.04</v>
      </c>
      <c r="AB48" s="113">
        <v>0.23</v>
      </c>
      <c r="AC48" s="113">
        <v>0.14000000000000001</v>
      </c>
      <c r="AD48" s="113">
        <v>0.02</v>
      </c>
    </row>
    <row r="49" spans="2:30">
      <c r="X49" s="90" t="s">
        <v>36</v>
      </c>
      <c r="Y49" s="113">
        <v>0.39</v>
      </c>
      <c r="Z49" s="113">
        <v>0</v>
      </c>
      <c r="AA49" s="113">
        <v>0.02</v>
      </c>
      <c r="AB49" s="113">
        <v>0.42</v>
      </c>
      <c r="AC49" s="113">
        <v>0</v>
      </c>
      <c r="AD49" s="113">
        <v>0.01</v>
      </c>
    </row>
    <row r="50" spans="2:30">
      <c r="X50" s="90" t="s">
        <v>24</v>
      </c>
      <c r="Y50" s="222">
        <v>0.15</v>
      </c>
      <c r="Z50" s="222">
        <v>0.05</v>
      </c>
      <c r="AA50" s="222">
        <v>0</v>
      </c>
      <c r="AB50" s="222">
        <v>0.04</v>
      </c>
      <c r="AC50" s="222">
        <v>0.14000000000000001</v>
      </c>
      <c r="AD50" s="222">
        <v>0.02</v>
      </c>
    </row>
    <row r="51" spans="2:30">
      <c r="X51" s="90" t="s">
        <v>46</v>
      </c>
      <c r="Y51" s="113">
        <v>0.34</v>
      </c>
      <c r="Z51" s="113">
        <v>0.06</v>
      </c>
      <c r="AA51" s="113">
        <v>0.02</v>
      </c>
      <c r="AB51" s="102" t="s">
        <v>227</v>
      </c>
      <c r="AC51" s="102" t="s">
        <v>227</v>
      </c>
      <c r="AD51" s="102" t="s">
        <v>227</v>
      </c>
    </row>
    <row r="52" spans="2:30">
      <c r="X52" s="90" t="s">
        <v>42</v>
      </c>
      <c r="Y52" s="102" t="s">
        <v>227</v>
      </c>
      <c r="Z52" s="102" t="s">
        <v>227</v>
      </c>
      <c r="AA52" s="102" t="s">
        <v>227</v>
      </c>
      <c r="AB52" s="102">
        <v>0.33</v>
      </c>
      <c r="AC52" s="102">
        <v>0</v>
      </c>
      <c r="AD52" s="205">
        <v>0.05</v>
      </c>
    </row>
    <row r="59" spans="2:30">
      <c r="B59" s="387" t="s">
        <v>357</v>
      </c>
      <c r="C59" s="387"/>
      <c r="D59" s="387"/>
      <c r="E59" s="387"/>
      <c r="F59" s="387"/>
      <c r="G59" s="387"/>
      <c r="H59" s="387"/>
      <c r="I59" s="387"/>
      <c r="J59" s="387"/>
      <c r="K59" s="387"/>
      <c r="L59" s="387"/>
      <c r="M59" s="387"/>
      <c r="N59" s="387"/>
      <c r="O59" s="387"/>
      <c r="P59" s="387"/>
      <c r="Q59" s="387"/>
      <c r="R59" s="387"/>
    </row>
    <row r="60" spans="2:30">
      <c r="B60" s="387"/>
      <c r="C60" s="387"/>
      <c r="D60" s="387"/>
      <c r="E60" s="387"/>
      <c r="F60" s="387"/>
      <c r="G60" s="387"/>
      <c r="H60" s="387"/>
      <c r="I60" s="387"/>
      <c r="J60" s="387"/>
      <c r="K60" s="387"/>
      <c r="L60" s="387"/>
      <c r="M60" s="387"/>
      <c r="N60" s="387"/>
      <c r="O60" s="387"/>
      <c r="P60" s="387"/>
      <c r="Q60" s="387"/>
      <c r="R60" s="387"/>
    </row>
    <row r="992" spans="2:2">
      <c r="B992" s="15" t="s">
        <v>338</v>
      </c>
    </row>
    <row r="993" spans="1:51">
      <c r="B993" s="90" t="s">
        <v>328</v>
      </c>
      <c r="C993" s="90" t="s">
        <v>329</v>
      </c>
    </row>
    <row r="994" spans="1:51">
      <c r="B994" s="90" t="s">
        <v>330</v>
      </c>
      <c r="C994" s="90" t="s">
        <v>331</v>
      </c>
    </row>
    <row r="995" spans="1:51">
      <c r="B995" s="90" t="s">
        <v>335</v>
      </c>
      <c r="C995" s="90" t="s">
        <v>332</v>
      </c>
    </row>
    <row r="996" spans="1:51">
      <c r="B996" s="90" t="s">
        <v>336</v>
      </c>
      <c r="C996" s="90" t="s">
        <v>333</v>
      </c>
    </row>
    <row r="997" spans="1:51">
      <c r="B997" s="90" t="s">
        <v>337</v>
      </c>
      <c r="C997" s="90" t="s">
        <v>334</v>
      </c>
    </row>
    <row r="1002" spans="1:51">
      <c r="A1002" s="15" t="s">
        <v>51</v>
      </c>
      <c r="B1002" s="15" t="str">
        <f>VLOOKUP($C$5,'WEC data_formatted'!A1:B15,2,FALSE)</f>
        <v>Finland</v>
      </c>
      <c r="C1002" s="15" t="s">
        <v>224</v>
      </c>
    </row>
    <row r="1003" spans="1:51">
      <c r="A1003" s="15" t="s">
        <v>215</v>
      </c>
      <c r="B1003" s="15" t="s">
        <v>225</v>
      </c>
      <c r="C1003" s="15" t="s">
        <v>233</v>
      </c>
      <c r="D1003" s="4" t="e">
        <f>'WEC data_formatted'!#REF!</f>
        <v>#REF!</v>
      </c>
      <c r="E1003" s="4" t="e">
        <f>'WEC data_formatted'!#REF!</f>
        <v>#REF!</v>
      </c>
      <c r="F1003" s="4" t="e">
        <f>'WEC data_formatted'!#REF!</f>
        <v>#REF!</v>
      </c>
      <c r="G1003" s="4" t="e">
        <f>'WEC data_formatted'!#REF!</f>
        <v>#REF!</v>
      </c>
      <c r="H1003" s="4" t="e">
        <f>'WEC data_formatted'!#REF!</f>
        <v>#REF!</v>
      </c>
      <c r="I1003" s="4" t="e">
        <f>'WEC data_formatted'!#REF!</f>
        <v>#REF!</v>
      </c>
      <c r="J1003" s="4" t="str">
        <f>'WEC data_formatted'!C18</f>
        <v>2014Q2</v>
      </c>
      <c r="K1003" s="4" t="str">
        <f>'WEC data_formatted'!D18</f>
        <v>2014Q2</v>
      </c>
      <c r="L1003" s="4" t="str">
        <f>'WEC data_formatted'!E18</f>
        <v>2014Q2</v>
      </c>
      <c r="M1003" s="4" t="str">
        <f>'WEC data_formatted'!F18</f>
        <v>2014Q3</v>
      </c>
      <c r="N1003" s="4" t="str">
        <f>'WEC data_formatted'!G18</f>
        <v>2014Q3</v>
      </c>
      <c r="O1003" s="4" t="str">
        <f>'WEC data_formatted'!H18</f>
        <v>2014Q3</v>
      </c>
      <c r="P1003" s="4" t="str">
        <f>'WEC data_formatted'!I18</f>
        <v>2014Q4</v>
      </c>
      <c r="Q1003" s="4" t="str">
        <f>'WEC data_formatted'!J18</f>
        <v>2014Q4</v>
      </c>
      <c r="R1003" s="4" t="str">
        <f>'WEC data_formatted'!K18</f>
        <v>2014Q4</v>
      </c>
      <c r="S1003" s="4" t="str">
        <f>'WEC data_formatted'!L18</f>
        <v>2015Q1</v>
      </c>
      <c r="T1003" s="4" t="str">
        <f>'WEC data_formatted'!M18</f>
        <v>2015Q1</v>
      </c>
      <c r="U1003" s="4" t="str">
        <f>'WEC data_formatted'!N18</f>
        <v>2015Q1</v>
      </c>
      <c r="V1003" s="4" t="str">
        <f>'WEC data_formatted'!O18</f>
        <v>2015Q2</v>
      </c>
      <c r="W1003" s="4" t="str">
        <f>'WEC data_formatted'!P18</f>
        <v>2015Q2</v>
      </c>
      <c r="X1003" s="4" t="str">
        <f>'WEC data_formatted'!Q18</f>
        <v>2015Q2</v>
      </c>
      <c r="Y1003" s="4" t="str">
        <f>'WEC data_formatted'!R18</f>
        <v>2015Q3</v>
      </c>
      <c r="Z1003" s="4" t="str">
        <f>'WEC data_formatted'!S18</f>
        <v>2015Q3</v>
      </c>
      <c r="AA1003" s="4" t="str">
        <f>'WEC data_formatted'!T18</f>
        <v>2015Q3</v>
      </c>
      <c r="AB1003" s="4" t="str">
        <f>'WEC data_formatted'!U18</f>
        <v>2015Q4</v>
      </c>
      <c r="AC1003" s="4" t="str">
        <f>'WEC data_formatted'!V18</f>
        <v>2015Q4</v>
      </c>
      <c r="AD1003" s="4" t="str">
        <f>'WEC data_formatted'!W18</f>
        <v>2015Q4</v>
      </c>
      <c r="AE1003" s="4" t="str">
        <f>'WEC data_formatted'!X18</f>
        <v>2016Q1</v>
      </c>
      <c r="AF1003" s="4" t="str">
        <f>'WEC data_formatted'!Y18</f>
        <v>2016Q1</v>
      </c>
      <c r="AG1003" s="4" t="str">
        <f>'WEC data_formatted'!Z18</f>
        <v>2016Q1</v>
      </c>
      <c r="AH1003" s="4" t="str">
        <f>'WEC data_formatted'!AA18</f>
        <v>2016Q2</v>
      </c>
      <c r="AI1003" s="4" t="str">
        <f>'WEC data_formatted'!AB18</f>
        <v>2016Q2</v>
      </c>
      <c r="AJ1003" s="4" t="str">
        <f>'WEC data_formatted'!AC18</f>
        <v>2016Q2</v>
      </c>
      <c r="AK1003" s="4" t="str">
        <f>'WEC data_formatted'!AD18</f>
        <v>2016Q3</v>
      </c>
      <c r="AL1003" s="4" t="str">
        <f>'WEC data_formatted'!AE18</f>
        <v>2016Q3</v>
      </c>
      <c r="AM1003" s="4" t="str">
        <f>'WEC data_formatted'!AF18</f>
        <v>2016Q3</v>
      </c>
      <c r="AN1003" s="4" t="str">
        <f>'WEC data_formatted'!AG18</f>
        <v>2016Q4</v>
      </c>
      <c r="AO1003" s="4" t="str">
        <f>'WEC data_formatted'!AH18</f>
        <v>2016Q4</v>
      </c>
      <c r="AP1003" s="4" t="str">
        <f>'WEC data_formatted'!AI18</f>
        <v>2016Q4</v>
      </c>
      <c r="AQ1003" s="4" t="str">
        <f>'WEC data_formatted'!AJ18</f>
        <v>2017Q1</v>
      </c>
      <c r="AR1003" s="4" t="str">
        <f>'WEC data_formatted'!AK18</f>
        <v>2017Q1</v>
      </c>
      <c r="AS1003" s="4" t="str">
        <f>'WEC data_formatted'!AL18</f>
        <v>2017Q1</v>
      </c>
      <c r="AT1003" s="4" t="str">
        <f>'WEC data_formatted'!AM18</f>
        <v>2017Q2</v>
      </c>
      <c r="AU1003" s="4" t="str">
        <f>'WEC data_formatted'!AN18</f>
        <v>2017Q2</v>
      </c>
      <c r="AV1003" s="4" t="str">
        <f>'WEC data_formatted'!AO18</f>
        <v>2017Q2</v>
      </c>
      <c r="AW1003" s="4" t="str">
        <f>'WEC data_formatted'!AP18</f>
        <v>2017Q3</v>
      </c>
      <c r="AX1003" s="4" t="str">
        <f>'WEC data_formatted'!AQ18</f>
        <v>2017Q3</v>
      </c>
      <c r="AY1003" s="4" t="str">
        <f>'WEC data_formatted'!AR18</f>
        <v>2017Q3</v>
      </c>
    </row>
    <row r="1004" spans="1:51">
      <c r="B1004" s="17"/>
      <c r="C1004" s="17"/>
      <c r="D1004" s="49" t="e">
        <f>'WEC data_formatted'!#REF!</f>
        <v>#REF!</v>
      </c>
      <c r="E1004" s="49" t="e">
        <f>'WEC data_formatted'!#REF!</f>
        <v>#REF!</v>
      </c>
      <c r="F1004" s="49" t="e">
        <f>'WEC data_formatted'!#REF!</f>
        <v>#REF!</v>
      </c>
      <c r="G1004" s="49" t="e">
        <f>'WEC data_formatted'!#REF!</f>
        <v>#REF!</v>
      </c>
      <c r="H1004" s="49" t="e">
        <f>'WEC data_formatted'!#REF!</f>
        <v>#REF!</v>
      </c>
      <c r="I1004" s="49" t="e">
        <f>'WEC data_formatted'!#REF!</f>
        <v>#REF!</v>
      </c>
      <c r="J1004" s="49">
        <f>'WEC data_formatted'!C1</f>
        <v>41730</v>
      </c>
      <c r="K1004" s="49">
        <f>'WEC data_formatted'!D1</f>
        <v>41760</v>
      </c>
      <c r="L1004" s="49">
        <f>'WEC data_formatted'!E1</f>
        <v>41791</v>
      </c>
      <c r="M1004" s="49">
        <f>'WEC data_formatted'!F1</f>
        <v>41821</v>
      </c>
      <c r="N1004" s="49">
        <f>'WEC data_formatted'!G1</f>
        <v>41852</v>
      </c>
      <c r="O1004" s="49">
        <f>'WEC data_formatted'!H1</f>
        <v>41883</v>
      </c>
      <c r="P1004" s="49">
        <f>'WEC data_formatted'!I1</f>
        <v>41913</v>
      </c>
      <c r="Q1004" s="49">
        <f>'WEC data_formatted'!J1</f>
        <v>41944</v>
      </c>
      <c r="R1004" s="49">
        <f>'WEC data_formatted'!K1</f>
        <v>41974</v>
      </c>
      <c r="S1004" s="49">
        <f>'WEC data_formatted'!L1</f>
        <v>42005</v>
      </c>
      <c r="T1004" s="49">
        <f>'WEC data_formatted'!M1</f>
        <v>42036</v>
      </c>
      <c r="U1004" s="49">
        <f>'WEC data_formatted'!N1</f>
        <v>42064</v>
      </c>
      <c r="V1004" s="49">
        <f>'WEC data_formatted'!O1</f>
        <v>42095</v>
      </c>
      <c r="W1004" s="49">
        <f>'WEC data_formatted'!P1</f>
        <v>42125</v>
      </c>
      <c r="X1004" s="49">
        <f>'WEC data_formatted'!Q1</f>
        <v>42156</v>
      </c>
      <c r="Y1004" s="49">
        <f>'WEC data_formatted'!R1</f>
        <v>42186</v>
      </c>
      <c r="Z1004" s="49">
        <f>'WEC data_formatted'!S1</f>
        <v>42217</v>
      </c>
      <c r="AA1004" s="49">
        <f>'WEC data_formatted'!T1</f>
        <v>42248</v>
      </c>
      <c r="AB1004" s="49">
        <f>'WEC data_formatted'!U1</f>
        <v>42278</v>
      </c>
      <c r="AC1004" s="49">
        <f>'WEC data_formatted'!V1</f>
        <v>42309</v>
      </c>
      <c r="AD1004" s="49">
        <f>'WEC data_formatted'!W1</f>
        <v>42339</v>
      </c>
      <c r="AE1004" s="49">
        <f>'WEC data_formatted'!X1</f>
        <v>42370</v>
      </c>
      <c r="AF1004" s="49">
        <f>'WEC data_formatted'!Y1</f>
        <v>42401</v>
      </c>
      <c r="AG1004" s="49">
        <f>'WEC data_formatted'!Z1</f>
        <v>42430</v>
      </c>
      <c r="AH1004" s="49">
        <f>'WEC data_formatted'!AA1</f>
        <v>42461</v>
      </c>
      <c r="AI1004" s="49">
        <f>'WEC data_formatted'!AB1</f>
        <v>42491</v>
      </c>
      <c r="AJ1004" s="49">
        <f>'WEC data_formatted'!AC1</f>
        <v>42522</v>
      </c>
      <c r="AK1004" s="49">
        <f>'WEC data_formatted'!AD1</f>
        <v>42552</v>
      </c>
      <c r="AL1004" s="49">
        <f>'WEC data_formatted'!AE1</f>
        <v>42583</v>
      </c>
      <c r="AM1004" s="49">
        <f>'WEC data_formatted'!AF1</f>
        <v>42614</v>
      </c>
      <c r="AN1004" s="49">
        <f>'WEC data_formatted'!AG1</f>
        <v>42644</v>
      </c>
      <c r="AO1004" s="49">
        <f>'WEC data_formatted'!AH1</f>
        <v>42675</v>
      </c>
      <c r="AP1004" s="49">
        <f>'WEC data_formatted'!AI1</f>
        <v>42705</v>
      </c>
      <c r="AQ1004" s="49">
        <f>'WEC data_formatted'!AJ1</f>
        <v>42736</v>
      </c>
      <c r="AR1004" s="49">
        <f>'WEC data_formatted'!AK1</f>
        <v>42767</v>
      </c>
      <c r="AS1004" s="49">
        <f>'WEC data_formatted'!AL1</f>
        <v>42795</v>
      </c>
      <c r="AT1004" s="49">
        <f>'WEC data_formatted'!AM1</f>
        <v>42826</v>
      </c>
      <c r="AU1004" s="49">
        <f>'WEC data_formatted'!AN1</f>
        <v>42856</v>
      </c>
      <c r="AV1004" s="49">
        <f>'WEC data_formatted'!AO1</f>
        <v>42887</v>
      </c>
      <c r="AW1004" s="49">
        <f>'WEC data_formatted'!AP1</f>
        <v>42917</v>
      </c>
      <c r="AX1004" s="49">
        <f>'WEC data_formatted'!AQ1</f>
        <v>42948</v>
      </c>
      <c r="AY1004" s="49">
        <f>'WEC data_formatted'!AR1</f>
        <v>42979</v>
      </c>
    </row>
    <row r="1005" spans="1:51">
      <c r="A1005" s="15" t="s">
        <v>214</v>
      </c>
      <c r="B1005" s="17"/>
      <c r="C1005" s="17"/>
      <c r="D1005" s="216" t="e">
        <f>IF(ISNUMBER(VLOOKUP($C$5,'WEC data_formatted'!$A$2:$AR$14,COLUMNS($B1022:D1022),FALSE)), (VLOOKUP($C$5,'WEC data_formatted'!$A$2:$AR$14,COLUMNS($B1002:D1002),FALSE)), NA())</f>
        <v>#N/A</v>
      </c>
      <c r="E1005" s="216" t="e">
        <f>IF(ISNUMBER(VLOOKUP($C$5,'WEC data_formatted'!$A$2:$AR$14,COLUMNS($B1022:E1022),FALSE)), (VLOOKUP($C$5,'WEC data_formatted'!$A$2:$AR$14,COLUMNS($B1002:E1002),FALSE)), NA())</f>
        <v>#N/A</v>
      </c>
      <c r="F1005" s="216" t="e">
        <f>IF(ISNUMBER(VLOOKUP($C$5,'WEC data_formatted'!$A$2:$AR$14,COLUMNS($B1022:F1022),FALSE)), (VLOOKUP($C$5,'WEC data_formatted'!$A$2:$AR$14,COLUMNS($B1002:F1002),FALSE)), NA())</f>
        <v>#N/A</v>
      </c>
      <c r="G1005" s="216" t="e">
        <f>IF(ISNUMBER(VLOOKUP($C$5,'WEC data_formatted'!$A$2:$AR$14,COLUMNS($B1022:G1022),FALSE)), (VLOOKUP($C$5,'WEC data_formatted'!$A$2:$AR$14,COLUMNS($B1002:G1002),FALSE)), NA())</f>
        <v>#N/A</v>
      </c>
      <c r="H1005" s="216" t="e">
        <f>IF(ISNUMBER(VLOOKUP($C$5,'WEC data_formatted'!$A$2:$AR$14,COLUMNS($B1022:H1022),FALSE)), (VLOOKUP($C$5,'WEC data_formatted'!$A$2:$AR$14,COLUMNS($B1002:H1002),FALSE)), NA())</f>
        <v>#N/A</v>
      </c>
      <c r="I1005" s="216" t="e">
        <f>IF(ISNUMBER(VLOOKUP($C$5,'WEC data_formatted'!$A$2:$AR$14,COLUMNS($B1022:I1022),FALSE)), (VLOOKUP($C$5,'WEC data_formatted'!$A$2:$AR$14,COLUMNS($B1002:I1002),FALSE)), NA())</f>
        <v>#N/A</v>
      </c>
      <c r="J1005" s="216" t="e">
        <f>IF(ISNUMBER(VLOOKUP($C$5,'WEC data_formatted'!$A$2:$AR$14,COLUMNS($B1022:J1022),FALSE)), (VLOOKUP($C$5,'WEC data_formatted'!$A$2:$AR$14,COLUMNS($B1002:J1002),FALSE)), NA())</f>
        <v>#N/A</v>
      </c>
      <c r="K1005" s="216" t="e">
        <f>IF(ISNUMBER(VLOOKUP($C$5,'WEC data_formatted'!$A$2:$AR$14,COLUMNS($B1022:K1022),FALSE)), (VLOOKUP($C$5,'WEC data_formatted'!$A$2:$AR$14,COLUMNS($B1002:K1002),FALSE)), NA())</f>
        <v>#N/A</v>
      </c>
      <c r="L1005" s="216" t="e">
        <f>IF(ISNUMBER(VLOOKUP($C$5,'WEC data_formatted'!$A$2:$AR$14,COLUMNS($B1022:L1022),FALSE)), (VLOOKUP($C$5,'WEC data_formatted'!$A$2:$AR$14,COLUMNS($B1002:L1002),FALSE)), NA())</f>
        <v>#N/A</v>
      </c>
      <c r="M1005" s="216">
        <f>IF(ISNUMBER(VLOOKUP($C$5,'WEC data_formatted'!$A$2:$AR$14,COLUMNS($B1022:M1022),FALSE)), (VLOOKUP($C$5,'WEC data_formatted'!$A$2:$AR$14,COLUMNS($B1002:M1002),FALSE)), NA())</f>
        <v>0.13367647390067527</v>
      </c>
      <c r="N1005" s="216">
        <f>IF(ISNUMBER(VLOOKUP($C$5,'WEC data_formatted'!$A$2:$AR$14,COLUMNS($B1022:N1022),FALSE)), (VLOOKUP($C$5,'WEC data_formatted'!$A$2:$AR$14,COLUMNS($B1002:N1002),FALSE)), NA())</f>
        <v>0.113</v>
      </c>
      <c r="O1005" s="216">
        <f>IF(ISNUMBER(VLOOKUP($C$5,'WEC data_formatted'!$A$2:$AR$14,COLUMNS($B1022:O1022),FALSE)), (VLOOKUP($C$5,'WEC data_formatted'!$A$2:$AR$14,COLUMNS($B1002:O1002),FALSE)), NA())</f>
        <v>0.11600000000000001</v>
      </c>
      <c r="P1005" s="216">
        <f>IF(ISNUMBER(VLOOKUP($C$5,'WEC data_formatted'!$A$2:$AR$14,COLUMNS($B1022:P1022),FALSE)), (VLOOKUP($C$5,'WEC data_formatted'!$A$2:$AR$14,COLUMNS($B1002:P1002),FALSE)), NA())</f>
        <v>0.111</v>
      </c>
      <c r="Q1005" s="216">
        <f>IF(ISNUMBER(VLOOKUP($C$5,'WEC data_formatted'!$A$2:$AR$14,COLUMNS($B1022:Q1022),FALSE)), (VLOOKUP($C$5,'WEC data_formatted'!$A$2:$AR$14,COLUMNS($B1002:Q1002),FALSE)), NA())</f>
        <v>2.7E-2</v>
      </c>
      <c r="R1005" s="216">
        <f>IF(ISNUMBER(VLOOKUP($C$5,'WEC data_formatted'!$A$2:$AR$14,COLUMNS($B1022:R1022),FALSE)), (VLOOKUP($C$5,'WEC data_formatted'!$A$2:$AR$14,COLUMNS($B1002:R1002),FALSE)), NA())</f>
        <v>6.5000000000000002E-2</v>
      </c>
      <c r="S1005" s="216">
        <f>IF(ISNUMBER(VLOOKUP($C$5,'WEC data_formatted'!$A$2:$AR$14,COLUMNS($B1022:S1022),FALSE)), (VLOOKUP($C$5,'WEC data_formatted'!$A$2:$AR$14,COLUMNS($B1002:S1002),FALSE)), NA())</f>
        <v>5.6000000000000001E-2</v>
      </c>
      <c r="T1005" s="216">
        <f>IF(ISNUMBER(VLOOKUP($C$5,'WEC data_formatted'!$A$2:$AR$14,COLUMNS($B1022:T1022),FALSE)), (VLOOKUP($C$5,'WEC data_formatted'!$A$2:$AR$14,COLUMNS($B1002:T1002),FALSE)), NA())</f>
        <v>0.06</v>
      </c>
      <c r="U1005" s="216">
        <f>IF(ISNUMBER(VLOOKUP($C$5,'WEC data_formatted'!$A$2:$AR$14,COLUMNS($B1022:U1022),FALSE)), (VLOOKUP($C$5,'WEC data_formatted'!$A$2:$AR$14,COLUMNS($B1002:U1002),FALSE)), NA())</f>
        <v>2.5999999999999999E-2</v>
      </c>
      <c r="V1005" s="216">
        <f>IF(ISNUMBER(VLOOKUP($C$5,'WEC data_formatted'!$A$2:$AR$14,COLUMNS($B1022:V1022),FALSE)), (VLOOKUP($C$5,'WEC data_formatted'!$A$2:$AR$14,COLUMNS($B1002:V1002),FALSE)), NA())</f>
        <v>8.762160526644136E-3</v>
      </c>
      <c r="W1005" s="216">
        <f>IF(ISNUMBER(VLOOKUP($C$5,'WEC data_formatted'!$A$2:$AR$14,COLUMNS($B1022:W1022),FALSE)), (VLOOKUP($C$5,'WEC data_formatted'!$A$2:$AR$14,COLUMNS($B1002:W1002),FALSE)), NA())</f>
        <v>0.11076811517686136</v>
      </c>
      <c r="X1005" s="216">
        <f>IF(ISNUMBER(VLOOKUP($C$5,'WEC data_formatted'!$A$2:$AR$14,COLUMNS($B1022:X1022),FALSE)), (VLOOKUP($C$5,'WEC data_formatted'!$A$2:$AR$14,COLUMNS($B1002:X1002),FALSE)), NA())</f>
        <v>0.123</v>
      </c>
      <c r="Y1005" s="216" t="e">
        <f>IF(ISNUMBER(VLOOKUP($C$5,'WEC data_formatted'!$A$2:$AR$14,COLUMNS($B1022:Y1022),FALSE)), (VLOOKUP($C$5,'WEC data_formatted'!$A$2:$AR$14,COLUMNS($B1002:Y1002),FALSE)), NA())</f>
        <v>#N/A</v>
      </c>
      <c r="Z1005" s="216">
        <f>IF(ISNUMBER(VLOOKUP($C$5,'WEC data_formatted'!$A$2:$AR$14,COLUMNS($B1022:Z1022),FALSE)), (VLOOKUP($C$5,'WEC data_formatted'!$A$2:$AR$14,COLUMNS($B1002:Z1002),FALSE)), NA())</f>
        <v>0.12300000000000001</v>
      </c>
      <c r="AA1005" s="216">
        <f>IF(ISNUMBER(VLOOKUP($C$5,'WEC data_formatted'!$A$2:$AR$14,COLUMNS($B1022:AA1022),FALSE)), (VLOOKUP($C$5,'WEC data_formatted'!$A$2:$AR$14,COLUMNS($B1002:AA1002),FALSE)), NA())</f>
        <v>0.12</v>
      </c>
      <c r="AB1005" s="216" t="e">
        <f>IF(ISNUMBER(VLOOKUP($C$5,'WEC data_formatted'!$A$2:$AR$14,COLUMNS($B1022:AB1022),FALSE)), (VLOOKUP($C$5,'WEC data_formatted'!$A$2:$AR$14,COLUMNS($B1002:AB1002),FALSE)), NA())</f>
        <v>#N/A</v>
      </c>
      <c r="AC1005" s="216" t="e">
        <f>IF(ISNUMBER(VLOOKUP($C$5,'WEC data_formatted'!$A$2:$AR$14,COLUMNS($B1022:AC1022),FALSE)), (VLOOKUP($C$5,'WEC data_formatted'!$A$2:$AR$14,COLUMNS($B1002:AC1002),FALSE)), NA())</f>
        <v>#N/A</v>
      </c>
      <c r="AD1005" s="216" t="e">
        <f>IF(ISNUMBER(VLOOKUP($C$5,'WEC data_formatted'!$A$2:$AR$14,COLUMNS($B1022:AD1022),FALSE)), (VLOOKUP($C$5,'WEC data_formatted'!$A$2:$AR$14,COLUMNS($B1002:AD1002),FALSE)), NA())</f>
        <v>#N/A</v>
      </c>
      <c r="AE1005" s="216" t="e">
        <f>IF(ISNUMBER(VLOOKUP($C$5,'WEC data_formatted'!$A$2:$AR$14,COLUMNS($B1022:AE1022),FALSE)), (VLOOKUP($C$5,'WEC data_formatted'!$A$2:$AR$14,COLUMNS($B1002:AE1002),FALSE)), NA())</f>
        <v>#N/A</v>
      </c>
      <c r="AF1005" s="216" t="e">
        <f>IF(ISNUMBER(VLOOKUP($C$5,'WEC data_formatted'!$A$2:$AR$14,COLUMNS($B1022:AF1022),FALSE)), (VLOOKUP($C$5,'WEC data_formatted'!$A$2:$AR$14,COLUMNS($B1002:AF1002),FALSE)), NA())</f>
        <v>#N/A</v>
      </c>
      <c r="AG1005" s="216" t="e">
        <f>IF(ISNUMBER(VLOOKUP($C$5,'WEC data_formatted'!$A$2:$AR$14,COLUMNS($B1022:AG1022),FALSE)), (VLOOKUP($C$5,'WEC data_formatted'!$A$2:$AR$14,COLUMNS($B1002:AG1002),FALSE)), NA())</f>
        <v>#N/A</v>
      </c>
      <c r="AH1005" s="216" t="e">
        <f>IF(ISNUMBER(VLOOKUP($C$5,'WEC data_formatted'!$A$2:$AR$14,COLUMNS($B1022:AH1022),FALSE)), (VLOOKUP($C$5,'WEC data_formatted'!$A$2:$AR$14,COLUMNS($B1002:AH1002),FALSE)), NA())</f>
        <v>#N/A</v>
      </c>
      <c r="AI1005" s="216" t="e">
        <f>IF(ISNUMBER(VLOOKUP($C$5,'WEC data_formatted'!$A$2:$AR$14,COLUMNS($B1022:AI1022),FALSE)), (VLOOKUP($C$5,'WEC data_formatted'!$A$2:$AR$14,COLUMNS($B1002:AI1002),FALSE)), NA())</f>
        <v>#N/A</v>
      </c>
      <c r="AJ1005" s="216" t="e">
        <f>IF(ISNUMBER(VLOOKUP($C$5,'WEC data_formatted'!$A$2:$AR$14,COLUMNS($B1022:AJ1022),FALSE)), (VLOOKUP($C$5,'WEC data_formatted'!$A$2:$AR$14,COLUMNS($B1002:AJ1002),FALSE)), NA())</f>
        <v>#N/A</v>
      </c>
      <c r="AK1005" s="216">
        <f>IF(ISNUMBER(VLOOKUP($C$5,'WEC data_formatted'!$A$2:$AR$14,COLUMNS($B1022:AK1022),FALSE)), (VLOOKUP($C$5,'WEC data_formatted'!$A$2:$AR$14,COLUMNS($B1002:AK1002),FALSE)), NA())</f>
        <v>0.27600000000000002</v>
      </c>
      <c r="AL1005" s="216">
        <f>IF(ISNUMBER(VLOOKUP($C$5,'WEC data_formatted'!$A$2:$AR$14,COLUMNS($B1022:AL1022),FALSE)), (VLOOKUP($C$5,'WEC data_formatted'!$A$2:$AR$14,COLUMNS($B1002:AL1002),FALSE)), NA())</f>
        <v>0.17499999999999999</v>
      </c>
      <c r="AM1005" s="216">
        <f>IF(ISNUMBER(VLOOKUP($C$5,'WEC data_formatted'!$A$2:$AR$14,COLUMNS($B1022:AM1022),FALSE)), (VLOOKUP($C$5,'WEC data_formatted'!$A$2:$AR$14,COLUMNS($B1002:AM1002),FALSE)), NA())</f>
        <v>0.24299999999999999</v>
      </c>
      <c r="AN1005" s="216">
        <f>IF(ISNUMBER(VLOOKUP($C$5,'WEC data_formatted'!$A$2:$AR$14,COLUMNS($B1022:AN1022),FALSE)), (VLOOKUP($C$5,'WEC data_formatted'!$A$2:$AR$14,COLUMNS($B1002:AN1002),FALSE)), NA())</f>
        <v>0.109</v>
      </c>
      <c r="AO1005" s="216">
        <f>IF(ISNUMBER(VLOOKUP($C$5,'WEC data_formatted'!$A$2:$AR$14,COLUMNS($B1022:AO1022),FALSE)), (VLOOKUP($C$5,'WEC data_formatted'!$A$2:$AR$14,COLUMNS($B1002:AO1002),FALSE)), NA())</f>
        <v>0.18</v>
      </c>
      <c r="AP1005" s="216">
        <f>IF(ISNUMBER(VLOOKUP($C$5,'WEC data_formatted'!$A$2:$AR$14,COLUMNS($B1022:AP1022),FALSE)), (VLOOKUP($C$5,'WEC data_formatted'!$A$2:$AR$14,COLUMNS($B1002:AP1002),FALSE)), NA())</f>
        <v>0.21199999999999999</v>
      </c>
      <c r="AQ1005" s="216">
        <f>IF(ISNUMBER(VLOOKUP($C$5,'WEC data_formatted'!$A$2:$AR$14,COLUMNS($B1022:AQ1022),FALSE)), (VLOOKUP($C$5,'WEC data_formatted'!$A$2:$AR$14,COLUMNS($B1002:AQ1002),FALSE)), NA())</f>
        <v>0.19600000000000001</v>
      </c>
      <c r="AR1005" s="216">
        <f>IF(ISNUMBER(VLOOKUP($C$5,'WEC data_formatted'!$A$2:$AR$14,COLUMNS($B1022:AR1022),FALSE)), (VLOOKUP($C$5,'WEC data_formatted'!$A$2:$AR$14,COLUMNS($B1002:AR1002),FALSE)), NA())</f>
        <v>0.10800000000000001</v>
      </c>
      <c r="AS1005" s="216">
        <f>IF(ISNUMBER(VLOOKUP($C$5,'WEC data_formatted'!$A$2:$AR$14,COLUMNS($B1022:AS1022),FALSE)), (VLOOKUP($C$5,'WEC data_formatted'!$A$2:$AR$14,COLUMNS($B1002:AS1002),FALSE)), NA())</f>
        <v>0.19899999999999998</v>
      </c>
      <c r="AT1005" s="216" t="e">
        <f>IF(ISNUMBER(VLOOKUP($C$5,'WEC data_formatted'!$A$2:$AR$14,COLUMNS($B1022:AT1022),FALSE)), (VLOOKUP($C$5,'WEC data_formatted'!$A$2:$AR$14,COLUMNS($B1002:AT1002),FALSE)), NA())</f>
        <v>#N/A</v>
      </c>
      <c r="AU1005" s="216" t="e">
        <f>IF(ISNUMBER(VLOOKUP($C$5,'WEC data_formatted'!$A$2:$AR$14,COLUMNS($B1022:AU1022),FALSE)), (VLOOKUP($C$5,'WEC data_formatted'!$A$2:$AR$14,COLUMNS($B1002:AU1002),FALSE)), NA())</f>
        <v>#N/A</v>
      </c>
      <c r="AV1005" s="216" t="e">
        <f>IF(ISNUMBER(VLOOKUP($C$5,'WEC data_formatted'!$A$2:$AR$14,COLUMNS($B1022:AV1022),FALSE)), (VLOOKUP($C$5,'WEC data_formatted'!$A$2:$AR$14,COLUMNS($B1002:AV1002),FALSE)), NA())</f>
        <v>#N/A</v>
      </c>
      <c r="AW1005" s="216" t="e">
        <f>IF(ISNUMBER(VLOOKUP($C$5,'WEC data_formatted'!$A$2:$AR$14,COLUMNS($B1022:AW1022),FALSE)), (VLOOKUP($C$5,'WEC data_formatted'!$A$2:$AR$14,COLUMNS($B1002:AW1002),FALSE)), NA())</f>
        <v>#N/A</v>
      </c>
      <c r="AX1005" s="216" t="e">
        <f>IF(ISNUMBER(VLOOKUP($C$5,'WEC data_formatted'!$A$2:$AR$14,COLUMNS($B1022:AX1022),FALSE)), (VLOOKUP($C$5,'WEC data_formatted'!$A$2:$AR$14,COLUMNS($B1002:AX1002),FALSE)), NA())</f>
        <v>#N/A</v>
      </c>
      <c r="AY1005" s="216" t="e">
        <f>IF(ISNUMBER(VLOOKUP($C$5,'WEC data_formatted'!$A$2:$AR$14,COLUMNS($B1022:AY1022),FALSE)), (VLOOKUP($C$5,'WEC data_formatted'!$A$2:$AR$14,COLUMNS($B1002:AY1002),FALSE)), NA())</f>
        <v>#N/A</v>
      </c>
    </row>
    <row r="1006" spans="1:51">
      <c r="A1006" s="16" t="s">
        <v>211</v>
      </c>
      <c r="B1006" s="17"/>
      <c r="C1006" s="17"/>
      <c r="D1006" s="216">
        <f>IF(ISNUMBER(VLOOKUP($C$5,'WEC data_formatted'!$A$24:$AR$36,COLUMNS($B1022:D1022),FALSE)), (VLOOKUP($C$5,'WEC data_formatted'!$A$24:$AR$36,COLUMNS($B1003:D1003),FALSE)), NA())</f>
        <v>5.5E-2</v>
      </c>
      <c r="E1006" s="216">
        <f>IF(ISNUMBER(VLOOKUP($C$5,'WEC data_formatted'!$A$24:$AR$36,COLUMNS($B1022:E1022),FALSE)), (VLOOKUP($C$5,'WEC data_formatted'!$A$24:$AR$36,COLUMNS($B1003:E1003),FALSE)), NA())</f>
        <v>1.6E-2</v>
      </c>
      <c r="F1006" s="216">
        <f>IF(ISNUMBER(VLOOKUP($C$5,'WEC data_formatted'!$A$24:$AR$36,COLUMNS($B1022:F1022),FALSE)), (VLOOKUP($C$5,'WEC data_formatted'!$A$24:$AR$36,COLUMNS($B1003:F1003),FALSE)), NA())</f>
        <v>6.4000000000000001E-2</v>
      </c>
      <c r="G1006" s="216">
        <f>IF(ISNUMBER(VLOOKUP($C$5,'WEC data_formatted'!$A$24:$AR$36,COLUMNS($B1022:G1022),FALSE)), (VLOOKUP($C$5,'WEC data_formatted'!$A$24:$AR$36,COLUMNS($B1003:G1003),FALSE)), NA())</f>
        <v>9.4200000000000006E-2</v>
      </c>
      <c r="H1006" s="216">
        <f>IF(ISNUMBER(VLOOKUP($C$5,'WEC data_formatted'!$A$24:$AR$36,COLUMNS($B1022:H1022),FALSE)), (VLOOKUP($C$5,'WEC data_formatted'!$A$24:$AR$36,COLUMNS($B1003:H1003),FALSE)), NA())</f>
        <v>3.39E-2</v>
      </c>
      <c r="I1006" s="216">
        <f>IF(ISNUMBER(VLOOKUP($C$5,'WEC data_formatted'!$A$24:$AR$36,COLUMNS($B1022:I1022),FALSE)), (VLOOKUP($C$5,'WEC data_formatted'!$A$24:$AR$36,COLUMNS($B1003:I1003),FALSE)), NA())</f>
        <v>5.3999999999999999E-2</v>
      </c>
      <c r="J1006" s="216">
        <f>IF(ISNUMBER(VLOOKUP($C$5,'WEC data_formatted'!$A$24:$AR$36,COLUMNS($B1022:J1022),FALSE)), (VLOOKUP($C$5,'WEC data_formatted'!$A$24:$AR$36,COLUMNS($B1003:J1003),FALSE)), NA())</f>
        <v>3.2500000000000001E-2</v>
      </c>
      <c r="K1006" s="216">
        <f>IF(ISNUMBER(VLOOKUP($C$5,'WEC data_formatted'!$A$24:$AR$36,COLUMNS($B1022:K1022),FALSE)), (VLOOKUP($C$5,'WEC data_formatted'!$A$24:$AR$36,COLUMNS($B1003:K1003),FALSE)), NA())</f>
        <v>2.01E-2</v>
      </c>
      <c r="L1006" s="216">
        <f>IF(ISNUMBER(VLOOKUP($C$5,'WEC data_formatted'!$A$24:$AR$36,COLUMNS($B1022:L1022),FALSE)), (VLOOKUP($C$5,'WEC data_formatted'!$A$24:$AR$36,COLUMNS($B1003:L1003),FALSE)), NA())</f>
        <v>3.3700000000000001E-2</v>
      </c>
      <c r="M1006" s="216">
        <f>IF(ISNUMBER(VLOOKUP($C$5,'WEC data_formatted'!$A$24:$AR$36,COLUMNS($B1022:M1022),FALSE)), (VLOOKUP($C$5,'WEC data_formatted'!$A$24:$AR$36,COLUMNS($B1003:M1003),FALSE)), NA())</f>
        <v>2.5263431931853431E-2</v>
      </c>
      <c r="N1006" s="216">
        <f>IF(ISNUMBER(VLOOKUP($C$5,'WEC data_formatted'!$A$24:$AR$36,COLUMNS($B1022:N1022),FALSE)), (VLOOKUP($C$5,'WEC data_formatted'!$A$24:$AR$36,COLUMNS($B1003:N1003),FALSE)), NA())</f>
        <v>5.9316240898459105E-2</v>
      </c>
      <c r="O1006" s="216">
        <f>IF(ISNUMBER(VLOOKUP($C$5,'WEC data_formatted'!$A$24:$AR$36,COLUMNS($B1022:O1022),FALSE)), (VLOOKUP($C$5,'WEC data_formatted'!$A$24:$AR$36,COLUMNS($B1003:O1003),FALSE)), NA())</f>
        <v>4.9484513257702423E-2</v>
      </c>
      <c r="P1006" s="216">
        <f>IF(ISNUMBER(VLOOKUP($C$5,'WEC data_formatted'!$A$24:$AR$36,COLUMNS($B1022:P1022),FALSE)), (VLOOKUP($C$5,'WEC data_formatted'!$A$24:$AR$36,COLUMNS($B1003:P1003),FALSE)), NA())</f>
        <v>2.4E-2</v>
      </c>
      <c r="Q1006" s="216">
        <f>IF(ISNUMBER(VLOOKUP($C$5,'WEC data_formatted'!$A$24:$AR$36,COLUMNS($B1022:Q1022),FALSE)), (VLOOKUP($C$5,'WEC data_formatted'!$A$24:$AR$36,COLUMNS($B1003:Q1003),FALSE)), NA())</f>
        <v>5.1999999999999998E-2</v>
      </c>
      <c r="R1006" s="216">
        <f>IF(ISNUMBER(VLOOKUP($C$5,'WEC data_formatted'!$A$24:$AR$36,COLUMNS($B1022:R1022),FALSE)), (VLOOKUP($C$5,'WEC data_formatted'!$A$24:$AR$36,COLUMNS($B1003:R1003),FALSE)), NA())</f>
        <v>1.6E-2</v>
      </c>
      <c r="S1006" s="216">
        <f>IF(ISNUMBER(VLOOKUP($C$5,'WEC data_formatted'!$A$24:$AR$36,COLUMNS($B1022:S1022),FALSE)), (VLOOKUP($C$5,'WEC data_formatted'!$A$24:$AR$36,COLUMNS($B1003:S1003),FALSE)), NA())</f>
        <v>2.1999999999999999E-2</v>
      </c>
      <c r="T1006" s="216">
        <f>IF(ISNUMBER(VLOOKUP($C$5,'WEC data_formatted'!$A$24:$AR$36,COLUMNS($B1022:T1022),FALSE)), (VLOOKUP($C$5,'WEC data_formatted'!$A$24:$AR$36,COLUMNS($B1003:T1003),FALSE)), NA())</f>
        <v>5.8000000000000003E-2</v>
      </c>
      <c r="U1006" s="216">
        <f>IF(ISNUMBER(VLOOKUP($C$5,'WEC data_formatted'!$A$24:$AR$36,COLUMNS($B1022:U1022),FALSE)), (VLOOKUP($C$5,'WEC data_formatted'!$A$24:$AR$36,COLUMNS($B1003:U1003),FALSE)), NA())</f>
        <v>1.7000000000000001E-2</v>
      </c>
      <c r="V1006" s="216">
        <f>IF(ISNUMBER(VLOOKUP($C$5,'WEC data_formatted'!$A$24:$AR$36,COLUMNS($B1022:V1022),FALSE)), (VLOOKUP($C$5,'WEC data_formatted'!$A$24:$AR$36,COLUMNS($B1003:V1003),FALSE)), NA())</f>
        <v>1.1037794325835737E-2</v>
      </c>
      <c r="W1006" s="216">
        <f>IF(ISNUMBER(VLOOKUP($C$5,'WEC data_formatted'!$A$24:$AR$36,COLUMNS($B1022:W1022),FALSE)), (VLOOKUP($C$5,'WEC data_formatted'!$A$24:$AR$36,COLUMNS($B1003:W1003),FALSE)), NA())</f>
        <v>7.7095288881120494E-2</v>
      </c>
      <c r="X1006" s="216">
        <f>IF(ISNUMBER(VLOOKUP($C$5,'WEC data_formatted'!$A$24:$AR$36,COLUMNS($B1022:X1022),FALSE)), (VLOOKUP($C$5,'WEC data_formatted'!$A$24:$AR$36,COLUMNS($B1003:X1003),FALSE)), NA())</f>
        <v>0.14000000000000001</v>
      </c>
      <c r="Y1006" s="216" t="e">
        <f>IF(ISNUMBER(VLOOKUP($C$5,'WEC data_formatted'!$A$24:$AR$36,COLUMNS($B1022:Y1022),FALSE)), (VLOOKUP($C$5,'WEC data_formatted'!$A$24:$AR$36,COLUMNS($B1003:Y1003),FALSE)), NA())</f>
        <v>#N/A</v>
      </c>
      <c r="Z1006" s="216">
        <f>IF(ISNUMBER(VLOOKUP($C$5,'WEC data_formatted'!$A$24:$AR$36,COLUMNS($B1022:Z1022),FALSE)), (VLOOKUP($C$5,'WEC data_formatted'!$A$24:$AR$36,COLUMNS($B1003:Z1003),FALSE)), NA())</f>
        <v>0.14000000000000001</v>
      </c>
      <c r="AA1006" s="216">
        <f>IF(ISNUMBER(VLOOKUP($C$5,'WEC data_formatted'!$A$24:$AR$36,COLUMNS($B1022:AA1022),FALSE)), (VLOOKUP($C$5,'WEC data_formatted'!$A$24:$AR$36,COLUMNS($B1003:AA1003),FALSE)), NA())</f>
        <v>0.13</v>
      </c>
      <c r="AB1006" s="216">
        <f>IF(ISNUMBER(VLOOKUP($C$5,'WEC data_formatted'!$A$24:$AR$36,COLUMNS($B1022:AB1022),FALSE)), (VLOOKUP($C$5,'WEC data_formatted'!$A$24:$AR$36,COLUMNS($B1003:AB1003),FALSE)), NA())</f>
        <v>0.12</v>
      </c>
      <c r="AC1006" s="216">
        <f>IF(ISNUMBER(VLOOKUP($C$5,'WEC data_formatted'!$A$24:$AR$36,COLUMNS($B1022:AC1022),FALSE)), (VLOOKUP($C$5,'WEC data_formatted'!$A$24:$AR$36,COLUMNS($B1003:AC1003),FALSE)), NA())</f>
        <v>0.17299999999999999</v>
      </c>
      <c r="AD1006" s="216" t="e">
        <f>IF(ISNUMBER(VLOOKUP($C$5,'WEC data_formatted'!$A$24:$AR$36,COLUMNS($B1022:AD1022),FALSE)), (VLOOKUP($C$5,'WEC data_formatted'!$A$24:$AR$36,COLUMNS($B1003:AD1003),FALSE)), NA())</f>
        <v>#N/A</v>
      </c>
      <c r="AE1006" s="216">
        <f>IF(ISNUMBER(VLOOKUP($C$5,'WEC data_formatted'!$A$24:$AR$36,COLUMNS($B1022:AE1022),FALSE)), (VLOOKUP($C$5,'WEC data_formatted'!$A$24:$AR$36,COLUMNS($B1003:AE1003),FALSE)), NA())</f>
        <v>0.14099999999999999</v>
      </c>
      <c r="AF1006" s="216" t="e">
        <f>IF(ISNUMBER(VLOOKUP($C$5,'WEC data_formatted'!$A$24:$AR$36,COLUMNS($B1022:AF1022),FALSE)), (VLOOKUP($C$5,'WEC data_formatted'!$A$24:$AR$36,COLUMNS($B1003:AF1003),FALSE)), NA())</f>
        <v>#N/A</v>
      </c>
      <c r="AG1006" s="216">
        <f>IF(ISNUMBER(VLOOKUP($C$5,'WEC data_formatted'!$A$24:$AR$36,COLUMNS($B1022:AG1022),FALSE)), (VLOOKUP($C$5,'WEC data_formatted'!$A$24:$AR$36,COLUMNS($B1003:AG1003),FALSE)), NA())</f>
        <v>0.15</v>
      </c>
      <c r="AH1006" s="216">
        <f>IF(ISNUMBER(VLOOKUP($C$5,'WEC data_formatted'!$A$24:$AR$36,COLUMNS($B1022:AH1022),FALSE)), (VLOOKUP($C$5,'WEC data_formatted'!$A$24:$AR$36,COLUMNS($B1003:AH1003),FALSE)), NA())</f>
        <v>0.14000000000000001</v>
      </c>
      <c r="AI1006" s="216" t="e">
        <f>IF(ISNUMBER(VLOOKUP($C$5,'WEC data_formatted'!$A$24:$AR$36,COLUMNS($B1022:AI1022),FALSE)), (VLOOKUP($C$5,'WEC data_formatted'!$A$24:$AR$36,COLUMNS($B1003:AI1003),FALSE)), NA())</f>
        <v>#N/A</v>
      </c>
      <c r="AJ1006" s="216">
        <f>IF(ISNUMBER(VLOOKUP($C$5,'WEC data_formatted'!$A$24:$AR$36,COLUMNS($B1022:AJ1022),FALSE)), (VLOOKUP($C$5,'WEC data_formatted'!$A$24:$AR$36,COLUMNS($B1003:AJ1003),FALSE)), NA())</f>
        <v>0.17299999999999999</v>
      </c>
      <c r="AK1006" s="216">
        <f>IF(ISNUMBER(VLOOKUP($C$5,'WEC data_formatted'!$A$24:$AR$36,COLUMNS($B1022:AK1022),FALSE)), (VLOOKUP($C$5,'WEC data_formatted'!$A$24:$AR$36,COLUMNS($B1003:AK1003),FALSE)), NA())</f>
        <v>0.2</v>
      </c>
      <c r="AL1006" s="216">
        <f>IF(ISNUMBER(VLOOKUP($C$5,'WEC data_formatted'!$A$24:$AR$36,COLUMNS($B1022:AL1022),FALSE)), (VLOOKUP($C$5,'WEC data_formatted'!$A$24:$AR$36,COLUMNS($B1003:AL1003),FALSE)), NA())</f>
        <v>0.22</v>
      </c>
      <c r="AM1006" s="216">
        <f>IF(ISNUMBER(VLOOKUP($C$5,'WEC data_formatted'!$A$24:$AR$36,COLUMNS($B1022:AM1022),FALSE)), (VLOOKUP($C$5,'WEC data_formatted'!$A$24:$AR$36,COLUMNS($B1003:AM1003),FALSE)), NA())</f>
        <v>0.224</v>
      </c>
      <c r="AN1006" s="216">
        <f>IF(ISNUMBER(VLOOKUP($C$5,'WEC data_formatted'!$A$24:$AR$36,COLUMNS($B1022:AN1022),FALSE)), (VLOOKUP($C$5,'WEC data_formatted'!$A$24:$AR$36,COLUMNS($B1003:AN1003),FALSE)), NA())</f>
        <v>0.14000000000000001</v>
      </c>
      <c r="AO1006" s="216">
        <f>IF(ISNUMBER(VLOOKUP($C$5,'WEC data_formatted'!$A$24:$AR$36,COLUMNS($B1022:AO1022),FALSE)), (VLOOKUP($C$5,'WEC data_formatted'!$A$24:$AR$36,COLUMNS($B1003:AO1003),FALSE)), NA())</f>
        <v>0.215</v>
      </c>
      <c r="AP1006" s="216">
        <f>IF(ISNUMBER(VLOOKUP($C$5,'WEC data_formatted'!$A$24:$AR$36,COLUMNS($B1022:AP1022),FALSE)), (VLOOKUP($C$5,'WEC data_formatted'!$A$24:$AR$36,COLUMNS($B1003:AP1003),FALSE)), NA())</f>
        <v>0.21299999999999999</v>
      </c>
      <c r="AQ1006" s="216">
        <f>IF(ISNUMBER(VLOOKUP($C$5,'WEC data_formatted'!$A$24:$AR$36,COLUMNS($B1022:AQ1022),FALSE)), (VLOOKUP($C$5,'WEC data_formatted'!$A$24:$AR$36,COLUMNS($B1003:AQ1003),FALSE)), NA())</f>
        <v>0.21791695099301209</v>
      </c>
      <c r="AR1006" s="216">
        <f>IF(ISNUMBER(VLOOKUP($C$5,'WEC data_formatted'!$A$24:$AR$36,COLUMNS($B1022:AR1022),FALSE)), (VLOOKUP($C$5,'WEC data_formatted'!$A$24:$AR$36,COLUMNS($B1003:AR1003),FALSE)), NA())</f>
        <v>0.21919463066533534</v>
      </c>
      <c r="AS1006" s="216">
        <f>IF(ISNUMBER(VLOOKUP($C$5,'WEC data_formatted'!$A$24:$AR$36,COLUMNS($B1022:AS1022),FALSE)), (VLOOKUP($C$5,'WEC data_formatted'!$A$24:$AR$36,COLUMNS($B1003:AS1003),FALSE)), NA())</f>
        <v>0.23548080427325629</v>
      </c>
      <c r="AT1006" s="216" t="e">
        <f>IF(ISNUMBER(VLOOKUP($C$5,'WEC data_formatted'!$A$24:$AR$36,COLUMNS($B1022:AT1022),FALSE)), (VLOOKUP($C$5,'WEC data_formatted'!$A$24:$AR$36,COLUMNS($B1003:AT1003),FALSE)), NA())</f>
        <v>#N/A</v>
      </c>
      <c r="AU1006" s="216" t="e">
        <f>IF(ISNUMBER(VLOOKUP($C$5,'WEC data_formatted'!$A$24:$AR$36,COLUMNS($B1022:AU1022),FALSE)), (VLOOKUP($C$5,'WEC data_formatted'!$A$24:$AR$36,COLUMNS($B1003:AU1003),FALSE)), NA())</f>
        <v>#N/A</v>
      </c>
      <c r="AV1006" s="216" t="e">
        <f>IF(ISNUMBER(VLOOKUP($C$5,'WEC data_formatted'!$A$24:$AR$36,COLUMNS($B1022:AV1022),FALSE)), (VLOOKUP($C$5,'WEC data_formatted'!$A$24:$AR$36,COLUMNS($B1003:AV1003),FALSE)), NA())</f>
        <v>#N/A</v>
      </c>
      <c r="AW1006" s="216" t="e">
        <f>IF(ISNUMBER(VLOOKUP($C$5,'WEC data_formatted'!$A$24:$AR$36,COLUMNS($B1022:AW1022),FALSE)), (VLOOKUP($C$5,'WEC data_formatted'!$A$24:$AR$36,COLUMNS($B1003:AW1003),FALSE)), NA())</f>
        <v>#N/A</v>
      </c>
      <c r="AX1006" s="216" t="e">
        <f>IF(ISNUMBER(VLOOKUP($C$5,'WEC data_formatted'!$A$24:$AR$36,COLUMNS($B1022:AX1022),FALSE)), (VLOOKUP($C$5,'WEC data_formatted'!$A$24:$AR$36,COLUMNS($B1003:AX1003),FALSE)), NA())</f>
        <v>#N/A</v>
      </c>
      <c r="AY1006" s="216" t="e">
        <f>IF(ISNUMBER(VLOOKUP($C$5,'WEC data_formatted'!$A$24:$AR$36,COLUMNS($B1022:AY1022),FALSE)), (VLOOKUP($C$5,'WEC data_formatted'!$A$24:$AR$36,COLUMNS($B1003:AY1003),FALSE)), NA())</f>
        <v>#N/A</v>
      </c>
    </row>
    <row r="1007" spans="1:51">
      <c r="A1007" s="15" t="s">
        <v>218</v>
      </c>
      <c r="B1007" s="17"/>
      <c r="C1007" s="17"/>
      <c r="D1007" s="17" t="e">
        <f>HLOOKUP(D1004,'WEC data_formatted'!C1:AX15,15,FALSE)</f>
        <v>#REF!</v>
      </c>
      <c r="E1007" s="17" t="e">
        <f>HLOOKUP(E1004,'WEC data_formatted'!AS1:AY15,15,FALSE)</f>
        <v>#REF!</v>
      </c>
      <c r="F1007" s="17" t="e">
        <f>HLOOKUP(F1004,'WEC data_formatted'!AS1:AZ15,15,FALSE)</f>
        <v>#REF!</v>
      </c>
      <c r="G1007" s="17" t="e">
        <f>HLOOKUP(G1004,'WEC data_formatted'!C1:BA15,15,FALSE)</f>
        <v>#REF!</v>
      </c>
      <c r="H1007" s="17" t="e">
        <f>HLOOKUP(H1004,'WEC data_formatted'!AV1:BB15,15,FALSE)</f>
        <v>#REF!</v>
      </c>
      <c r="I1007" s="17" t="e">
        <f>HLOOKUP(I1004,'WEC data_formatted'!AV1:BC15,15,FALSE)</f>
        <v>#REF!</v>
      </c>
      <c r="J1007" s="17">
        <f>HLOOKUP(J1004,'WEC data_formatted'!C1:BD15,15,FALSE)</f>
        <v>4.8502990311759357E-2</v>
      </c>
      <c r="K1007" s="17">
        <f>HLOOKUP(K1004,'WEC data_formatted'!D1:BE15,15,FALSE)</f>
        <v>3.4574418272867911E-2</v>
      </c>
      <c r="L1007" s="17">
        <f>HLOOKUP(L1004,'WEC data_formatted'!E1:BF15,15,FALSE)</f>
        <v>4.600893328909713E-2</v>
      </c>
      <c r="M1007" s="17">
        <f>HLOOKUP(M1004,'WEC data_formatted'!F1:BG15,15,FALSE)</f>
        <v>5.9724831981893586E-2</v>
      </c>
      <c r="N1007" s="17">
        <f>HLOOKUP(N1004,'WEC data_formatted'!G1:BH15,15,FALSE)</f>
        <v>2.8960074334305582E-2</v>
      </c>
      <c r="O1007" s="17">
        <f>HLOOKUP(O1004,'WEC data_formatted'!H1:BI15,15,FALSE)</f>
        <v>3.3985123481058852E-2</v>
      </c>
      <c r="P1007" s="17">
        <f>HLOOKUP(P1004,'WEC data_formatted'!I1:BJ15,15,FALSE)</f>
        <v>3.8030310313092661E-2</v>
      </c>
      <c r="Q1007" s="17">
        <f>HLOOKUP(Q1004,'WEC data_formatted'!J1:BK15,15,FALSE)</f>
        <v>2.5916713548436353E-2</v>
      </c>
      <c r="R1007" s="17">
        <f>HLOOKUP(R1004,'WEC data_formatted'!K1:BL15,15,FALSE)</f>
        <v>3.5271514998754042E-2</v>
      </c>
      <c r="S1007" s="17">
        <f>HLOOKUP(S1004,'WEC data_formatted'!L1:BM15,15,FALSE)</f>
        <v>4.5330789579331981E-2</v>
      </c>
      <c r="T1007" s="17">
        <f>HLOOKUP(T1004,'WEC data_formatted'!M1:BN15,15,FALSE)</f>
        <v>3.1710327160945621E-2</v>
      </c>
      <c r="U1007" s="17">
        <f>HLOOKUP(U1004,'WEC data_formatted'!N1:BO15,15,FALSE)</f>
        <v>2.8976757666691055E-2</v>
      </c>
      <c r="V1007" s="17">
        <f>HLOOKUP(V1004,'WEC data_formatted'!O1:BP15,15,FALSE)</f>
        <v>2.6278972407231201E-2</v>
      </c>
      <c r="W1007" s="17">
        <f>HLOOKUP(W1004,'WEC data_formatted'!P1:BQ15,15,FALSE)</f>
        <v>5.3789832394056936E-2</v>
      </c>
      <c r="X1007" s="17">
        <f>HLOOKUP(X1004,'WEC data_formatted'!Q1:BR15,15,FALSE)</f>
        <v>3.8297302636526448E-2</v>
      </c>
      <c r="Y1007" s="17">
        <f>HLOOKUP(Y1004,'WEC data_formatted'!R1:BS15,15,FALSE)</f>
        <v>4.2445660550527363E-2</v>
      </c>
      <c r="Z1007" s="17">
        <f>HLOOKUP(Z1004,'WEC data_formatted'!S1:BT15,15,FALSE)</f>
        <v>3.6392586657829844E-2</v>
      </c>
      <c r="AA1007" s="17">
        <f>HLOOKUP(AA1004,'WEC data_formatted'!T1:BU15,15,FALSE)</f>
        <v>3.6225751138411789E-2</v>
      </c>
      <c r="AB1007" s="17">
        <f>HLOOKUP(AB1004,'WEC data_formatted'!U1:BV15,15,FALSE)</f>
        <v>3.0671651728765157E-2</v>
      </c>
      <c r="AC1007" s="17">
        <f>HLOOKUP(AC1004,'WEC data_formatted'!V1:BW15,15,FALSE)</f>
        <v>6.6726615526135027E-2</v>
      </c>
      <c r="AD1007" s="17">
        <f>HLOOKUP(AD1004,'WEC data_formatted'!W1:BX15,15,FALSE)</f>
        <v>4.3512831827643976E-2</v>
      </c>
      <c r="AE1007" s="17">
        <f>HLOOKUP(AE1004,'WEC data_formatted'!X1:BY15,15,FALSE)</f>
        <v>8.6452313319110033E-2</v>
      </c>
      <c r="AF1007" s="17">
        <f>HLOOKUP(AF1004,'WEC data_formatted'!Y1:BZ15,15,FALSE)</f>
        <v>4.8070964653315229E-2</v>
      </c>
      <c r="AG1007" s="17">
        <f>HLOOKUP(AG1004,'WEC data_formatted'!Z1:CA15,15,FALSE)</f>
        <v>3.2943844251176885E-2</v>
      </c>
      <c r="AH1007" s="17">
        <f>HLOOKUP(AH1004,'WEC data_formatted'!AA1:CB15,15,FALSE)</f>
        <v>2.5819324143774237E-2</v>
      </c>
      <c r="AI1007" s="17">
        <f>HLOOKUP(AI1004,'WEC data_formatted'!AB1:CC15,15,FALSE)</f>
        <v>2.476876201648907E-2</v>
      </c>
      <c r="AJ1007" s="17">
        <f>HLOOKUP(AJ1004,'WEC data_formatted'!AC1:CD15,15,FALSE)</f>
        <v>0</v>
      </c>
      <c r="AK1007" s="17">
        <f>HLOOKUP(AK1004,'WEC data_formatted'!AD1:CE15,15,FALSE)</f>
        <v>4.1497797145867259E-2</v>
      </c>
      <c r="AL1007" s="17">
        <f>HLOOKUP(AL1004,'WEC data_formatted'!AE1:CF15,15,FALSE)</f>
        <v>0</v>
      </c>
      <c r="AM1007" s="17">
        <f>HLOOKUP(AM1004,'WEC data_formatted'!AF1:CG15,15,FALSE)</f>
        <v>3.5024656306037058E-2</v>
      </c>
      <c r="AN1007" s="17">
        <f>HLOOKUP(AN1004,'WEC data_formatted'!AG1:CH15,15,FALSE)</f>
        <v>4.2282496513249654E-2</v>
      </c>
      <c r="AO1007" s="17">
        <f>HLOOKUP(AO1004,'WEC data_formatted'!AH1:CI15,15,FALSE)</f>
        <v>4.7297888338868339E-2</v>
      </c>
      <c r="AP1007" s="17">
        <f>HLOOKUP(AP1004,'WEC data_formatted'!AI1:CJ15,15,FALSE)</f>
        <v>5.3863997701369619E-2</v>
      </c>
      <c r="AQ1007" s="17">
        <f>HLOOKUP(AQ1004,'WEC data_formatted'!AJ1:CK15,15,FALSE)</f>
        <v>8.1330466017077982E-2</v>
      </c>
      <c r="AR1007" s="17">
        <f>HLOOKUP(AR1004,'WEC data_formatted'!AK1:CL15,15,FALSE)</f>
        <v>7.532877258874035E-2</v>
      </c>
      <c r="AS1007" s="17">
        <f>HLOOKUP(AS1004,'WEC data_formatted'!AL1:CM15,15,FALSE)</f>
        <v>0.11428452605913589</v>
      </c>
      <c r="AT1007" s="17">
        <f>HLOOKUP(AT1004,'WEC data_formatted'!AM1:CN15,15,FALSE)</f>
        <v>8.4675592214591228E-2</v>
      </c>
      <c r="AU1007" s="17">
        <f>HLOOKUP(AU1004,'WEC data_formatted'!AN1:CO15,15,FALSE)</f>
        <v>9.5578963168459152E-2</v>
      </c>
      <c r="AV1007" s="17">
        <f>HLOOKUP(AV1004,'WEC data_formatted'!AO1:CP15,15,FALSE)</f>
        <v>0.12818137489879408</v>
      </c>
      <c r="AW1007" s="17">
        <f>HLOOKUP(AW1004,'WEC data_formatted'!AP1:CQ15,15,FALSE)</f>
        <v>0.106602720422423</v>
      </c>
      <c r="AX1007" s="17">
        <f>HLOOKUP(AX1004,'WEC data_formatted'!AQ1:CR15,15,FALSE)</f>
        <v>8.4035330727023377E-2</v>
      </c>
      <c r="AY1007" s="17">
        <f>HLOOKUP(AY1004,'WEC data_formatted'!AR1:CS15,15,FALSE)</f>
        <v>8.5937901397150296E-2</v>
      </c>
    </row>
    <row r="1008" spans="1:51">
      <c r="A1008" s="11" t="s">
        <v>174</v>
      </c>
      <c r="B1008" s="87"/>
      <c r="C1008" s="87"/>
      <c r="D1008" s="17"/>
      <c r="E1008" s="17"/>
      <c r="F1008" s="17"/>
      <c r="G1008" s="17"/>
      <c r="H1008" s="17"/>
      <c r="I1008" s="17"/>
      <c r="L1008" s="17">
        <f>VLOOKUP($B$1002,'Data-temp_employment'!$B$10:$L$42,2,FALSE)/100</f>
        <v>0.13300000000000001</v>
      </c>
      <c r="M1008" s="17">
        <f>VLOOKUP($B$1002,'Data-temp_employment'!$B$10:$L$42,2,FALSE)/100</f>
        <v>0.13300000000000001</v>
      </c>
      <c r="N1008" s="17">
        <f>VLOOKUP($B$1002,'Data-temp_employment'!$B$10:$L$42,2,FALSE)/100</f>
        <v>0.13300000000000001</v>
      </c>
      <c r="O1008" s="17">
        <f>VLOOKUP($B$1002,'Data-temp_employment'!$B$10:$L$42,3,FALSE)/100</f>
        <v>0.16800000000000001</v>
      </c>
      <c r="P1008" s="17">
        <f>VLOOKUP($B$1002,'Data-temp_employment'!$B$10:$L$42,3,FALSE)/100</f>
        <v>0.16800000000000001</v>
      </c>
      <c r="Q1008" s="17">
        <f>VLOOKUP($B$1002,'Data-temp_employment'!$B$10:$L$42,3,FALSE)/100</f>
        <v>0.16800000000000001</v>
      </c>
      <c r="R1008" s="17">
        <f>VLOOKUP($B$1002,'Data-temp_employment'!$B$10:$L$42,4,FALSE)/100</f>
        <v>0.17699999999999999</v>
      </c>
      <c r="S1008" s="17">
        <f>VLOOKUP($B$1002,'Data-temp_employment'!$B$10:$L$42,4,FALSE)/100</f>
        <v>0.17699999999999999</v>
      </c>
      <c r="T1008" s="17">
        <f>VLOOKUP($B$1002,'Data-temp_employment'!$B$10:$L$42,4,FALSE)/100</f>
        <v>0.17699999999999999</v>
      </c>
      <c r="U1008" s="17">
        <f>VLOOKUP($B$1002,'Data-temp_employment'!$B$10:$L$42,5,FALSE)/100</f>
        <v>0.14400000000000002</v>
      </c>
      <c r="V1008" s="17">
        <f>VLOOKUP($B$1002,'Data-temp_employment'!$B$10:$L$42,5,FALSE)/100</f>
        <v>0.14400000000000002</v>
      </c>
      <c r="W1008" s="17">
        <f>VLOOKUP($B$1002,'Data-temp_employment'!$B$10:$L$42,5,FALSE)/100</f>
        <v>0.14400000000000002</v>
      </c>
      <c r="X1008" s="17">
        <f>VLOOKUP($B$1002,'Data-temp_employment'!$B$10:$L$42,6,FALSE)/100</f>
        <v>0.13699999999999998</v>
      </c>
      <c r="Y1008" s="17">
        <f>VLOOKUP($B$1002,'Data-temp_employment'!$B$10:$L$42,6,FALSE)/100</f>
        <v>0.13699999999999998</v>
      </c>
      <c r="Z1008" s="17">
        <f>VLOOKUP($B$1002,'Data-temp_employment'!$B$10:$L$42,6,FALSE)/100</f>
        <v>0.13699999999999998</v>
      </c>
      <c r="AA1008" s="17">
        <f>VLOOKUP($B$1002,'Data-temp_employment'!$B$10:$L$42,7,FALSE)/100</f>
        <v>0.17499999999999999</v>
      </c>
      <c r="AB1008" s="17">
        <f>VLOOKUP($B$1002,'Data-temp_employment'!$B$10:$L$42,7,FALSE)/100</f>
        <v>0.17499999999999999</v>
      </c>
      <c r="AC1008" s="17">
        <f>VLOOKUP($B$1002,'Data-temp_employment'!$B$10:$L$42,7,FALSE)/100</f>
        <v>0.17499999999999999</v>
      </c>
      <c r="AD1008" s="17">
        <f>VLOOKUP($B$1002,'Data-temp_employment'!$B$10:$L$42,8,FALSE)/100</f>
        <v>0.17199999999999999</v>
      </c>
      <c r="AE1008" s="17">
        <f>VLOOKUP($B$1002,'Data-temp_employment'!$B$10:$L$42,8,FALSE)/100</f>
        <v>0.17199999999999999</v>
      </c>
      <c r="AF1008" s="17">
        <f>VLOOKUP($B$1002,'Data-temp_employment'!$B$10:$L$42,8,FALSE)/100</f>
        <v>0.17199999999999999</v>
      </c>
      <c r="AG1008" s="17">
        <f>VLOOKUP($B$1002,'Data-temp_employment'!$B$10:$L$42,9,FALSE)/100</f>
        <v>0.14599999999999999</v>
      </c>
      <c r="AH1008" s="17">
        <f>VLOOKUP($B$1002,'Data-temp_employment'!$B$10:$L$42,9,FALSE)/100</f>
        <v>0.14599999999999999</v>
      </c>
      <c r="AI1008" s="17">
        <f>VLOOKUP($B$1002,'Data-temp_employment'!$B$10:$L$42,9,FALSE)/100</f>
        <v>0.14599999999999999</v>
      </c>
      <c r="AJ1008" s="17">
        <f>VLOOKUP($B$1002,'Data-temp_employment'!$B$10:$L$42,10,FALSE)/100</f>
        <v>0.14099999999999999</v>
      </c>
      <c r="AK1008" s="17">
        <f>VLOOKUP($B$1002,'Data-temp_employment'!$B$10:$L$42,10,FALSE)/100</f>
        <v>0.14099999999999999</v>
      </c>
      <c r="AL1008" s="17">
        <f>VLOOKUP($B$1002,'Data-temp_employment'!$B$10:$L$42,10,FALSE)/100</f>
        <v>0.14099999999999999</v>
      </c>
      <c r="AM1008" s="17">
        <f>VLOOKUP($B$1002,'Data-temp_employment'!$B$10:$L$42,11,FALSE)/100</f>
        <v>0.18</v>
      </c>
      <c r="AN1008" s="17">
        <f>VLOOKUP($B$1002,'Data-temp_employment'!$B$10:$L$42,11,FALSE)/100</f>
        <v>0.18</v>
      </c>
      <c r="AO1008" s="17">
        <f>VLOOKUP($B$1002,'Data-temp_employment'!$B$10:$L$42,11,FALSE)/100</f>
        <v>0.18</v>
      </c>
      <c r="AP1008" s="17">
        <f>VLOOKUP($B$1002,'Data-temp_employment'!$B$10:$L$42,11,FALSE)/100</f>
        <v>0.18</v>
      </c>
      <c r="AQ1008" s="17">
        <f>VLOOKUP($B$1002,'Data-temp_employment'!$B$10:$L$42,11,FALSE)/100</f>
        <v>0.18</v>
      </c>
      <c r="AR1008" s="17">
        <f>VLOOKUP($B$1002,'Data-temp_employment'!$B$10:$L$42,11,FALSE)/100</f>
        <v>0.18</v>
      </c>
      <c r="AS1008" s="17">
        <f>VLOOKUP($B$1002,'Data-temp_employment'!$B$10:$L$42,11,FALSE)/100</f>
        <v>0.18</v>
      </c>
      <c r="AT1008" s="17">
        <f>VLOOKUP($B$1002,'Data-temp_employment'!$B$10:$L$42,11,FALSE)/100</f>
        <v>0.18</v>
      </c>
      <c r="AU1008" s="17">
        <f>VLOOKUP($B$1002,'Data-temp_employment'!$B$10:$L$42,11,FALSE)/100</f>
        <v>0.18</v>
      </c>
      <c r="AV1008" s="17">
        <f>VLOOKUP($B$1002,'Data-temp_employment'!$B$10:$L$42,11,FALSE)/100</f>
        <v>0.18</v>
      </c>
      <c r="AW1008" s="17">
        <f>VLOOKUP($B$1002,'Data-temp_employment'!$B$10:$L$42,11,FALSE)/100</f>
        <v>0.18</v>
      </c>
      <c r="AX1008" s="17">
        <f>VLOOKUP($B$1002,'Data-temp_employment'!$B$10:$L$42,11,FALSE)/100</f>
        <v>0.18</v>
      </c>
      <c r="AY1008" s="17">
        <f>VLOOKUP($B$1002,'Data-temp_employment'!$B$10:$L$42,11,FALSE)/100</f>
        <v>0.18</v>
      </c>
    </row>
    <row r="1009" spans="1:51">
      <c r="A1009" s="15" t="s">
        <v>90</v>
      </c>
      <c r="B1009" s="87"/>
      <c r="L1009" s="88">
        <f>VLOOKUP($B$1002,'Data-temp_employment'!$M$10:$W$42,2,FALSE)</f>
        <v>268</v>
      </c>
      <c r="M1009" s="88">
        <f>VLOOKUP($B$1002,'Data-temp_employment'!$M$10:$W$42,2,FALSE)</f>
        <v>268</v>
      </c>
      <c r="N1009" s="88">
        <f>VLOOKUP($B$1002,'Data-temp_employment'!$M$10:$W$42,2,FALSE)</f>
        <v>268</v>
      </c>
      <c r="O1009" s="88">
        <f>VLOOKUP($B$1002,'Data-temp_employment'!$M$10:$W$42,3,FALSE)</f>
        <v>353.2</v>
      </c>
      <c r="P1009" s="88">
        <f>VLOOKUP($B$1002,'Data-temp_employment'!$M$10:$W$42,3,FALSE)</f>
        <v>353.2</v>
      </c>
      <c r="Q1009" s="88">
        <f>VLOOKUP($B$1002,'Data-temp_employment'!$M$10:$W$42,3,FALSE)</f>
        <v>353.2</v>
      </c>
      <c r="R1009" s="88">
        <f>VLOOKUP($B$1002,'Data-temp_employment'!$M$10:$W$42,4,FALSE)</f>
        <v>374.1</v>
      </c>
      <c r="S1009" s="88">
        <f>VLOOKUP($B$1002,'Data-temp_employment'!$M$10:$W$42,4,FALSE)</f>
        <v>374.1</v>
      </c>
      <c r="T1009" s="88">
        <f>VLOOKUP($B$1002,'Data-temp_employment'!$M$10:$W$42,4,FALSE)</f>
        <v>374.1</v>
      </c>
      <c r="U1009" s="88">
        <f>VLOOKUP($B$1002,'Data-temp_employment'!$M$10:$W$42,5,FALSE)</f>
        <v>296.3</v>
      </c>
      <c r="V1009" s="88">
        <f>VLOOKUP($B$1002,'Data-temp_employment'!$M$10:$W$42,5,FALSE)</f>
        <v>296.3</v>
      </c>
      <c r="W1009" s="88">
        <f>VLOOKUP($B$1002,'Data-temp_employment'!$M$10:$W$42,5,FALSE)</f>
        <v>296.3</v>
      </c>
      <c r="X1009" s="88">
        <f>VLOOKUP($B$1002,'Data-temp_employment'!$M$10:$W$42,6,FALSE)</f>
        <v>281.3</v>
      </c>
      <c r="Y1009" s="88">
        <f>VLOOKUP($B$1002,'Data-temp_employment'!$M$10:$W$42,6,FALSE)</f>
        <v>281.3</v>
      </c>
      <c r="Z1009" s="88">
        <f>VLOOKUP($B$1002,'Data-temp_employment'!$M$10:$W$42,6,FALSE)</f>
        <v>281.3</v>
      </c>
      <c r="AA1009" s="88">
        <f>VLOOKUP($B$1002,'Data-temp_employment'!$M$10:$W$42,7,FALSE)</f>
        <v>372.9</v>
      </c>
      <c r="AB1009" s="88">
        <f>VLOOKUP($B$1002,'Data-temp_employment'!$M$10:$W$42,7,FALSE)</f>
        <v>372.9</v>
      </c>
      <c r="AC1009" s="88">
        <f>VLOOKUP($B$1002,'Data-temp_employment'!$M$10:$W$42,7,FALSE)</f>
        <v>372.9</v>
      </c>
      <c r="AD1009" s="88">
        <f>VLOOKUP($B$1002,'Data-temp_employment'!$M$10:$W$42,8,FALSE)</f>
        <v>369.3</v>
      </c>
      <c r="AE1009" s="88">
        <f>VLOOKUP($B$1002,'Data-temp_employment'!$M$10:$W$42,8,FALSE)</f>
        <v>369.3</v>
      </c>
      <c r="AF1009" s="88">
        <f>VLOOKUP($B$1002,'Data-temp_employment'!$M$10:$W$42,8,FALSE)</f>
        <v>369.3</v>
      </c>
      <c r="AG1009" s="88">
        <f>VLOOKUP($B$1002,'Data-temp_employment'!$M$10:$W$42,9,FALSE)</f>
        <v>312.7</v>
      </c>
      <c r="AH1009" s="88">
        <f>VLOOKUP($B$1002,'Data-temp_employment'!$M$10:$W$42,9,FALSE)</f>
        <v>312.7</v>
      </c>
      <c r="AI1009" s="88">
        <f>VLOOKUP($B$1002,'Data-temp_employment'!$M$10:$W$42,9,FALSE)</f>
        <v>312.7</v>
      </c>
      <c r="AJ1009" s="88">
        <f>VLOOKUP($B$1002,'Data-temp_employment'!$M$10:$W$42,10,FALSE)</f>
        <v>297.60000000000002</v>
      </c>
      <c r="AK1009" s="88">
        <f>VLOOKUP($B$1002,'Data-temp_employment'!$M$10:$W$42,10,FALSE)</f>
        <v>297.60000000000002</v>
      </c>
      <c r="AL1009" s="88">
        <f>VLOOKUP($B$1002,'Data-temp_employment'!$M$10:$W$42,10,FALSE)</f>
        <v>297.60000000000002</v>
      </c>
      <c r="AM1009" s="88">
        <f>VLOOKUP($B$1002,'Data-temp_employment'!$M$10:$W$42,11,FALSE)</f>
        <v>396.7</v>
      </c>
      <c r="AN1009" s="88">
        <f>VLOOKUP($B$1002,'Data-temp_employment'!$M$10:$W$42,11,FALSE)</f>
        <v>396.7</v>
      </c>
      <c r="AO1009" s="88">
        <f>VLOOKUP($B$1002,'Data-temp_employment'!$M$10:$W$42,11,FALSE)</f>
        <v>396.7</v>
      </c>
      <c r="AP1009" s="88">
        <f>VLOOKUP($B$1002,'Data-temp_employment'!$M$10:$W$42,11,FALSE)</f>
        <v>396.7</v>
      </c>
      <c r="AQ1009" s="88">
        <f>VLOOKUP($B$1002,'Data-temp_employment'!$M$10:$W$42,11,FALSE)</f>
        <v>396.7</v>
      </c>
      <c r="AR1009" s="88">
        <f>VLOOKUP($B$1002,'Data-temp_employment'!$M$10:$W$42,11,FALSE)</f>
        <v>396.7</v>
      </c>
      <c r="AS1009" s="88">
        <f>VLOOKUP($B$1002,'Data-temp_employment'!$M$10:$W$42,11,FALSE)</f>
        <v>396.7</v>
      </c>
      <c r="AT1009" s="88">
        <f>VLOOKUP($B$1002,'Data-temp_employment'!$M$10:$W$42,11,FALSE)</f>
        <v>396.7</v>
      </c>
      <c r="AU1009" s="88">
        <f>VLOOKUP($B$1002,'Data-temp_employment'!$M$10:$W$42,11,FALSE)</f>
        <v>396.7</v>
      </c>
      <c r="AV1009" s="88">
        <f>VLOOKUP($B$1002,'Data-temp_employment'!$M$10:$W$42,11,FALSE)</f>
        <v>396.7</v>
      </c>
      <c r="AW1009" s="88">
        <f>VLOOKUP($B$1002,'Data-temp_employment'!$M$10:$W$42,11,FALSE)</f>
        <v>396.7</v>
      </c>
      <c r="AX1009" s="88">
        <f>VLOOKUP($B$1002,'Data-temp_employment'!$M$10:$W$42,11,FALSE)</f>
        <v>396.7</v>
      </c>
      <c r="AY1009" s="88">
        <f>VLOOKUP($B$1002,'Data-temp_employment'!$M$10:$W$42,11,FALSE)</f>
        <v>396.7</v>
      </c>
    </row>
    <row r="1010" spans="1:51">
      <c r="A1010" s="15" t="s">
        <v>154</v>
      </c>
      <c r="B1010" s="87"/>
      <c r="J1010" s="88" t="e">
        <f>HLOOKUP(E$1003,'Data-total_employment'!$B$3:$L$42,(MATCH($B$1002,'Data-total_employment'!$B$3:$B$42,0)),FALSE)</f>
        <v>#REF!</v>
      </c>
      <c r="K1010" s="88" t="e">
        <f>HLOOKUP(F$1003,'Data-total_employment'!$B$3:$L$42,(MATCH($B$1002,'Data-total_employment'!$B$3:$B$42,0)),FALSE)</f>
        <v>#REF!</v>
      </c>
      <c r="L1010" s="88" t="e">
        <f>HLOOKUP(G$1003,'Data-total_employment'!$B$3:$L$42,(MATCH($B$1002,'Data-total_employment'!$B$3:$B$42,0)),FALSE)</f>
        <v>#REF!</v>
      </c>
      <c r="M1010" s="88" t="e">
        <f>HLOOKUP(H$1003,'Data-total_employment'!$B$3:$L$42,(MATCH($B$1002,'Data-total_employment'!$B$3:$B$42,0)),FALSE)</f>
        <v>#REF!</v>
      </c>
      <c r="N1010" s="88" t="e">
        <f>HLOOKUP(I$1003,'Data-total_employment'!$B$3:$L$42,(MATCH($B$1002,'Data-total_employment'!$B$3:$B$42,0)),FALSE)</f>
        <v>#REF!</v>
      </c>
      <c r="O1010" s="88" t="e">
        <f>HLOOKUP(J$1003,'Data-total_employment'!$B$3:$L$42,(MATCH($B$1002,'Data-total_employment'!$B$3:$B$42,0)),FALSE)</f>
        <v>#N/A</v>
      </c>
      <c r="P1010" s="88" t="e">
        <f>HLOOKUP(K$1003,'Data-total_employment'!$B$3:$L$42,(MATCH($B$1002,'Data-total_employment'!$B$3:$B$42,0)),FALSE)</f>
        <v>#N/A</v>
      </c>
      <c r="Q1010" s="88" t="e">
        <f>HLOOKUP(L$1003,'Data-total_employment'!$B$3:$L$42,(MATCH($B$1002,'Data-total_employment'!$B$3:$B$42,0)),FALSE)</f>
        <v>#N/A</v>
      </c>
      <c r="R1010" s="88" t="e">
        <f>HLOOKUP(M$1003,'Data-total_employment'!$B$3:$L$42,(MATCH($B$1002,'Data-total_employment'!$B$3:$B$42,0)),FALSE)</f>
        <v>#N/A</v>
      </c>
      <c r="S1010" s="88" t="e">
        <f>HLOOKUP(N$1003,'Data-total_employment'!$B$3:$L$42,(MATCH($B$1002,'Data-total_employment'!$B$3:$B$42,0)),FALSE)</f>
        <v>#N/A</v>
      </c>
      <c r="T1010" s="88" t="e">
        <f>HLOOKUP(O$1003,'Data-total_employment'!$B$3:$L$42,(MATCH($B$1002,'Data-total_employment'!$B$3:$B$42,0)),FALSE)</f>
        <v>#N/A</v>
      </c>
      <c r="U1010" s="88" t="e">
        <f>HLOOKUP(P$1003,'Data-total_employment'!$B$3:$L$42,(MATCH($B$1002,'Data-total_employment'!$B$3:$B$42,0)),FALSE)</f>
        <v>#N/A</v>
      </c>
      <c r="V1010" s="88" t="e">
        <f>HLOOKUP(Q$1003,'Data-total_employment'!$B$3:$L$42,(MATCH($B$1002,'Data-total_employment'!$B$3:$B$42,0)),FALSE)</f>
        <v>#N/A</v>
      </c>
      <c r="W1010" s="88" t="e">
        <f>HLOOKUP(R$1003,'Data-total_employment'!$B$3:$L$42,(MATCH($B$1002,'Data-total_employment'!$B$3:$B$42,0)),FALSE)</f>
        <v>#N/A</v>
      </c>
      <c r="X1010" s="88" t="e">
        <f>HLOOKUP(S$1003,'Data-total_employment'!$B$3:$L$42,(MATCH($B$1002,'Data-total_employment'!$B$3:$B$42,0)),FALSE)</f>
        <v>#N/A</v>
      </c>
      <c r="Y1010" s="88" t="e">
        <f>HLOOKUP(T$1003,'Data-total_employment'!$B$3:$L$42,(MATCH($B$1002,'Data-total_employment'!$B$3:$B$42,0)),FALSE)</f>
        <v>#N/A</v>
      </c>
      <c r="Z1010" s="88" t="e">
        <f>HLOOKUP(U$1003,'Data-total_employment'!$B$3:$L$42,(MATCH($B$1002,'Data-total_employment'!$B$3:$B$42,0)),FALSE)</f>
        <v>#N/A</v>
      </c>
      <c r="AA1010" s="88" t="e">
        <f>HLOOKUP(V$1003,'Data-total_employment'!$B$3:$L$42,(MATCH($B$1002,'Data-total_employment'!$B$3:$B$42,0)),FALSE)</f>
        <v>#N/A</v>
      </c>
      <c r="AB1010" s="88" t="e">
        <f>HLOOKUP(W$1003,'Data-total_employment'!$B$3:$L$42,(MATCH($B$1002,'Data-total_employment'!$B$3:$B$42,0)),FALSE)</f>
        <v>#N/A</v>
      </c>
      <c r="AC1010" s="88" t="e">
        <f>HLOOKUP(X$1003,'Data-total_employment'!$B$3:$L$42,(MATCH($B$1002,'Data-total_employment'!$B$3:$B$42,0)),FALSE)</f>
        <v>#N/A</v>
      </c>
      <c r="AD1010" s="88" t="e">
        <f>HLOOKUP(Y$1003,'Data-total_employment'!$B$3:$L$42,(MATCH($B$1002,'Data-total_employment'!$B$3:$B$42,0)),FALSE)</f>
        <v>#N/A</v>
      </c>
      <c r="AE1010" s="88" t="e">
        <f>HLOOKUP(Z$1003,'Data-total_employment'!$B$3:$L$42,(MATCH($B$1002,'Data-total_employment'!$B$3:$B$42,0)),FALSE)</f>
        <v>#N/A</v>
      </c>
      <c r="AF1010" s="88" t="e">
        <f>HLOOKUP(AA$1003,'Data-total_employment'!$B$3:$L$42,(MATCH($B$1002,'Data-total_employment'!$B$3:$B$42,0)),FALSE)</f>
        <v>#N/A</v>
      </c>
      <c r="AG1010" s="88" t="e">
        <f>HLOOKUP(AB$1003,'Data-total_employment'!$B$3:$L$42,(MATCH($B$1002,'Data-total_employment'!$B$3:$B$42,0)),FALSE)</f>
        <v>#N/A</v>
      </c>
      <c r="AH1010" s="88" t="e">
        <f>HLOOKUP(AC$1003,'Data-total_employment'!$B$3:$L$42,(MATCH($B$1002,'Data-total_employment'!$B$3:$B$42,0)),FALSE)</f>
        <v>#N/A</v>
      </c>
      <c r="AI1010" s="88" t="e">
        <f>HLOOKUP(AD$1003,'Data-total_employment'!$B$3:$L$42,(MATCH($B$1002,'Data-total_employment'!$B$3:$B$42,0)),FALSE)</f>
        <v>#N/A</v>
      </c>
      <c r="AJ1010" s="88">
        <f>HLOOKUP(AE$1003,'Data-total_employment'!$B$3:$L$42,(MATCH($B$1002,'Data-total_employment'!$B$3:$B$42,0)),FALSE)</f>
        <v>2327.9</v>
      </c>
      <c r="AK1010" s="88">
        <f>HLOOKUP(AF$1003,'Data-total_employment'!$B$3:$L$42,(MATCH($B$1002,'Data-total_employment'!$B$3:$B$42,0)),FALSE)</f>
        <v>2327.9</v>
      </c>
      <c r="AL1010" s="88">
        <f>HLOOKUP(AG$1003,'Data-total_employment'!$B$3:$L$42,(MATCH($B$1002,'Data-total_employment'!$B$3:$B$42,0)),FALSE)</f>
        <v>2327.9</v>
      </c>
      <c r="AM1010" s="88">
        <f>HLOOKUP(AH$1003,'Data-total_employment'!$B$3:$L$42,(MATCH($B$1002,'Data-total_employment'!$B$3:$B$42,0)),FALSE)</f>
        <v>2407.8000000000002</v>
      </c>
      <c r="AN1010" s="88">
        <f>HLOOKUP(AI$1003,'Data-total_employment'!$B$3:$L$42,(MATCH($B$1002,'Data-total_employment'!$B$3:$B$42,0)),FALSE)</f>
        <v>2407.8000000000002</v>
      </c>
      <c r="AO1010" s="88">
        <f>HLOOKUP(AJ$1003,'Data-total_employment'!$B$3:$L$42,(MATCH($B$1002,'Data-total_employment'!$B$3:$B$42,0)),FALSE)</f>
        <v>2407.8000000000002</v>
      </c>
      <c r="AP1010" s="88">
        <f>HLOOKUP(AK$1003,'Data-total_employment'!$B$3:$L$42,(MATCH($B$1002,'Data-total_employment'!$B$3:$B$42,0)),FALSE)</f>
        <v>2425.5</v>
      </c>
      <c r="AQ1010" s="88">
        <f>HLOOKUP(AL$1003,'Data-total_employment'!$B$3:$L$42,(MATCH($B$1002,'Data-total_employment'!$B$3:$B$42,0)),FALSE)</f>
        <v>2425.5</v>
      </c>
      <c r="AR1010" s="88">
        <f>HLOOKUP(AM$1003,'Data-total_employment'!$B$3:$L$42,(MATCH($B$1002,'Data-total_employment'!$B$3:$B$42,0)),FALSE)</f>
        <v>2425.5</v>
      </c>
      <c r="AS1010" s="88">
        <f>HLOOKUP(AN$1003,'Data-total_employment'!$B$3:$L$42,(MATCH($B$1002,'Data-total_employment'!$B$3:$B$42,0)),FALSE)</f>
        <v>2356.9</v>
      </c>
      <c r="AT1010" s="88">
        <f>HLOOKUP(AO$1003,'Data-total_employment'!$B$3:$L$42,(MATCH($B$1002,'Data-total_employment'!$B$3:$B$42,0)),FALSE)</f>
        <v>2356.9</v>
      </c>
      <c r="AU1010" s="88">
        <f>HLOOKUP(AP$1003,'Data-total_employment'!$B$3:$L$42,(MATCH($B$1002,'Data-total_employment'!$B$3:$B$42,0)),FALSE)</f>
        <v>2356.9</v>
      </c>
      <c r="AV1010" s="88">
        <f>HLOOKUP(AQ$1003,'Data-total_employment'!$B$3:$L$42,(MATCH($B$1002,'Data-total_employment'!$B$3:$B$42,0)),FALSE)</f>
        <v>2340.3000000000002</v>
      </c>
      <c r="AW1010" s="88">
        <f>HLOOKUP(AR$1003,'Data-total_employment'!$B$3:$L$42,(MATCH($B$1002,'Data-total_employment'!$B$3:$B$42,0)),FALSE)</f>
        <v>2340.3000000000002</v>
      </c>
      <c r="AX1010" s="88">
        <f>HLOOKUP(AS$1003,'Data-total_employment'!$B$3:$L$42,(MATCH($B$1002,'Data-total_employment'!$B$3:$B$42,0)),FALSE)</f>
        <v>2340.3000000000002</v>
      </c>
      <c r="AY1010" s="88">
        <f>HLOOKUP(AT$1003,'Data-total_employment'!$B$3:$L$42,(MATCH($B$1002,'Data-total_employment'!$B$3:$B$42,0)),FALSE)</f>
        <v>2423.5</v>
      </c>
    </row>
    <row r="1011" spans="1:51">
      <c r="A1011" s="15" t="s">
        <v>173</v>
      </c>
      <c r="B1011" s="87"/>
      <c r="J1011" s="88" t="e">
        <v>#N/A</v>
      </c>
      <c r="K1011" s="88" t="e">
        <v>#N/A</v>
      </c>
      <c r="L1011" s="88" t="e">
        <v>#N/A</v>
      </c>
      <c r="M1011" s="88" t="e">
        <v>#N/A</v>
      </c>
      <c r="N1011" s="88" t="e">
        <v>#N/A</v>
      </c>
      <c r="O1011" s="88" t="e">
        <v>#N/A</v>
      </c>
      <c r="P1011" s="88" t="e">
        <v>#N/A</v>
      </c>
      <c r="Q1011" s="88" t="e">
        <v>#N/A</v>
      </c>
      <c r="R1011" s="88" t="e">
        <v>#N/A</v>
      </c>
      <c r="S1011" s="88" t="e">
        <v>#N/A</v>
      </c>
      <c r="T1011" s="88" t="e">
        <v>#N/A</v>
      </c>
      <c r="U1011" s="88" t="e">
        <v>#N/A</v>
      </c>
      <c r="V1011" s="17" t="e">
        <f>V1010/J1010-1</f>
        <v>#N/A</v>
      </c>
      <c r="W1011" s="17" t="e">
        <f t="shared" ref="W1011:X1011" si="8">W1010/K1010-1</f>
        <v>#N/A</v>
      </c>
      <c r="X1011" s="17" t="e">
        <f t="shared" si="8"/>
        <v>#N/A</v>
      </c>
      <c r="Y1011" s="17" t="e">
        <f t="shared" ref="Y1011" si="9">Y1010/M1010-1</f>
        <v>#N/A</v>
      </c>
      <c r="Z1011" s="17" t="e">
        <f t="shared" ref="Z1011" si="10">Z1010/N1010-1</f>
        <v>#N/A</v>
      </c>
      <c r="AA1011" s="17" t="e">
        <f t="shared" ref="AA1011" si="11">AA1010/O1010-1</f>
        <v>#N/A</v>
      </c>
      <c r="AB1011" s="17" t="e">
        <f t="shared" ref="AB1011" si="12">AB1010/P1010-1</f>
        <v>#N/A</v>
      </c>
      <c r="AC1011" s="17" t="e">
        <f t="shared" ref="AC1011" si="13">AC1010/Q1010-1</f>
        <v>#N/A</v>
      </c>
      <c r="AD1011" s="17" t="e">
        <f t="shared" ref="AD1011" si="14">AD1010/R1010-1</f>
        <v>#N/A</v>
      </c>
      <c r="AE1011" s="17" t="e">
        <f t="shared" ref="AE1011" si="15">AE1010/S1010-1</f>
        <v>#N/A</v>
      </c>
      <c r="AF1011" s="17" t="e">
        <f t="shared" ref="AF1011" si="16">AF1010/T1010-1</f>
        <v>#N/A</v>
      </c>
      <c r="AG1011" s="17" t="e">
        <f t="shared" ref="AG1011" si="17">AG1010/U1010-1</f>
        <v>#N/A</v>
      </c>
      <c r="AH1011" s="17" t="e">
        <f t="shared" ref="AH1011" si="18">AH1010/V1010-1</f>
        <v>#N/A</v>
      </c>
      <c r="AI1011" s="17" t="e">
        <f t="shared" ref="AI1011" si="19">AI1010/W1010-1</f>
        <v>#N/A</v>
      </c>
      <c r="AJ1011" s="17" t="e">
        <f t="shared" ref="AJ1011" si="20">AJ1010/X1010-1</f>
        <v>#N/A</v>
      </c>
      <c r="AK1011" s="17" t="e">
        <f t="shared" ref="AK1011" si="21">AK1010/Y1010-1</f>
        <v>#N/A</v>
      </c>
      <c r="AL1011" s="17" t="e">
        <f t="shared" ref="AL1011" si="22">AL1010/Z1010-1</f>
        <v>#N/A</v>
      </c>
      <c r="AM1011" s="17" t="e">
        <f t="shared" ref="AM1011" si="23">AM1010/AA1010-1</f>
        <v>#N/A</v>
      </c>
      <c r="AN1011" s="17" t="e">
        <f t="shared" ref="AN1011" si="24">AN1010/AB1010-1</f>
        <v>#N/A</v>
      </c>
      <c r="AO1011" s="17" t="e">
        <f t="shared" ref="AO1011" si="25">AO1010/AC1010-1</f>
        <v>#N/A</v>
      </c>
      <c r="AP1011" s="17" t="e">
        <f t="shared" ref="AP1011" si="26">AP1010/AD1010-1</f>
        <v>#N/A</v>
      </c>
      <c r="AQ1011" s="17" t="e">
        <f t="shared" ref="AQ1011" si="27">AQ1010/AE1010-1</f>
        <v>#N/A</v>
      </c>
      <c r="AR1011" s="17" t="e">
        <f t="shared" ref="AR1011" si="28">AR1010/AF1010-1</f>
        <v>#N/A</v>
      </c>
      <c r="AS1011" s="17" t="e">
        <f t="shared" ref="AS1011" si="29">AS1010/AG1010-1</f>
        <v>#N/A</v>
      </c>
      <c r="AT1011" s="17" t="e">
        <f t="shared" ref="AT1011" si="30">AT1010/AH1010-1</f>
        <v>#N/A</v>
      </c>
      <c r="AU1011" s="17" t="e">
        <f t="shared" ref="AU1011" si="31">AU1010/AI1010-1</f>
        <v>#N/A</v>
      </c>
      <c r="AV1011" s="17">
        <f t="shared" ref="AV1011" si="32">AV1010/AJ1010-1</f>
        <v>5.3266892907770647E-3</v>
      </c>
      <c r="AW1011" s="17">
        <f t="shared" ref="AW1011" si="33">AW1010/AK1010-1</f>
        <v>5.3266892907770647E-3</v>
      </c>
      <c r="AX1011" s="17">
        <f t="shared" ref="AX1011" si="34">AX1010/AL1010-1</f>
        <v>5.3266892907770647E-3</v>
      </c>
      <c r="AY1011" s="17">
        <f t="shared" ref="AY1011" si="35">AY1010/AM1010-1</f>
        <v>6.5204751225182989E-3</v>
      </c>
    </row>
    <row r="1012" spans="1:51">
      <c r="A1012" s="15" t="s">
        <v>339</v>
      </c>
      <c r="B1012" s="87"/>
      <c r="J1012" s="88" t="e">
        <v>#N/A</v>
      </c>
      <c r="K1012" s="88" t="e">
        <v>#N/A</v>
      </c>
      <c r="L1012" s="88" t="e">
        <v>#N/A</v>
      </c>
      <c r="M1012" s="88" t="e">
        <v>#N/A</v>
      </c>
      <c r="N1012" s="88" t="e">
        <v>#N/A</v>
      </c>
      <c r="O1012" s="88" t="e">
        <v>#N/A</v>
      </c>
      <c r="P1012" s="88" t="e">
        <v>#N/A</v>
      </c>
      <c r="Q1012" s="88" t="e">
        <v>#N/A</v>
      </c>
      <c r="R1012" s="88" t="e">
        <v>#N/A</v>
      </c>
      <c r="S1012" s="88" t="e">
        <v>#N/A</v>
      </c>
      <c r="T1012" s="88" t="e">
        <v>#N/A</v>
      </c>
      <c r="U1012" s="88" t="e">
        <v>#N/A</v>
      </c>
      <c r="V1012" s="88" t="e">
        <v>#N/A</v>
      </c>
      <c r="W1012" s="88" t="e">
        <v>#N/A</v>
      </c>
      <c r="X1012" s="17">
        <f>X1009/L1009-1</f>
        <v>4.9626865671641873E-2</v>
      </c>
      <c r="Y1012" s="17">
        <f t="shared" ref="Y1012:AO1012" si="36">Y1009/M1009-1</f>
        <v>4.9626865671641873E-2</v>
      </c>
      <c r="Z1012" s="17">
        <f t="shared" si="36"/>
        <v>4.9626865671641873E-2</v>
      </c>
      <c r="AA1012" s="17">
        <f t="shared" si="36"/>
        <v>5.5775764439411013E-2</v>
      </c>
      <c r="AB1012" s="17">
        <f t="shared" si="36"/>
        <v>5.5775764439411013E-2</v>
      </c>
      <c r="AC1012" s="17">
        <f t="shared" si="36"/>
        <v>5.5775764439411013E-2</v>
      </c>
      <c r="AD1012" s="17">
        <f t="shared" si="36"/>
        <v>-1.2830793905372895E-2</v>
      </c>
      <c r="AE1012" s="17">
        <f t="shared" si="36"/>
        <v>-1.2830793905372895E-2</v>
      </c>
      <c r="AF1012" s="17">
        <f t="shared" si="36"/>
        <v>-1.2830793905372895E-2</v>
      </c>
      <c r="AG1012" s="17">
        <f t="shared" si="36"/>
        <v>5.5349308133648245E-2</v>
      </c>
      <c r="AH1012" s="17">
        <f t="shared" si="36"/>
        <v>5.5349308133648245E-2</v>
      </c>
      <c r="AI1012" s="17">
        <f t="shared" si="36"/>
        <v>5.5349308133648245E-2</v>
      </c>
      <c r="AJ1012" s="17">
        <f t="shared" si="36"/>
        <v>5.7945254177035332E-2</v>
      </c>
      <c r="AK1012" s="17">
        <f t="shared" si="36"/>
        <v>5.7945254177035332E-2</v>
      </c>
      <c r="AL1012" s="17">
        <f t="shared" si="36"/>
        <v>5.7945254177035332E-2</v>
      </c>
      <c r="AM1012" s="17">
        <f t="shared" si="36"/>
        <v>6.3824081523196519E-2</v>
      </c>
      <c r="AN1012" s="17">
        <f t="shared" si="36"/>
        <v>6.3824081523196519E-2</v>
      </c>
      <c r="AO1012" s="17">
        <f t="shared" si="36"/>
        <v>6.3824081523196519E-2</v>
      </c>
      <c r="AP1012" s="17">
        <f t="shared" ref="AP1012" si="37">AP1009/AD1009-1</f>
        <v>7.4194421879230976E-2</v>
      </c>
      <c r="AQ1012" s="17">
        <f t="shared" ref="AQ1012" si="38">AQ1009/AE1009-1</f>
        <v>7.4194421879230976E-2</v>
      </c>
      <c r="AR1012" s="17">
        <f t="shared" ref="AR1012" si="39">AR1009/AF1009-1</f>
        <v>7.4194421879230976E-2</v>
      </c>
      <c r="AS1012" s="17">
        <f t="shared" ref="AS1012" si="40">AS1009/AG1009-1</f>
        <v>0.26862807803006072</v>
      </c>
      <c r="AT1012" s="17">
        <f t="shared" ref="AT1012" si="41">AT1009/AH1009-1</f>
        <v>0.26862807803006072</v>
      </c>
      <c r="AU1012" s="17">
        <f t="shared" ref="AU1012" si="42">AU1009/AI1009-1</f>
        <v>0.26862807803006072</v>
      </c>
      <c r="AV1012" s="17">
        <f t="shared" ref="AV1012" si="43">AV1009/AJ1009-1</f>
        <v>0.33299731182795678</v>
      </c>
      <c r="AW1012" s="17">
        <f t="shared" ref="AW1012" si="44">AW1009/AK1009-1</f>
        <v>0.33299731182795678</v>
      </c>
      <c r="AX1012" s="17">
        <f t="shared" ref="AX1012" si="45">AX1009/AL1009-1</f>
        <v>0.33299731182795678</v>
      </c>
      <c r="AY1012" s="17">
        <f t="shared" ref="AY1012" si="46">AY1009/AM1009-1</f>
        <v>0</v>
      </c>
    </row>
    <row r="1013" spans="1:51">
      <c r="A1013" s="16" t="s">
        <v>341</v>
      </c>
      <c r="B1013" s="87"/>
      <c r="J1013" s="17" t="e">
        <f>HLOOKUP(E$1003,'Data-temp_employment'!$OS$3:$PC$41,(MATCH($B$1002,'Data-temp_employment'!$B$3:$B$42,0)),FALSE)/100</f>
        <v>#REF!</v>
      </c>
      <c r="K1013" s="17" t="e">
        <f>HLOOKUP(F$1003,'Data-temp_employment'!$OS$3:$PC$41,(MATCH($B$1002,'Data-temp_employment'!$B$3:$B$42,0)),FALSE)/100</f>
        <v>#REF!</v>
      </c>
      <c r="L1013" s="17" t="e">
        <f>HLOOKUP(G$1003,'Data-temp_employment'!$OS$3:$PC$41,(MATCH($B$1002,'Data-temp_employment'!$B$3:$B$42,0)),FALSE)/100</f>
        <v>#REF!</v>
      </c>
      <c r="M1013" s="17" t="e">
        <f>HLOOKUP(H$1003,'Data-temp_employment'!$OS$3:$PC$41,(MATCH($B$1002,'Data-temp_employment'!$B$3:$B$42,0)),FALSE)/100</f>
        <v>#REF!</v>
      </c>
      <c r="N1013" s="17" t="e">
        <f>HLOOKUP(I$1003,'Data-temp_employment'!$OS$3:$PC$41,(MATCH($B$1002,'Data-temp_employment'!$B$3:$B$42,0)),FALSE)/100</f>
        <v>#REF!</v>
      </c>
      <c r="O1013" s="17" t="e">
        <f>HLOOKUP(J$1003,'Data-temp_employment'!$OS$3:$PC$41,(MATCH($B$1002,'Data-temp_employment'!$B$3:$B$42,0)),FALSE)/100</f>
        <v>#N/A</v>
      </c>
      <c r="P1013" s="17" t="e">
        <f>HLOOKUP(K$1003,'Data-temp_employment'!$OS$3:$PC$41,(MATCH($B$1002,'Data-temp_employment'!$B$3:$B$42,0)),FALSE)/100</f>
        <v>#N/A</v>
      </c>
      <c r="Q1013" s="17" t="e">
        <f>HLOOKUP(L$1003,'Data-temp_employment'!$OS$3:$PC$41,(MATCH($B$1002,'Data-temp_employment'!$B$3:$B$42,0)),FALSE)/100</f>
        <v>#N/A</v>
      </c>
      <c r="R1013" s="17" t="e">
        <f>HLOOKUP(M$1003,'Data-temp_employment'!$OS$3:$PC$41,(MATCH($B$1002,'Data-temp_employment'!$B$3:$B$42,0)),FALSE)/100</f>
        <v>#N/A</v>
      </c>
      <c r="S1013" s="17" t="e">
        <f>HLOOKUP(N$1003,'Data-temp_employment'!$OS$3:$PC$41,(MATCH($B$1002,'Data-temp_employment'!$B$3:$B$42,0)),FALSE)/100</f>
        <v>#N/A</v>
      </c>
      <c r="T1013" s="17" t="e">
        <f>HLOOKUP(O$1003,'Data-temp_employment'!$OS$3:$PC$41,(MATCH($B$1002,'Data-temp_employment'!$B$3:$B$42,0)),FALSE)/100</f>
        <v>#N/A</v>
      </c>
      <c r="U1013" s="17" t="e">
        <f>HLOOKUP(P$1003,'Data-temp_employment'!$OS$3:$PC$41,(MATCH($B$1002,'Data-temp_employment'!$B$3:$B$42,0)),FALSE)/100</f>
        <v>#N/A</v>
      </c>
      <c r="V1013" s="284" t="e">
        <f>HLOOKUP(Q$1003,'Data-temp_employment'!$OS$3:$PC$41,(MATCH($B$1002,'Data-temp_employment'!$B$3:$B$42,0)),FALSE)/100</f>
        <v>#N/A</v>
      </c>
      <c r="W1013" s="284" t="e">
        <f>HLOOKUP(R$1003,'Data-temp_employment'!$OS$3:$PC$41,(MATCH($B$1002,'Data-temp_employment'!$B$3:$B$42,0)),FALSE)/100</f>
        <v>#N/A</v>
      </c>
      <c r="X1013" s="17" t="e">
        <f>HLOOKUP(S$1003,'Data-temp_employment'!$OS$3:$PC$41,(MATCH($B$1002,'Data-temp_employment'!$B$3:$B$42,0)),FALSE)/100</f>
        <v>#N/A</v>
      </c>
      <c r="Y1013" s="17" t="e">
        <f>HLOOKUP(T$1003,'Data-temp_employment'!$OS$3:$PC$41,(MATCH($B$1002,'Data-temp_employment'!$B$3:$B$42,0)),FALSE)/100</f>
        <v>#N/A</v>
      </c>
      <c r="Z1013" s="17" t="e">
        <f>HLOOKUP(U$1003,'Data-temp_employment'!$OS$3:$PC$41,(MATCH($B$1002,'Data-temp_employment'!$B$3:$B$42,0)),FALSE)/100</f>
        <v>#N/A</v>
      </c>
      <c r="AA1013" s="17" t="e">
        <f>HLOOKUP(V$1003,'Data-temp_employment'!$OS$3:$PC$41,(MATCH($B$1002,'Data-temp_employment'!$B$3:$B$42,0)),FALSE)/100</f>
        <v>#N/A</v>
      </c>
      <c r="AB1013" s="17" t="e">
        <f>HLOOKUP(W$1003,'Data-temp_employment'!$OS$3:$PC$41,(MATCH($B$1002,'Data-temp_employment'!$B$3:$B$42,0)),FALSE)/100</f>
        <v>#N/A</v>
      </c>
      <c r="AC1013" s="17" t="e">
        <f>HLOOKUP(X$1003,'Data-temp_employment'!$OS$3:$PC$41,(MATCH($B$1002,'Data-temp_employment'!$B$3:$B$42,0)),FALSE)/100</f>
        <v>#N/A</v>
      </c>
      <c r="AD1013" s="17" t="e">
        <f>HLOOKUP(Y$1003,'Data-temp_employment'!$OS$3:$PC$41,(MATCH($B$1002,'Data-temp_employment'!$B$3:$B$42,0)),FALSE)/100</f>
        <v>#N/A</v>
      </c>
      <c r="AE1013" s="17" t="e">
        <f>HLOOKUP(Z$1003,'Data-temp_employment'!$OS$3:$PC$41,(MATCH($B$1002,'Data-temp_employment'!$B$3:$B$42,0)),FALSE)/100</f>
        <v>#N/A</v>
      </c>
      <c r="AF1013" s="17" t="e">
        <f>HLOOKUP(AA$1003,'Data-temp_employment'!$OS$3:$PC$41,(MATCH($B$1002,'Data-temp_employment'!$B$3:$B$42,0)),FALSE)/100</f>
        <v>#N/A</v>
      </c>
      <c r="AG1013" s="17" t="e">
        <f>HLOOKUP(AB$1003,'Data-temp_employment'!$OS$3:$PC$41,(MATCH($B$1002,'Data-temp_employment'!$B$3:$B$42,0)),FALSE)/100</f>
        <v>#N/A</v>
      </c>
      <c r="AH1013" s="17" t="e">
        <f>HLOOKUP(AC$1003,'Data-temp_employment'!$OS$3:$PC$41,(MATCH($B$1002,'Data-temp_employment'!$B$3:$B$42,0)),FALSE)/100</f>
        <v>#N/A</v>
      </c>
      <c r="AI1013" s="17" t="e">
        <f>HLOOKUP(AD$1003,'Data-temp_employment'!$OS$3:$PC$41,(MATCH($B$1002,'Data-temp_employment'!$B$3:$B$42,0)),FALSE)/100</f>
        <v>#N/A</v>
      </c>
      <c r="AJ1013" s="17">
        <f>HLOOKUP(AE$1003,'Data-temp_employment'!$OS$3:$PC$41,(MATCH($B$1002,'Data-temp_employment'!$B$3:$B$42,0)),FALSE)/100</f>
        <v>9.0000000000000011E-3</v>
      </c>
      <c r="AK1013" s="17">
        <f>HLOOKUP(AF$1003,'Data-temp_employment'!$OS$3:$PC$41,(MATCH($B$1002,'Data-temp_employment'!$B$3:$B$42,0)),FALSE)/100</f>
        <v>9.0000000000000011E-3</v>
      </c>
      <c r="AL1013" s="17">
        <f>HLOOKUP(AG$1003,'Data-temp_employment'!$OS$3:$PC$41,(MATCH($B$1002,'Data-temp_employment'!$B$3:$B$42,0)),FALSE)/100</f>
        <v>9.0000000000000011E-3</v>
      </c>
      <c r="AM1013" s="17">
        <f>HLOOKUP(AH$1003,'Data-temp_employment'!$OS$3:$PC$41,(MATCH($B$1002,'Data-temp_employment'!$B$3:$B$42,0)),FALSE)/100</f>
        <v>3.0000000000000001E-3</v>
      </c>
      <c r="AN1013" s="17">
        <f>HLOOKUP(AI$1003,'Data-temp_employment'!$OS$3:$PC$41,(MATCH($B$1002,'Data-temp_employment'!$B$3:$B$42,0)),FALSE)/100</f>
        <v>3.0000000000000001E-3</v>
      </c>
      <c r="AO1013" s="17">
        <f>HLOOKUP(AJ$1003,'Data-temp_employment'!$OS$3:$PC$41,(MATCH($B$1002,'Data-temp_employment'!$B$3:$B$42,0)),FALSE)/100</f>
        <v>3.0000000000000001E-3</v>
      </c>
      <c r="AP1013" s="17">
        <f>HLOOKUP(AK$1003,'Data-temp_employment'!$OS$3:$PC$41,(MATCH($B$1002,'Data-temp_employment'!$B$3:$B$42,0)),FALSE)/100</f>
        <v>1.1000000000000001E-2</v>
      </c>
      <c r="AQ1013" s="17">
        <f>HLOOKUP(AL$1003,'Data-temp_employment'!$OS$3:$PC$41,(MATCH($B$1002,'Data-temp_employment'!$B$3:$B$42,0)),FALSE)/100</f>
        <v>1.1000000000000001E-2</v>
      </c>
      <c r="AR1013" s="17">
        <f>HLOOKUP(AM$1003,'Data-temp_employment'!$OS$3:$PC$41,(MATCH($B$1002,'Data-temp_employment'!$B$3:$B$42,0)),FALSE)/100</f>
        <v>1.1000000000000001E-2</v>
      </c>
      <c r="AS1013" s="17">
        <f>HLOOKUP(AN$1003,'Data-temp_employment'!$OS$3:$PC$41,(MATCH($B$1002,'Data-temp_employment'!$B$3:$B$42,0)),FALSE)/100</f>
        <v>4.0000000000000001E-3</v>
      </c>
      <c r="AT1013" s="17">
        <f>HLOOKUP(AO$1003,'Data-temp_employment'!$OS$3:$PC$41,(MATCH($B$1002,'Data-temp_employment'!$B$3:$B$42,0)),FALSE)/100</f>
        <v>4.0000000000000001E-3</v>
      </c>
      <c r="AU1013" s="17">
        <f>HLOOKUP(AP$1003,'Data-temp_employment'!$OS$3:$PC$41,(MATCH($B$1002,'Data-temp_employment'!$B$3:$B$42,0)),FALSE)/100</f>
        <v>4.0000000000000001E-3</v>
      </c>
      <c r="AV1013" s="17">
        <f>HLOOKUP(AQ$1003,'Data-temp_employment'!$OS$3:$PC$41,(MATCH($B$1002,'Data-temp_employment'!$B$3:$B$42,0)),FALSE)/100</f>
        <v>1.1000000000000001E-2</v>
      </c>
      <c r="AW1013" s="17">
        <f>HLOOKUP(AR$1003,'Data-temp_employment'!$OS$3:$PC$41,(MATCH($B$1002,'Data-temp_employment'!$B$3:$B$42,0)),FALSE)/100</f>
        <v>1.1000000000000001E-2</v>
      </c>
      <c r="AX1013" s="17">
        <f>HLOOKUP(AS$1003,'Data-temp_employment'!$OS$3:$PC$41,(MATCH($B$1002,'Data-temp_employment'!$B$3:$B$42,0)),FALSE)/100</f>
        <v>1.1000000000000001E-2</v>
      </c>
      <c r="AY1013" s="17">
        <f>HLOOKUP(AT$1003,'Data-temp_employment'!$OS$3:$PC$41,(MATCH($B$1002,'Data-temp_employment'!$B$3:$B$42,0)),FALSE)/100</f>
        <v>5.0000000000000001E-3</v>
      </c>
    </row>
    <row r="1014" spans="1:51">
      <c r="A1014" s="16"/>
      <c r="B1014" s="87"/>
      <c r="J1014" s="18"/>
      <c r="K1014" s="88"/>
      <c r="L1014" s="88"/>
      <c r="M1014" s="88"/>
      <c r="N1014" s="88"/>
      <c r="O1014" s="88"/>
      <c r="P1014" s="88"/>
      <c r="Q1014" s="88"/>
      <c r="R1014" s="88"/>
      <c r="S1014" s="88"/>
      <c r="T1014" s="88"/>
      <c r="U1014" s="88"/>
      <c r="V1014" s="88"/>
      <c r="W1014" s="88"/>
      <c r="X1014" s="88"/>
      <c r="Y1014" s="88"/>
      <c r="Z1014" s="88"/>
      <c r="AA1014" s="88"/>
      <c r="AB1014" s="88"/>
      <c r="AC1014" s="88"/>
      <c r="AD1014" s="88"/>
      <c r="AE1014" s="88"/>
      <c r="AF1014" s="88"/>
      <c r="AG1014" s="88"/>
      <c r="AH1014" s="88"/>
      <c r="AI1014" s="88"/>
      <c r="AJ1014" s="88"/>
      <c r="AK1014" s="88"/>
      <c r="AL1014" s="88"/>
      <c r="AM1014" s="88"/>
      <c r="AN1014" s="88"/>
      <c r="AO1014" s="89"/>
    </row>
    <row r="1015" spans="1:51">
      <c r="A1015" s="8"/>
      <c r="J1015" s="88"/>
      <c r="K1015" s="88"/>
      <c r="L1015" s="88"/>
      <c r="M1015" s="88"/>
      <c r="N1015" s="88"/>
      <c r="O1015" s="88"/>
      <c r="P1015" s="88"/>
      <c r="Q1015" s="88"/>
      <c r="R1015" s="88"/>
      <c r="S1015" s="88"/>
      <c r="T1015" s="88"/>
      <c r="U1015" s="88"/>
      <c r="V1015" s="88"/>
      <c r="W1015" s="88"/>
      <c r="X1015" s="88"/>
      <c r="Y1015" s="88"/>
      <c r="Z1015" s="88"/>
      <c r="AA1015" s="88"/>
      <c r="AB1015" s="88"/>
      <c r="AC1015" s="88"/>
      <c r="AD1015" s="88"/>
      <c r="AE1015" s="88"/>
      <c r="AF1015" s="88"/>
      <c r="AG1015" s="88"/>
      <c r="AH1015" s="88"/>
      <c r="AI1015" s="88"/>
      <c r="AJ1015" s="88"/>
      <c r="AK1015" s="88"/>
      <c r="AL1015" s="88"/>
      <c r="AM1015" s="88"/>
      <c r="AN1015" s="88"/>
      <c r="AO1015" s="89"/>
    </row>
    <row r="1016" spans="1:51">
      <c r="A1016" s="8"/>
      <c r="J1016" s="88"/>
      <c r="K1016" s="88"/>
      <c r="L1016" s="88"/>
      <c r="M1016" s="88"/>
      <c r="N1016" s="88"/>
      <c r="O1016" s="88"/>
      <c r="P1016" s="88"/>
      <c r="Q1016" s="88"/>
      <c r="R1016" s="88"/>
      <c r="S1016" s="88"/>
      <c r="T1016" s="88"/>
      <c r="U1016" s="88"/>
      <c r="V1016" s="88"/>
      <c r="W1016" s="88"/>
      <c r="X1016" s="88"/>
      <c r="Y1016" s="88"/>
      <c r="Z1016" s="88"/>
      <c r="AA1016" s="88"/>
      <c r="AB1016" s="88"/>
      <c r="AC1016" s="88"/>
      <c r="AD1016" s="88"/>
      <c r="AE1016" s="88"/>
      <c r="AF1016" s="88"/>
      <c r="AG1016" s="88"/>
      <c r="AH1016" s="88"/>
      <c r="AI1016" s="88"/>
      <c r="AJ1016" s="88"/>
      <c r="AK1016" s="88"/>
      <c r="AL1016" s="88"/>
      <c r="AM1016" s="88"/>
      <c r="AN1016" s="88"/>
      <c r="AO1016" s="89"/>
      <c r="AP1016" s="89"/>
      <c r="AQ1016" s="89"/>
      <c r="AR1016" s="89"/>
      <c r="AS1016" s="89"/>
      <c r="AT1016" s="89"/>
      <c r="AU1016" s="89"/>
      <c r="AV1016" s="89"/>
      <c r="AW1016" s="89"/>
      <c r="AX1016" s="89"/>
      <c r="AY1016" s="89"/>
    </row>
    <row r="1017" spans="1:51">
      <c r="A1017" s="8"/>
      <c r="J1017" s="88"/>
      <c r="K1017" s="88"/>
      <c r="L1017" s="88"/>
      <c r="M1017" s="88"/>
      <c r="N1017" s="88"/>
      <c r="O1017" s="88"/>
      <c r="P1017" s="88"/>
      <c r="Q1017" s="88"/>
      <c r="R1017" s="88"/>
      <c r="S1017" s="88"/>
      <c r="T1017" s="88"/>
      <c r="U1017" s="88"/>
      <c r="V1017" s="88"/>
      <c r="W1017" s="88"/>
      <c r="X1017" s="88"/>
      <c r="Y1017" s="88"/>
      <c r="Z1017" s="88"/>
      <c r="AA1017" s="88"/>
      <c r="AB1017" s="88"/>
      <c r="AC1017" s="88"/>
      <c r="AD1017" s="88"/>
      <c r="AE1017" s="88"/>
      <c r="AF1017" s="88"/>
      <c r="AG1017" s="88"/>
      <c r="AH1017" s="88"/>
      <c r="AI1017" s="88"/>
      <c r="AJ1017" s="88"/>
      <c r="AK1017" s="88"/>
      <c r="AL1017" s="88"/>
      <c r="AM1017" s="88"/>
      <c r="AN1017" s="88"/>
      <c r="AO1017" s="89"/>
    </row>
    <row r="1018" spans="1:51">
      <c r="A1018" s="8"/>
      <c r="J1018" s="88"/>
      <c r="K1018" s="88"/>
      <c r="L1018" s="88"/>
      <c r="M1018" s="88"/>
      <c r="N1018" s="88"/>
      <c r="O1018" s="88"/>
      <c r="P1018" s="88"/>
      <c r="Q1018" s="88"/>
      <c r="R1018" s="88"/>
      <c r="S1018" s="88"/>
      <c r="T1018" s="88"/>
      <c r="U1018" s="88"/>
      <c r="V1018" s="88"/>
      <c r="W1018" s="88"/>
      <c r="X1018" s="88"/>
      <c r="Y1018" s="88"/>
      <c r="Z1018" s="88"/>
      <c r="AA1018" s="88"/>
      <c r="AB1018" s="88"/>
      <c r="AC1018" s="88"/>
      <c r="AD1018" s="88"/>
      <c r="AE1018" s="88"/>
      <c r="AF1018" s="88"/>
      <c r="AG1018" s="88"/>
      <c r="AH1018" s="88"/>
      <c r="AI1018" s="88"/>
      <c r="AJ1018" s="88"/>
      <c r="AK1018" s="88"/>
      <c r="AL1018" s="88"/>
      <c r="AM1018" s="88"/>
      <c r="AN1018" s="88"/>
      <c r="AO1018" s="89"/>
    </row>
    <row r="1019" spans="1:51">
      <c r="A1019" s="8"/>
      <c r="J1019" s="88"/>
      <c r="K1019" s="88"/>
      <c r="L1019" s="88"/>
      <c r="M1019" s="88"/>
      <c r="N1019" s="88"/>
      <c r="O1019" s="88"/>
      <c r="P1019" s="88"/>
      <c r="Q1019" s="88"/>
      <c r="R1019" s="88"/>
      <c r="S1019" s="88"/>
      <c r="T1019" s="88"/>
      <c r="U1019" s="88"/>
      <c r="V1019" s="88"/>
      <c r="W1019" s="88"/>
      <c r="X1019" s="88"/>
      <c r="Y1019" s="88"/>
      <c r="Z1019" s="88"/>
      <c r="AA1019" s="88"/>
      <c r="AB1019" s="88"/>
      <c r="AC1019" s="88"/>
      <c r="AD1019" s="88"/>
      <c r="AE1019" s="88"/>
      <c r="AF1019" s="88"/>
      <c r="AG1019" s="88"/>
      <c r="AH1019" s="88"/>
      <c r="AI1019" s="88"/>
      <c r="AJ1019" s="88"/>
      <c r="AK1019" s="88"/>
      <c r="AL1019" s="88"/>
      <c r="AM1019" s="88"/>
      <c r="AN1019" s="88"/>
      <c r="AO1019" s="89"/>
    </row>
    <row r="1020" spans="1:51">
      <c r="A1020" s="8"/>
      <c r="J1020" s="88"/>
      <c r="K1020" s="88"/>
      <c r="L1020" s="88"/>
      <c r="M1020" s="88"/>
      <c r="N1020" s="88"/>
      <c r="O1020" s="88"/>
      <c r="P1020" s="88"/>
      <c r="Q1020" s="88"/>
      <c r="R1020" s="88"/>
      <c r="S1020" s="88"/>
      <c r="T1020" s="88"/>
      <c r="U1020" s="88"/>
      <c r="V1020" s="88"/>
      <c r="W1020" s="88"/>
      <c r="X1020" s="88"/>
      <c r="Y1020" s="88"/>
      <c r="Z1020" s="88"/>
      <c r="AA1020" s="88"/>
      <c r="AB1020" s="88"/>
      <c r="AC1020" s="88"/>
      <c r="AD1020" s="88"/>
      <c r="AE1020" s="88"/>
      <c r="AF1020" s="88"/>
      <c r="AG1020" s="88"/>
      <c r="AH1020" s="88"/>
      <c r="AI1020" s="88"/>
      <c r="AJ1020" s="88"/>
      <c r="AK1020" s="88"/>
      <c r="AL1020" s="88"/>
      <c r="AM1020" s="88"/>
      <c r="AN1020" s="88"/>
      <c r="AO1020" s="89"/>
    </row>
    <row r="1021" spans="1:51">
      <c r="A1021" s="8"/>
      <c r="J1021" s="88"/>
      <c r="K1021" s="88"/>
      <c r="L1021" s="88"/>
      <c r="M1021" s="88"/>
      <c r="N1021" s="88"/>
      <c r="O1021" s="88"/>
      <c r="P1021" s="88"/>
      <c r="Q1021" s="88"/>
      <c r="R1021" s="88"/>
      <c r="S1021" s="88"/>
      <c r="T1021" s="88"/>
      <c r="U1021" s="88"/>
      <c r="V1021" s="88"/>
      <c r="W1021" s="88"/>
      <c r="X1021" s="88"/>
      <c r="Y1021" s="88"/>
      <c r="Z1021" s="88"/>
      <c r="AA1021" s="88"/>
      <c r="AB1021" s="88"/>
      <c r="AC1021" s="88"/>
      <c r="AD1021" s="88"/>
      <c r="AE1021" s="88"/>
      <c r="AF1021" s="88"/>
      <c r="AG1021" s="88"/>
      <c r="AH1021" s="88"/>
      <c r="AI1021" s="88"/>
      <c r="AJ1021" s="88"/>
      <c r="AK1021" s="88"/>
      <c r="AL1021" s="88"/>
      <c r="AM1021" s="88"/>
      <c r="AN1021" s="88"/>
    </row>
    <row r="1022" spans="1:51">
      <c r="A1022" s="8"/>
      <c r="D1022" s="15">
        <v>3</v>
      </c>
      <c r="E1022" s="15">
        <v>4</v>
      </c>
      <c r="F1022" s="15">
        <v>5</v>
      </c>
      <c r="G1022" s="15">
        <v>6</v>
      </c>
      <c r="H1022" s="15">
        <v>7</v>
      </c>
      <c r="I1022" s="15">
        <v>8</v>
      </c>
      <c r="J1022" s="15">
        <v>9</v>
      </c>
      <c r="K1022" s="15">
        <v>10</v>
      </c>
      <c r="L1022" s="15">
        <v>11</v>
      </c>
      <c r="M1022" s="15">
        <v>12</v>
      </c>
      <c r="N1022" s="15">
        <v>13</v>
      </c>
      <c r="O1022" s="15">
        <v>14</v>
      </c>
      <c r="P1022" s="15">
        <v>15</v>
      </c>
      <c r="Q1022" s="15">
        <v>16</v>
      </c>
      <c r="R1022" s="15">
        <v>17</v>
      </c>
      <c r="S1022" s="15">
        <v>18</v>
      </c>
      <c r="T1022" s="15">
        <v>19</v>
      </c>
      <c r="U1022" s="15">
        <v>20</v>
      </c>
      <c r="V1022" s="15">
        <v>21</v>
      </c>
      <c r="W1022" s="15">
        <v>22</v>
      </c>
      <c r="X1022" s="15">
        <v>23</v>
      </c>
      <c r="Y1022" s="15">
        <v>24</v>
      </c>
      <c r="Z1022" s="15">
        <v>25</v>
      </c>
      <c r="AA1022" s="15">
        <v>26</v>
      </c>
      <c r="AB1022" s="15">
        <v>27</v>
      </c>
      <c r="AC1022" s="15">
        <v>28</v>
      </c>
      <c r="AD1022" s="15">
        <v>29</v>
      </c>
      <c r="AE1022" s="15">
        <v>30</v>
      </c>
      <c r="AF1022" s="15">
        <v>31</v>
      </c>
      <c r="AG1022" s="15">
        <v>32</v>
      </c>
      <c r="AH1022" s="15">
        <v>33</v>
      </c>
      <c r="AI1022" s="15">
        <v>34</v>
      </c>
      <c r="AJ1022" s="15">
        <v>35</v>
      </c>
      <c r="AK1022" s="15">
        <v>36</v>
      </c>
      <c r="AL1022" s="15">
        <v>37</v>
      </c>
      <c r="AM1022" s="15">
        <v>38</v>
      </c>
      <c r="AN1022" s="15">
        <v>39</v>
      </c>
      <c r="AO1022" s="15">
        <v>40</v>
      </c>
      <c r="AP1022" s="15">
        <v>41</v>
      </c>
      <c r="AQ1022" s="15">
        <v>42</v>
      </c>
      <c r="AR1022" s="15">
        <v>43</v>
      </c>
      <c r="AS1022" s="15">
        <v>44</v>
      </c>
      <c r="AT1022" s="15">
        <v>45</v>
      </c>
      <c r="AU1022" s="15">
        <v>46</v>
      </c>
      <c r="AV1022" s="15">
        <v>47</v>
      </c>
      <c r="AW1022" s="15">
        <v>48</v>
      </c>
      <c r="AX1022" s="15">
        <v>49</v>
      </c>
      <c r="AY1022" s="15">
        <v>50</v>
      </c>
    </row>
    <row r="1023" spans="1:51">
      <c r="A1023" s="8"/>
      <c r="J1023" s="88"/>
      <c r="K1023" s="88"/>
      <c r="L1023" s="88"/>
      <c r="M1023" s="88"/>
      <c r="N1023" s="88"/>
      <c r="O1023" s="88"/>
      <c r="P1023" s="88"/>
      <c r="Q1023" s="88"/>
      <c r="R1023" s="88"/>
      <c r="S1023" s="88"/>
      <c r="T1023" s="88"/>
      <c r="U1023" s="88"/>
      <c r="V1023" s="88"/>
      <c r="W1023" s="88"/>
      <c r="X1023" s="88"/>
      <c r="Y1023" s="88"/>
      <c r="Z1023" s="88"/>
      <c r="AA1023" s="88"/>
      <c r="AB1023" s="88"/>
      <c r="AC1023" s="88"/>
      <c r="AD1023" s="88"/>
      <c r="AE1023" s="88"/>
      <c r="AF1023" s="88"/>
      <c r="AG1023" s="88"/>
      <c r="AH1023" s="88"/>
      <c r="AI1023" s="88"/>
      <c r="AJ1023" s="88"/>
      <c r="AK1023" s="88"/>
      <c r="AL1023" s="88"/>
      <c r="AM1023" s="88"/>
      <c r="AN1023" s="88"/>
    </row>
    <row r="1024" spans="1:51">
      <c r="A1024" s="8"/>
      <c r="J1024" s="88"/>
      <c r="K1024" s="88"/>
      <c r="L1024" s="88"/>
      <c r="M1024" s="88"/>
      <c r="N1024" s="88"/>
      <c r="O1024" s="88"/>
      <c r="P1024" s="88"/>
      <c r="Q1024" s="88"/>
      <c r="R1024" s="88"/>
      <c r="S1024" s="88"/>
      <c r="T1024" s="88"/>
      <c r="U1024" s="88"/>
      <c r="V1024" s="88"/>
      <c r="W1024" s="88"/>
      <c r="X1024" s="88"/>
      <c r="Y1024" s="88"/>
      <c r="Z1024" s="88"/>
      <c r="AA1024" s="88"/>
      <c r="AB1024" s="88"/>
      <c r="AC1024" s="88"/>
      <c r="AD1024" s="88"/>
      <c r="AE1024" s="88"/>
      <c r="AF1024" s="88"/>
      <c r="AG1024" s="88"/>
      <c r="AH1024" s="88"/>
      <c r="AI1024" s="88"/>
      <c r="AJ1024" s="88"/>
      <c r="AK1024" s="88"/>
      <c r="AL1024" s="88"/>
      <c r="AM1024" s="88"/>
      <c r="AN1024" s="88"/>
    </row>
    <row r="1025" spans="1:40">
      <c r="A1025" s="8"/>
      <c r="J1025" s="88"/>
      <c r="K1025" s="88"/>
      <c r="L1025" s="88"/>
      <c r="M1025" s="88"/>
      <c r="N1025" s="88"/>
      <c r="O1025" s="88"/>
      <c r="P1025" s="88"/>
      <c r="Q1025" s="88"/>
      <c r="R1025" s="88"/>
      <c r="S1025" s="88"/>
      <c r="T1025" s="88"/>
      <c r="U1025" s="88"/>
      <c r="V1025" s="88"/>
      <c r="W1025" s="88"/>
      <c r="X1025" s="88"/>
      <c r="Y1025" s="88"/>
      <c r="Z1025" s="88"/>
      <c r="AA1025" s="88"/>
      <c r="AB1025" s="88"/>
      <c r="AC1025" s="88"/>
      <c r="AD1025" s="88"/>
      <c r="AE1025" s="88"/>
      <c r="AF1025" s="88"/>
      <c r="AG1025" s="88"/>
      <c r="AH1025" s="88"/>
      <c r="AI1025" s="88"/>
      <c r="AJ1025" s="88"/>
      <c r="AK1025" s="88"/>
      <c r="AL1025" s="88"/>
      <c r="AM1025" s="88"/>
      <c r="AN1025" s="88"/>
    </row>
    <row r="1026" spans="1:40">
      <c r="A1026" s="8"/>
      <c r="J1026" s="88"/>
      <c r="K1026" s="88"/>
      <c r="L1026" s="88"/>
      <c r="M1026" s="88"/>
      <c r="N1026" s="88"/>
      <c r="O1026" s="88"/>
      <c r="P1026" s="88"/>
      <c r="Q1026" s="88"/>
      <c r="R1026" s="88"/>
      <c r="S1026" s="88"/>
      <c r="T1026" s="88"/>
      <c r="U1026" s="88"/>
      <c r="V1026" s="88"/>
      <c r="W1026" s="88"/>
      <c r="X1026" s="88"/>
      <c r="Y1026" s="88"/>
      <c r="Z1026" s="88"/>
      <c r="AA1026" s="88"/>
      <c r="AB1026" s="88"/>
      <c r="AC1026" s="88"/>
      <c r="AD1026" s="88"/>
      <c r="AE1026" s="88"/>
      <c r="AF1026" s="88"/>
      <c r="AG1026" s="88"/>
      <c r="AH1026" s="88"/>
      <c r="AI1026" s="88"/>
      <c r="AJ1026" s="88"/>
      <c r="AK1026" s="88"/>
      <c r="AL1026" s="88"/>
      <c r="AM1026" s="88"/>
      <c r="AN1026" s="88"/>
    </row>
    <row r="1027" spans="1:40">
      <c r="A1027" s="8"/>
      <c r="J1027" s="88"/>
      <c r="K1027" s="88"/>
      <c r="L1027" s="88"/>
      <c r="M1027" s="88"/>
      <c r="N1027" s="88"/>
      <c r="O1027" s="88"/>
      <c r="P1027" s="88"/>
      <c r="Q1027" s="88"/>
      <c r="R1027" s="88"/>
      <c r="S1027" s="88"/>
      <c r="T1027" s="88"/>
      <c r="U1027" s="88"/>
      <c r="V1027" s="88"/>
      <c r="W1027" s="88"/>
      <c r="X1027" s="88"/>
      <c r="Y1027" s="88"/>
      <c r="Z1027" s="88"/>
      <c r="AA1027" s="88"/>
      <c r="AB1027" s="88"/>
      <c r="AC1027" s="88"/>
      <c r="AD1027" s="88"/>
      <c r="AE1027" s="88"/>
      <c r="AF1027" s="88"/>
      <c r="AG1027" s="88"/>
      <c r="AH1027" s="88"/>
      <c r="AI1027" s="88"/>
      <c r="AJ1027" s="88"/>
      <c r="AK1027" s="88"/>
      <c r="AL1027" s="88"/>
      <c r="AM1027" s="88"/>
      <c r="AN1027" s="88"/>
    </row>
    <row r="1028" spans="1:40">
      <c r="A1028" s="8"/>
      <c r="J1028" s="88"/>
      <c r="K1028" s="88"/>
      <c r="L1028" s="88"/>
      <c r="M1028" s="88"/>
      <c r="N1028" s="88"/>
      <c r="O1028" s="88"/>
      <c r="P1028" s="88"/>
      <c r="Q1028" s="88"/>
      <c r="R1028" s="88"/>
      <c r="S1028" s="88"/>
      <c r="T1028" s="88"/>
      <c r="U1028" s="88"/>
      <c r="V1028" s="88"/>
      <c r="W1028" s="88"/>
      <c r="X1028" s="88"/>
      <c r="Y1028" s="88"/>
      <c r="Z1028" s="88"/>
      <c r="AA1028" s="88"/>
      <c r="AB1028" s="88"/>
      <c r="AC1028" s="88"/>
      <c r="AD1028" s="88"/>
      <c r="AE1028" s="88"/>
      <c r="AF1028" s="88"/>
      <c r="AG1028" s="88"/>
      <c r="AH1028" s="88"/>
      <c r="AI1028" s="88"/>
      <c r="AJ1028" s="88"/>
      <c r="AK1028" s="88"/>
      <c r="AL1028" s="88"/>
      <c r="AM1028" s="88"/>
      <c r="AN1028" s="88"/>
    </row>
    <row r="1029" spans="1:40">
      <c r="A1029" s="8"/>
      <c r="J1029" s="88"/>
      <c r="K1029" s="88"/>
      <c r="L1029" s="88"/>
      <c r="M1029" s="88"/>
      <c r="N1029" s="88"/>
      <c r="O1029" s="88"/>
      <c r="P1029" s="88"/>
      <c r="Q1029" s="88"/>
      <c r="R1029" s="88"/>
      <c r="S1029" s="88"/>
      <c r="T1029" s="88"/>
      <c r="U1029" s="88"/>
      <c r="V1029" s="88"/>
      <c r="W1029" s="88"/>
      <c r="X1029" s="88"/>
      <c r="Y1029" s="88"/>
      <c r="Z1029" s="88"/>
      <c r="AA1029" s="88"/>
      <c r="AB1029" s="88"/>
      <c r="AC1029" s="88"/>
      <c r="AD1029" s="88"/>
      <c r="AE1029" s="88"/>
      <c r="AF1029" s="88"/>
      <c r="AG1029" s="88"/>
      <c r="AH1029" s="88"/>
      <c r="AI1029" s="88"/>
      <c r="AJ1029" s="88"/>
      <c r="AK1029" s="88"/>
      <c r="AL1029" s="88"/>
      <c r="AM1029" s="88"/>
      <c r="AN1029" s="88"/>
    </row>
    <row r="1030" spans="1:40">
      <c r="A1030" s="8"/>
      <c r="J1030" s="88"/>
      <c r="K1030" s="88"/>
      <c r="L1030" s="88"/>
      <c r="M1030" s="88"/>
      <c r="N1030" s="88"/>
      <c r="O1030" s="88"/>
      <c r="P1030" s="88"/>
      <c r="Q1030" s="88"/>
      <c r="R1030" s="88"/>
      <c r="S1030" s="88"/>
      <c r="T1030" s="88"/>
      <c r="U1030" s="88"/>
      <c r="V1030" s="88"/>
      <c r="W1030" s="88"/>
      <c r="X1030" s="88"/>
      <c r="Y1030" s="88"/>
      <c r="Z1030" s="88"/>
      <c r="AA1030" s="88"/>
      <c r="AB1030" s="88"/>
      <c r="AC1030" s="88"/>
      <c r="AD1030" s="88"/>
      <c r="AE1030" s="88"/>
      <c r="AF1030" s="88"/>
      <c r="AG1030" s="88"/>
      <c r="AH1030" s="88"/>
      <c r="AI1030" s="88"/>
      <c r="AJ1030" s="88"/>
      <c r="AK1030" s="88"/>
      <c r="AL1030" s="88"/>
      <c r="AM1030" s="88"/>
      <c r="AN1030" s="88"/>
    </row>
    <row r="1031" spans="1:40">
      <c r="A1031" s="8"/>
      <c r="J1031" s="88"/>
      <c r="K1031" s="88"/>
      <c r="L1031" s="88"/>
      <c r="M1031" s="88"/>
      <c r="N1031" s="88"/>
      <c r="O1031" s="88"/>
      <c r="P1031" s="88"/>
      <c r="Q1031" s="88"/>
      <c r="R1031" s="88"/>
      <c r="S1031" s="88"/>
      <c r="T1031" s="88"/>
      <c r="U1031" s="88"/>
      <c r="V1031" s="88"/>
      <c r="W1031" s="88"/>
      <c r="X1031" s="88"/>
      <c r="Y1031" s="88"/>
      <c r="Z1031" s="88"/>
      <c r="AA1031" s="88"/>
      <c r="AB1031" s="88"/>
      <c r="AC1031" s="88"/>
      <c r="AD1031" s="88"/>
      <c r="AE1031" s="88"/>
      <c r="AF1031" s="88"/>
      <c r="AG1031" s="88"/>
      <c r="AH1031" s="88"/>
      <c r="AI1031" s="88"/>
      <c r="AJ1031" s="88"/>
      <c r="AK1031" s="88"/>
      <c r="AL1031" s="88"/>
      <c r="AM1031" s="88"/>
      <c r="AN1031" s="88"/>
    </row>
    <row r="1032" spans="1:40">
      <c r="A1032" s="8"/>
      <c r="J1032" s="88"/>
      <c r="K1032" s="88"/>
      <c r="L1032" s="88"/>
      <c r="M1032" s="88"/>
      <c r="N1032" s="88"/>
      <c r="O1032" s="88"/>
      <c r="P1032" s="88"/>
      <c r="Q1032" s="88"/>
      <c r="R1032" s="88"/>
      <c r="S1032" s="88"/>
      <c r="T1032" s="88"/>
      <c r="U1032" s="88"/>
      <c r="V1032" s="88"/>
      <c r="W1032" s="88"/>
      <c r="X1032" s="88"/>
      <c r="Y1032" s="88"/>
      <c r="Z1032" s="88"/>
      <c r="AA1032" s="88"/>
      <c r="AB1032" s="88"/>
      <c r="AC1032" s="88"/>
      <c r="AD1032" s="88"/>
      <c r="AE1032" s="88"/>
      <c r="AF1032" s="88"/>
      <c r="AG1032" s="88"/>
      <c r="AH1032" s="88"/>
      <c r="AI1032" s="88"/>
      <c r="AJ1032" s="88"/>
      <c r="AK1032" s="88"/>
      <c r="AL1032" s="88"/>
      <c r="AM1032" s="88"/>
      <c r="AN1032" s="88"/>
    </row>
    <row r="1033" spans="1:40">
      <c r="A1033" s="8"/>
      <c r="J1033" s="88"/>
      <c r="K1033" s="88"/>
      <c r="L1033" s="88"/>
      <c r="M1033" s="88"/>
      <c r="N1033" s="88"/>
      <c r="O1033" s="88"/>
      <c r="P1033" s="88"/>
      <c r="Q1033" s="88"/>
      <c r="R1033" s="88"/>
      <c r="S1033" s="88"/>
      <c r="T1033" s="88"/>
      <c r="U1033" s="88"/>
      <c r="V1033" s="88"/>
      <c r="W1033" s="88"/>
      <c r="X1033" s="88"/>
      <c r="Y1033" s="88"/>
      <c r="Z1033" s="88"/>
      <c r="AA1033" s="88"/>
      <c r="AB1033" s="88"/>
      <c r="AC1033" s="88"/>
      <c r="AD1033" s="88"/>
      <c r="AE1033" s="88"/>
      <c r="AF1033" s="88"/>
      <c r="AG1033" s="88"/>
      <c r="AH1033" s="88"/>
      <c r="AI1033" s="88"/>
      <c r="AJ1033" s="88"/>
      <c r="AK1033" s="88"/>
      <c r="AL1033" s="88"/>
      <c r="AM1033" s="88"/>
      <c r="AN1033" s="88"/>
    </row>
  </sheetData>
  <mergeCells count="28">
    <mergeCell ref="I44:N44"/>
    <mergeCell ref="P44:U44"/>
    <mergeCell ref="B59:R60"/>
    <mergeCell ref="Z24:AA24"/>
    <mergeCell ref="Z25:AA25"/>
    <mergeCell ref="Z26:AA26"/>
    <mergeCell ref="Z27:AA27"/>
    <mergeCell ref="Z28:AA28"/>
    <mergeCell ref="B29:P29"/>
    <mergeCell ref="Z29:AA29"/>
    <mergeCell ref="X35:AD35"/>
    <mergeCell ref="X36:X39"/>
    <mergeCell ref="Y36:Y39"/>
    <mergeCell ref="Z36:Z39"/>
    <mergeCell ref="AA36:AA39"/>
    <mergeCell ref="AB36:AB39"/>
    <mergeCell ref="AC36:AC39"/>
    <mergeCell ref="AD36:AD39"/>
    <mergeCell ref="A2:O2"/>
    <mergeCell ref="F5:J5"/>
    <mergeCell ref="X6:AD6"/>
    <mergeCell ref="X7:X10"/>
    <mergeCell ref="Y7:Y10"/>
    <mergeCell ref="Z7:Z10"/>
    <mergeCell ref="AA7:AA10"/>
    <mergeCell ref="AB7:AB10"/>
    <mergeCell ref="AC7:AC10"/>
    <mergeCell ref="AD7:AD10"/>
  </mergeCells>
  <conditionalFormatting sqref="Y11:AD23">
    <cfRule type="colorScale" priority="1">
      <colorScale>
        <cfvo type="num" val="-1"/>
        <cfvo type="num" val="0"/>
        <cfvo type="num" val="1"/>
        <color rgb="FF6A4061"/>
        <color theme="0"/>
        <color rgb="FF246147"/>
      </colorScale>
    </cfRule>
    <cfRule type="colorScale" priority="3">
      <colorScale>
        <cfvo type="num" val="$AB$26"/>
        <cfvo type="num" val="$AC$26"/>
        <cfvo type="num" val="$AD$26"/>
        <color rgb="FF7030A0"/>
        <color theme="0"/>
        <color rgb="FF63BE7B"/>
      </colorScale>
    </cfRule>
  </conditionalFormatting>
  <conditionalFormatting sqref="Y40:AD52">
    <cfRule type="colorScale" priority="2">
      <colorScale>
        <cfvo type="num" val="0"/>
        <cfvo type="num" val="0.08"/>
        <cfvo type="num" val="1"/>
        <color rgb="FF6A4061"/>
        <color theme="0"/>
        <color rgb="FF246147"/>
      </colorScale>
    </cfRule>
  </conditionalFormatting>
  <pageMargins left="0.7" right="0.7" top="0.75" bottom="0.75" header="0.3" footer="0.3"/>
  <pageSetup orientation="portrait" r:id="rId1"/>
  <ignoredErrors>
    <ignoredError sqref="AA13 Z20 AA18:AB18 AB14 Z12 AA19:AB19 AA15" formula="1"/>
    <ignoredError sqref="J1010 J1013 V1011" evalError="1"/>
    <ignoredError sqref="D1005"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66561" r:id="rId4" name="Drop Down 1">
              <controlPr defaultSize="0" autoLine="0" autoPict="0">
                <anchor>
                  <from>
                    <xdr:col>0</xdr:col>
                    <xdr:colOff>409575</xdr:colOff>
                    <xdr:row>4</xdr:row>
                    <xdr:rowOff>47625</xdr:rowOff>
                  </from>
                  <to>
                    <xdr:col>2</xdr:col>
                    <xdr:colOff>390525</xdr:colOff>
                    <xdr:row>5</xdr:row>
                    <xdr:rowOff>85725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30"/>
  <sheetViews>
    <sheetView showGridLines="0" zoomScale="56" zoomScaleNormal="56" workbookViewId="0">
      <selection activeCell="A35" sqref="A35"/>
    </sheetView>
  </sheetViews>
  <sheetFormatPr defaultRowHeight="15"/>
  <cols>
    <col min="1" max="1" width="2.140625" customWidth="1"/>
    <col min="2" max="2" width="4.85546875" customWidth="1"/>
    <col min="3" max="3" width="28" customWidth="1"/>
    <col min="4" max="4" width="24.140625" customWidth="1"/>
    <col min="5" max="5" width="28.5703125" style="39" customWidth="1"/>
    <col min="6" max="6" width="13.140625" style="39" customWidth="1"/>
    <col min="7" max="7" width="116" customWidth="1"/>
    <col min="8" max="8" width="17.85546875" customWidth="1"/>
  </cols>
  <sheetData>
    <row r="1" spans="1:10">
      <c r="B1" s="13"/>
      <c r="C1" s="13"/>
      <c r="D1" s="13"/>
      <c r="E1" s="110"/>
    </row>
    <row r="2" spans="1:10" ht="18.75">
      <c r="B2" s="19" t="s">
        <v>142</v>
      </c>
      <c r="C2" s="19"/>
      <c r="D2" s="19"/>
      <c r="E2" s="38"/>
      <c r="F2" s="38"/>
    </row>
    <row r="3" spans="1:10" ht="6.75" customHeight="1"/>
    <row r="4" spans="1:10" ht="28.5" customHeight="1">
      <c r="B4" s="392" t="s">
        <v>569</v>
      </c>
      <c r="C4" s="392"/>
      <c r="D4" s="392"/>
      <c r="E4" s="392"/>
      <c r="F4" s="392"/>
      <c r="G4" s="392"/>
    </row>
    <row r="5" spans="1:10" ht="51.75" customHeight="1">
      <c r="B5" s="393" t="s">
        <v>418</v>
      </c>
      <c r="C5" s="393"/>
      <c r="D5" s="393"/>
      <c r="E5" s="393"/>
      <c r="F5" s="393"/>
      <c r="G5" s="48"/>
    </row>
    <row r="6" spans="1:10" s="21" customFormat="1" ht="18.75">
      <c r="A6" s="20"/>
      <c r="B6" s="45" t="s">
        <v>152</v>
      </c>
      <c r="E6" s="40"/>
      <c r="F6" s="40"/>
    </row>
    <row r="7" spans="1:10" s="21" customFormat="1" ht="18.75">
      <c r="A7" s="20"/>
      <c r="C7" s="28" t="s">
        <v>190</v>
      </c>
      <c r="D7" s="28" t="s">
        <v>186</v>
      </c>
      <c r="E7" s="28" t="s">
        <v>180</v>
      </c>
      <c r="F7" s="28" t="s">
        <v>187</v>
      </c>
      <c r="G7" s="29" t="s">
        <v>179</v>
      </c>
    </row>
    <row r="8" spans="1:10" s="21" customFormat="1" ht="65.099999999999994" customHeight="1">
      <c r="A8" s="22"/>
      <c r="B8" s="22"/>
      <c r="C8" s="30" t="s">
        <v>154</v>
      </c>
      <c r="D8" s="31" t="s">
        <v>188</v>
      </c>
      <c r="E8" s="43" t="s">
        <v>181</v>
      </c>
      <c r="F8" s="43" t="s">
        <v>189</v>
      </c>
      <c r="G8" s="31" t="s">
        <v>153</v>
      </c>
    </row>
    <row r="9" spans="1:10" s="21" customFormat="1" ht="65.099999999999994" customHeight="1">
      <c r="A9" s="22"/>
      <c r="B9" s="22"/>
      <c r="C9" s="32" t="s">
        <v>143</v>
      </c>
      <c r="D9" s="31" t="s">
        <v>188</v>
      </c>
      <c r="E9" s="43" t="s">
        <v>181</v>
      </c>
      <c r="F9" s="43" t="s">
        <v>189</v>
      </c>
      <c r="G9" s="31" t="s">
        <v>543</v>
      </c>
    </row>
    <row r="10" spans="1:10" s="21" customFormat="1" ht="65.099999999999994" customHeight="1">
      <c r="A10" s="22"/>
      <c r="B10" s="22"/>
      <c r="C10" s="32" t="s">
        <v>541</v>
      </c>
      <c r="D10" s="31" t="s">
        <v>188</v>
      </c>
      <c r="E10" s="44" t="s">
        <v>182</v>
      </c>
      <c r="F10" s="44" t="s">
        <v>411</v>
      </c>
      <c r="G10" s="31" t="s">
        <v>542</v>
      </c>
    </row>
    <row r="11" spans="1:10" s="21" customFormat="1" ht="65.099999999999994" customHeight="1">
      <c r="A11" s="20"/>
      <c r="B11" s="20"/>
      <c r="C11" s="32" t="s">
        <v>145</v>
      </c>
      <c r="D11" s="31" t="s">
        <v>188</v>
      </c>
      <c r="E11" s="44" t="s">
        <v>183</v>
      </c>
      <c r="F11" s="44" t="s">
        <v>191</v>
      </c>
      <c r="G11" s="34" t="s">
        <v>158</v>
      </c>
    </row>
    <row r="12" spans="1:10" s="21" customFormat="1" ht="65.099999999999994" customHeight="1">
      <c r="A12" s="22"/>
      <c r="B12" s="22"/>
      <c r="C12" s="32" t="s">
        <v>172</v>
      </c>
      <c r="D12" s="35" t="s">
        <v>192</v>
      </c>
      <c r="E12" s="43" t="s">
        <v>184</v>
      </c>
      <c r="F12" s="43" t="s">
        <v>193</v>
      </c>
      <c r="G12" s="31" t="s">
        <v>159</v>
      </c>
    </row>
    <row r="13" spans="1:10" s="21" customFormat="1" ht="65.099999999999994" customHeight="1">
      <c r="A13" s="22"/>
      <c r="B13" s="22"/>
      <c r="C13" s="32" t="s">
        <v>53</v>
      </c>
      <c r="D13" s="35" t="s">
        <v>192</v>
      </c>
      <c r="E13" s="43" t="s">
        <v>413</v>
      </c>
      <c r="F13" s="43" t="s">
        <v>412</v>
      </c>
      <c r="G13" s="33" t="s">
        <v>157</v>
      </c>
    </row>
    <row r="14" spans="1:10" s="21" customFormat="1" ht="15" customHeight="1">
      <c r="E14" s="40"/>
      <c r="F14" s="40"/>
    </row>
    <row r="15" spans="1:10" s="23" customFormat="1" ht="18.75">
      <c r="A15" s="20"/>
      <c r="B15" s="42" t="s">
        <v>160</v>
      </c>
      <c r="E15" s="41"/>
      <c r="F15" s="41"/>
      <c r="G15" s="24"/>
      <c r="H15" s="24"/>
      <c r="I15" s="24"/>
      <c r="J15" s="25"/>
    </row>
    <row r="16" spans="1:10" s="21" customFormat="1" ht="65.099999999999994" customHeight="1">
      <c r="A16" s="20"/>
      <c r="B16" s="20"/>
      <c r="C16" s="72" t="s">
        <v>161</v>
      </c>
      <c r="D16" s="31" t="s">
        <v>188</v>
      </c>
      <c r="E16" s="43" t="s">
        <v>185</v>
      </c>
      <c r="F16" s="43" t="s">
        <v>194</v>
      </c>
      <c r="G16" s="35" t="s">
        <v>162</v>
      </c>
    </row>
    <row r="17" spans="1:7" s="21" customFormat="1" ht="65.099999999999994" customHeight="1">
      <c r="A17" s="22"/>
      <c r="B17" s="22"/>
      <c r="C17" s="73" t="s">
        <v>146</v>
      </c>
      <c r="D17" s="31" t="s">
        <v>188</v>
      </c>
      <c r="E17" s="43" t="s">
        <v>185</v>
      </c>
      <c r="F17" s="43" t="s">
        <v>195</v>
      </c>
      <c r="G17" s="31" t="s">
        <v>163</v>
      </c>
    </row>
    <row r="18" spans="1:7" s="21" customFormat="1" ht="65.099999999999994" customHeight="1">
      <c r="A18" s="22"/>
      <c r="B18" s="22"/>
      <c r="C18" s="74" t="s">
        <v>147</v>
      </c>
      <c r="D18" s="31" t="s">
        <v>188</v>
      </c>
      <c r="E18" s="43" t="s">
        <v>185</v>
      </c>
      <c r="F18" s="43" t="s">
        <v>196</v>
      </c>
      <c r="G18" s="37" t="s">
        <v>164</v>
      </c>
    </row>
    <row r="19" spans="1:7" s="21" customFormat="1" ht="65.099999999999994" customHeight="1">
      <c r="A19" s="22"/>
      <c r="B19" s="22"/>
      <c r="C19" s="74" t="s">
        <v>148</v>
      </c>
      <c r="D19" s="31" t="s">
        <v>188</v>
      </c>
      <c r="E19" s="43" t="s">
        <v>185</v>
      </c>
      <c r="F19" s="43" t="s">
        <v>194</v>
      </c>
      <c r="G19" s="37" t="s">
        <v>570</v>
      </c>
    </row>
    <row r="20" spans="1:7" s="21" customFormat="1" ht="65.099999999999994" customHeight="1">
      <c r="A20" s="22"/>
      <c r="B20" s="22"/>
      <c r="C20" s="74" t="s">
        <v>149</v>
      </c>
      <c r="D20" s="31" t="s">
        <v>188</v>
      </c>
      <c r="E20" s="43" t="s">
        <v>185</v>
      </c>
      <c r="F20" s="43" t="s">
        <v>197</v>
      </c>
      <c r="G20" s="37" t="s">
        <v>571</v>
      </c>
    </row>
    <row r="21" spans="1:7" s="21" customFormat="1" ht="65.099999999999994" customHeight="1">
      <c r="A21" s="22"/>
      <c r="B21" s="22"/>
      <c r="C21" s="75" t="s">
        <v>150</v>
      </c>
      <c r="D21" s="57" t="s">
        <v>188</v>
      </c>
      <c r="E21" s="58" t="s">
        <v>185</v>
      </c>
      <c r="F21" s="58" t="s">
        <v>198</v>
      </c>
      <c r="G21" s="59" t="s">
        <v>572</v>
      </c>
    </row>
    <row r="22" spans="1:7" s="21" customFormat="1" ht="15.75" customHeight="1">
      <c r="A22" s="22"/>
      <c r="B22" s="22"/>
      <c r="C22" s="63"/>
      <c r="D22" s="64"/>
      <c r="E22" s="65"/>
      <c r="F22" s="65"/>
      <c r="G22" s="66"/>
    </row>
    <row r="23" spans="1:7" s="21" customFormat="1" ht="21" customHeight="1">
      <c r="A23" s="22"/>
      <c r="B23" s="42" t="s">
        <v>376</v>
      </c>
      <c r="C23" s="68"/>
      <c r="D23" s="69"/>
      <c r="E23" s="70"/>
      <c r="F23" s="70"/>
      <c r="G23" s="71"/>
    </row>
    <row r="24" spans="1:7" s="21" customFormat="1" ht="21" customHeight="1">
      <c r="A24" s="22"/>
      <c r="B24" s="42"/>
      <c r="C24" s="36" t="s">
        <v>190</v>
      </c>
      <c r="D24" s="32" t="s">
        <v>223</v>
      </c>
      <c r="E24" s="28" t="s">
        <v>377</v>
      </c>
      <c r="F24" s="28" t="s">
        <v>187</v>
      </c>
      <c r="G24" s="29" t="s">
        <v>179</v>
      </c>
    </row>
    <row r="25" spans="1:7" s="21" customFormat="1" ht="38.25">
      <c r="A25" s="22"/>
      <c r="B25" s="22"/>
      <c r="C25" s="67" t="s">
        <v>230</v>
      </c>
      <c r="D25" s="60" t="s">
        <v>544</v>
      </c>
      <c r="E25" s="61" t="s">
        <v>222</v>
      </c>
      <c r="F25" s="61" t="s">
        <v>227</v>
      </c>
      <c r="G25" s="62" t="s">
        <v>573</v>
      </c>
    </row>
    <row r="26" spans="1:7" ht="38.25">
      <c r="C26" s="36" t="s">
        <v>231</v>
      </c>
      <c r="D26" s="31" t="s">
        <v>544</v>
      </c>
      <c r="E26" s="43" t="s">
        <v>228</v>
      </c>
      <c r="F26" s="61" t="s">
        <v>227</v>
      </c>
      <c r="G26" s="37" t="s">
        <v>221</v>
      </c>
    </row>
    <row r="28" spans="1:7" s="21" customFormat="1" ht="21" customHeight="1">
      <c r="A28" s="22"/>
      <c r="B28" s="42" t="s">
        <v>349</v>
      </c>
      <c r="C28" s="68"/>
      <c r="D28" s="69"/>
      <c r="E28" s="70"/>
      <c r="F28" s="70"/>
      <c r="G28" s="71"/>
    </row>
    <row r="29" spans="1:7" s="21" customFormat="1" ht="21" customHeight="1">
      <c r="A29" s="22"/>
      <c r="B29" s="42"/>
      <c r="C29" s="36" t="s">
        <v>190</v>
      </c>
      <c r="D29" s="28" t="s">
        <v>351</v>
      </c>
      <c r="E29" s="28" t="s">
        <v>180</v>
      </c>
      <c r="F29" s="28" t="s">
        <v>187</v>
      </c>
      <c r="G29" s="29" t="s">
        <v>179</v>
      </c>
    </row>
    <row r="30" spans="1:7" s="21" customFormat="1" ht="25.5">
      <c r="A30" s="22"/>
      <c r="B30" s="22"/>
      <c r="C30" s="67" t="s">
        <v>350</v>
      </c>
      <c r="D30" s="60" t="s">
        <v>352</v>
      </c>
      <c r="E30" s="99" t="s">
        <v>353</v>
      </c>
      <c r="F30" s="100" t="s">
        <v>416</v>
      </c>
      <c r="G30" s="62" t="s">
        <v>354</v>
      </c>
    </row>
  </sheetData>
  <mergeCells count="2">
    <mergeCell ref="B4:G4"/>
    <mergeCell ref="B5:F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85"/>
  <sheetViews>
    <sheetView topLeftCell="A16" workbookViewId="0">
      <selection activeCell="E40" sqref="E40"/>
    </sheetView>
  </sheetViews>
  <sheetFormatPr defaultRowHeight="15"/>
  <cols>
    <col min="1" max="1" width="23.5703125" customWidth="1"/>
    <col min="3" max="3" width="13.85546875" customWidth="1"/>
    <col min="7" max="7" width="27.85546875" customWidth="1"/>
    <col min="10" max="10" width="13.85546875" customWidth="1"/>
    <col min="11" max="11" width="13.42578125" customWidth="1"/>
  </cols>
  <sheetData>
    <row r="1" spans="1:7" ht="15.75" thickBot="1"/>
    <row r="2" spans="1:7" ht="15.75" thickBot="1">
      <c r="A2" s="5" t="s">
        <v>107</v>
      </c>
      <c r="B2" s="394" t="s">
        <v>463</v>
      </c>
      <c r="C2" s="395"/>
      <c r="D2" s="395"/>
      <c r="E2" s="395"/>
      <c r="F2" s="395"/>
      <c r="G2" s="396"/>
    </row>
    <row r="3" spans="1:7">
      <c r="A3" t="s">
        <v>464</v>
      </c>
    </row>
    <row r="4" spans="1:7">
      <c r="A4" t="s">
        <v>465</v>
      </c>
    </row>
    <row r="5" spans="1:7">
      <c r="A5" s="182" t="s">
        <v>466</v>
      </c>
    </row>
    <row r="6" spans="1:7">
      <c r="A6" t="s">
        <v>438</v>
      </c>
    </row>
    <row r="7" spans="1:7">
      <c r="A7" t="s">
        <v>467</v>
      </c>
    </row>
    <row r="8" spans="1:7">
      <c r="A8" t="s">
        <v>439</v>
      </c>
    </row>
    <row r="9" spans="1:7">
      <c r="A9" t="s">
        <v>440</v>
      </c>
    </row>
    <row r="10" spans="1:7">
      <c r="A10" t="s">
        <v>468</v>
      </c>
    </row>
    <row r="11" spans="1:7">
      <c r="A11" t="s">
        <v>446</v>
      </c>
    </row>
    <row r="12" spans="1:7">
      <c r="A12" t="s">
        <v>448</v>
      </c>
    </row>
    <row r="13" spans="1:7">
      <c r="A13" s="182" t="s">
        <v>469</v>
      </c>
    </row>
    <row r="14" spans="1:7">
      <c r="A14" t="s">
        <v>441</v>
      </c>
    </row>
    <row r="15" spans="1:7">
      <c r="A15" t="s">
        <v>442</v>
      </c>
    </row>
    <row r="16" spans="1:7">
      <c r="A16" t="s">
        <v>470</v>
      </c>
    </row>
    <row r="17" spans="1:1">
      <c r="A17" t="s">
        <v>471</v>
      </c>
    </row>
    <row r="18" spans="1:1">
      <c r="A18" t="s">
        <v>468</v>
      </c>
    </row>
    <row r="19" spans="1:1">
      <c r="A19" t="s">
        <v>446</v>
      </c>
    </row>
    <row r="20" spans="1:1">
      <c r="A20" t="s">
        <v>450</v>
      </c>
    </row>
    <row r="21" spans="1:1">
      <c r="A21" t="s">
        <v>472</v>
      </c>
    </row>
    <row r="22" spans="1:1">
      <c r="A22" t="s">
        <v>473</v>
      </c>
    </row>
    <row r="23" spans="1:1">
      <c r="A23" s="182" t="s">
        <v>474</v>
      </c>
    </row>
    <row r="24" spans="1:1">
      <c r="A24" s="183" t="s">
        <v>475</v>
      </c>
    </row>
    <row r="25" spans="1:1">
      <c r="A25" s="183" t="s">
        <v>476</v>
      </c>
    </row>
    <row r="26" spans="1:1">
      <c r="A26" s="182" t="s">
        <v>477</v>
      </c>
    </row>
    <row r="27" spans="1:1">
      <c r="A27" t="s">
        <v>478</v>
      </c>
    </row>
    <row r="28" spans="1:1">
      <c r="A28" t="s">
        <v>479</v>
      </c>
    </row>
    <row r="29" spans="1:1">
      <c r="A29" t="s">
        <v>447</v>
      </c>
    </row>
    <row r="30" spans="1:1">
      <c r="A30" t="s">
        <v>480</v>
      </c>
    </row>
    <row r="31" spans="1:1">
      <c r="A31" t="s">
        <v>481</v>
      </c>
    </row>
    <row r="32" spans="1:1">
      <c r="A32" s="182" t="s">
        <v>482</v>
      </c>
    </row>
    <row r="33" spans="1:2">
      <c r="A33" s="183" t="s">
        <v>485</v>
      </c>
    </row>
    <row r="34" spans="1:2">
      <c r="A34" t="s">
        <v>483</v>
      </c>
    </row>
    <row r="35" spans="1:2">
      <c r="A35" t="s">
        <v>484</v>
      </c>
    </row>
    <row r="36" spans="1:2">
      <c r="A36" t="s">
        <v>108</v>
      </c>
    </row>
    <row r="40" spans="1:2">
      <c r="A40" t="s">
        <v>537</v>
      </c>
    </row>
    <row r="47" spans="1:2">
      <c r="B47" t="s">
        <v>241</v>
      </c>
    </row>
    <row r="48" spans="1:2">
      <c r="B48" s="76" t="s">
        <v>242</v>
      </c>
    </row>
    <row r="49" spans="2:9" ht="28.5" customHeight="1">
      <c r="B49" s="77" t="s">
        <v>17</v>
      </c>
      <c r="C49" s="77" t="s">
        <v>243</v>
      </c>
      <c r="D49" s="77" t="s">
        <v>23</v>
      </c>
      <c r="E49" s="77" t="s">
        <v>244</v>
      </c>
      <c r="F49" s="77" t="s">
        <v>30</v>
      </c>
      <c r="G49" s="77" t="s">
        <v>245</v>
      </c>
      <c r="H49" s="77" t="s">
        <v>37</v>
      </c>
      <c r="I49" s="77" t="s">
        <v>246</v>
      </c>
    </row>
    <row r="50" spans="2:9" ht="45" customHeight="1">
      <c r="B50" s="77" t="s">
        <v>18</v>
      </c>
      <c r="C50" s="77" t="s">
        <v>247</v>
      </c>
      <c r="D50" s="77" t="s">
        <v>24</v>
      </c>
      <c r="E50" s="77" t="s">
        <v>248</v>
      </c>
      <c r="F50" s="77" t="s">
        <v>31</v>
      </c>
      <c r="G50" s="77" t="s">
        <v>249</v>
      </c>
      <c r="H50" s="77" t="s">
        <v>38</v>
      </c>
      <c r="I50" s="77" t="s">
        <v>250</v>
      </c>
    </row>
    <row r="51" spans="2:9" ht="45" customHeight="1">
      <c r="B51" s="77" t="s">
        <v>19</v>
      </c>
      <c r="C51" s="77" t="s">
        <v>251</v>
      </c>
      <c r="D51" s="77" t="s">
        <v>25</v>
      </c>
      <c r="E51" s="77" t="s">
        <v>252</v>
      </c>
      <c r="F51" s="77" t="s">
        <v>32</v>
      </c>
      <c r="G51" s="77" t="s">
        <v>253</v>
      </c>
      <c r="H51" s="77" t="s">
        <v>39</v>
      </c>
      <c r="I51" s="77" t="s">
        <v>254</v>
      </c>
    </row>
    <row r="52" spans="2:9" ht="28.5">
      <c r="B52" s="77" t="s">
        <v>20</v>
      </c>
      <c r="C52" s="77" t="s">
        <v>255</v>
      </c>
      <c r="D52" s="77" t="s">
        <v>26</v>
      </c>
      <c r="E52" s="77" t="s">
        <v>256</v>
      </c>
      <c r="F52" s="77" t="s">
        <v>33</v>
      </c>
      <c r="G52" s="77" t="s">
        <v>257</v>
      </c>
      <c r="H52" s="77" t="s">
        <v>40</v>
      </c>
      <c r="I52" s="77" t="s">
        <v>258</v>
      </c>
    </row>
    <row r="53" spans="2:9" ht="45" customHeight="1">
      <c r="B53" s="77" t="s">
        <v>49</v>
      </c>
      <c r="C53" s="77" t="s">
        <v>259</v>
      </c>
      <c r="D53" s="77" t="s">
        <v>27</v>
      </c>
      <c r="E53" s="77" t="s">
        <v>260</v>
      </c>
      <c r="F53" s="77" t="s">
        <v>34</v>
      </c>
      <c r="G53" s="77" t="s">
        <v>261</v>
      </c>
      <c r="H53" s="77" t="s">
        <v>41</v>
      </c>
      <c r="I53" s="77" t="s">
        <v>262</v>
      </c>
    </row>
    <row r="54" spans="2:9" ht="60" customHeight="1">
      <c r="B54" s="77" t="s">
        <v>21</v>
      </c>
      <c r="C54" s="77" t="s">
        <v>263</v>
      </c>
      <c r="D54" s="77" t="s">
        <v>28</v>
      </c>
      <c r="E54" s="77" t="s">
        <v>264</v>
      </c>
      <c r="F54" s="77" t="s">
        <v>35</v>
      </c>
      <c r="G54" s="77" t="s">
        <v>265</v>
      </c>
      <c r="H54" s="77" t="s">
        <v>42</v>
      </c>
      <c r="I54" s="77" t="s">
        <v>266</v>
      </c>
    </row>
    <row r="55" spans="2:9" ht="45" customHeight="1">
      <c r="B55" s="77" t="s">
        <v>22</v>
      </c>
      <c r="C55" s="77" t="s">
        <v>267</v>
      </c>
      <c r="D55" s="77" t="s">
        <v>29</v>
      </c>
      <c r="E55" s="77" t="s">
        <v>268</v>
      </c>
      <c r="F55" s="77" t="s">
        <v>36</v>
      </c>
      <c r="G55" s="77" t="s">
        <v>269</v>
      </c>
      <c r="H55" s="77" t="s">
        <v>43</v>
      </c>
      <c r="I55" s="77" t="s">
        <v>270</v>
      </c>
    </row>
    <row r="56" spans="2:9">
      <c r="B56" s="76" t="s">
        <v>271</v>
      </c>
    </row>
    <row r="57" spans="2:9">
      <c r="B57" s="77" t="s">
        <v>44</v>
      </c>
      <c r="C57" s="77" t="s">
        <v>272</v>
      </c>
      <c r="D57" s="77"/>
      <c r="E57" s="77" t="s">
        <v>45</v>
      </c>
      <c r="F57" s="77" t="s">
        <v>273</v>
      </c>
    </row>
    <row r="58" spans="2:9" ht="28.5">
      <c r="B58" s="77" t="s">
        <v>274</v>
      </c>
      <c r="C58" s="77" t="s">
        <v>275</v>
      </c>
      <c r="D58" s="77"/>
      <c r="E58" s="77" t="s">
        <v>46</v>
      </c>
      <c r="F58" s="77" t="s">
        <v>276</v>
      </c>
    </row>
    <row r="59" spans="2:9">
      <c r="B59" s="76" t="s">
        <v>277</v>
      </c>
    </row>
    <row r="60" spans="2:9" ht="28.5">
      <c r="B60" s="77" t="s">
        <v>238</v>
      </c>
      <c r="C60" s="77" t="s">
        <v>278</v>
      </c>
    </row>
    <row r="61" spans="2:9" ht="30" customHeight="1">
      <c r="B61" s="77" t="s">
        <v>279</v>
      </c>
      <c r="C61" s="78" t="s">
        <v>280</v>
      </c>
    </row>
    <row r="62" spans="2:9">
      <c r="B62" s="77" t="s">
        <v>239</v>
      </c>
      <c r="C62" s="77" t="s">
        <v>281</v>
      </c>
    </row>
    <row r="63" spans="2:9">
      <c r="B63" s="77" t="s">
        <v>240</v>
      </c>
      <c r="C63" s="77" t="s">
        <v>282</v>
      </c>
    </row>
    <row r="64" spans="2:9" ht="45" customHeight="1">
      <c r="B64" s="77" t="s">
        <v>47</v>
      </c>
      <c r="C64" s="77" t="s">
        <v>283</v>
      </c>
    </row>
    <row r="65" spans="2:9" ht="60" customHeight="1">
      <c r="B65" s="76" t="s">
        <v>284</v>
      </c>
    </row>
    <row r="66" spans="2:9" ht="57">
      <c r="B66" s="77" t="s">
        <v>285</v>
      </c>
      <c r="C66" s="78" t="s">
        <v>286</v>
      </c>
    </row>
    <row r="67" spans="2:9" ht="57">
      <c r="B67" s="77" t="s">
        <v>287</v>
      </c>
      <c r="C67" s="77" t="s">
        <v>288</v>
      </c>
    </row>
    <row r="68" spans="2:9" ht="60" customHeight="1">
      <c r="B68" s="79" t="s">
        <v>289</v>
      </c>
    </row>
    <row r="69" spans="2:9">
      <c r="B69" s="77" t="s">
        <v>290</v>
      </c>
      <c r="C69" s="77" t="s">
        <v>291</v>
      </c>
      <c r="D69" s="77"/>
      <c r="E69" s="77" t="s">
        <v>292</v>
      </c>
      <c r="F69" s="77" t="s">
        <v>293</v>
      </c>
      <c r="G69" s="77"/>
      <c r="H69" s="77" t="s">
        <v>294</v>
      </c>
      <c r="I69" s="77" t="s">
        <v>295</v>
      </c>
    </row>
    <row r="70" spans="2:9" ht="28.5">
      <c r="B70" s="77" t="s">
        <v>296</v>
      </c>
      <c r="C70" s="77" t="s">
        <v>297</v>
      </c>
      <c r="D70" s="77"/>
      <c r="E70" s="77" t="s">
        <v>298</v>
      </c>
      <c r="F70" s="77" t="s">
        <v>299</v>
      </c>
      <c r="G70" s="77"/>
      <c r="H70" s="77" t="s">
        <v>300</v>
      </c>
      <c r="I70" s="77" t="s">
        <v>301</v>
      </c>
    </row>
    <row r="71" spans="2:9" ht="45" customHeight="1">
      <c r="B71" s="76" t="s">
        <v>302</v>
      </c>
    </row>
    <row r="72" spans="2:9">
      <c r="B72" s="77" t="s">
        <v>303</v>
      </c>
      <c r="C72" s="77" t="s">
        <v>304</v>
      </c>
      <c r="D72" s="77"/>
      <c r="E72" s="77" t="s">
        <v>305</v>
      </c>
      <c r="F72" s="77" t="s">
        <v>306</v>
      </c>
      <c r="G72" s="77"/>
      <c r="H72" s="77" t="s">
        <v>307</v>
      </c>
      <c r="I72" s="77" t="s">
        <v>308</v>
      </c>
    </row>
    <row r="73" spans="2:9" ht="45" customHeight="1">
      <c r="B73" s="77" t="s">
        <v>309</v>
      </c>
      <c r="C73" s="77" t="s">
        <v>310</v>
      </c>
      <c r="D73" s="77"/>
      <c r="E73" s="77" t="s">
        <v>311</v>
      </c>
      <c r="F73" s="77" t="s">
        <v>312</v>
      </c>
      <c r="G73" s="77"/>
      <c r="H73" s="77" t="s">
        <v>313</v>
      </c>
      <c r="I73" s="77" t="s">
        <v>314</v>
      </c>
    </row>
    <row r="74" spans="2:9">
      <c r="B74" s="77" t="s">
        <v>315</v>
      </c>
      <c r="C74" s="77" t="s">
        <v>316</v>
      </c>
      <c r="D74" s="77"/>
      <c r="E74" s="77" t="s">
        <v>317</v>
      </c>
      <c r="F74" s="77" t="s">
        <v>318</v>
      </c>
      <c r="G74" s="77"/>
      <c r="H74" s="77"/>
      <c r="I74" s="77"/>
    </row>
    <row r="75" spans="2:9" ht="85.5">
      <c r="B75" s="77" t="s">
        <v>319</v>
      </c>
      <c r="C75" s="77" t="s">
        <v>320</v>
      </c>
      <c r="D75" s="77"/>
      <c r="E75" s="77" t="s">
        <v>321</v>
      </c>
      <c r="F75" s="77" t="s">
        <v>322</v>
      </c>
      <c r="G75" s="77"/>
      <c r="H75" s="77"/>
      <c r="I75" s="77"/>
    </row>
    <row r="82" ht="15" customHeight="1"/>
    <row r="85" ht="75" customHeight="1"/>
  </sheetData>
  <mergeCells count="1">
    <mergeCell ref="B2:G2"/>
  </mergeCells>
  <hyperlinks>
    <hyperlink ref="C61" r:id="rId1" location="cite_note-1" display="http://ec.europa.eu/eurostat/statistics-explained/index.php/Glossary:Country_codes - cite_note-1"/>
    <hyperlink ref="C66" r:id="rId2" location="cite_note-2" display="http://ec.europa.eu/eurostat/statistics-explained/index.php/Glossary:Country_codes - cite_note-2"/>
    <hyperlink ref="B68" r:id="rId3" display="http://ec.europa.eu/eurostat/statistics-explained/index.php/Glossary:European_Neighbourhood_Policy_(ENP)"/>
  </hyperlinks>
  <pageMargins left="0.7" right="0.7" top="0.75" bottom="0.75" header="0.3" footer="0.3"/>
  <pageSetup orientation="portrait"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31"/>
  <sheetViews>
    <sheetView showGridLines="0" topLeftCell="G10" zoomScale="80" zoomScaleNormal="80" workbookViewId="0">
      <selection activeCell="I13" sqref="I13"/>
    </sheetView>
  </sheetViews>
  <sheetFormatPr defaultRowHeight="15"/>
  <cols>
    <col min="1" max="1" width="2.140625" customWidth="1"/>
    <col min="2" max="2" width="4.85546875" customWidth="1"/>
    <col min="3" max="3" width="28" customWidth="1"/>
    <col min="4" max="4" width="24.140625" customWidth="1"/>
    <col min="5" max="5" width="28.5703125" style="39" customWidth="1"/>
    <col min="6" max="6" width="13.140625" style="39" customWidth="1"/>
    <col min="7" max="7" width="116" customWidth="1"/>
    <col min="8" max="8" width="31" customWidth="1"/>
    <col min="9" max="9" width="31.5703125" customWidth="1"/>
  </cols>
  <sheetData>
    <row r="1" spans="1:10">
      <c r="B1" s="13"/>
      <c r="C1" s="13"/>
      <c r="D1" s="13"/>
      <c r="E1" s="110"/>
    </row>
    <row r="2" spans="1:10" ht="18.75">
      <c r="B2" s="19" t="s">
        <v>142</v>
      </c>
      <c r="C2" s="19"/>
      <c r="D2" s="19"/>
      <c r="E2" s="38"/>
      <c r="F2" s="38"/>
    </row>
    <row r="3" spans="1:10" ht="6.75" customHeight="1"/>
    <row r="4" spans="1:10" ht="28.5" customHeight="1">
      <c r="B4" s="392" t="s">
        <v>419</v>
      </c>
      <c r="C4" s="392"/>
      <c r="D4" s="392"/>
      <c r="E4" s="392"/>
      <c r="F4" s="392"/>
      <c r="G4" s="392"/>
    </row>
    <row r="5" spans="1:10" ht="51.75" customHeight="1">
      <c r="B5" s="393" t="s">
        <v>418</v>
      </c>
      <c r="C5" s="393"/>
      <c r="D5" s="393"/>
      <c r="E5" s="393"/>
      <c r="F5" s="393"/>
      <c r="G5" s="140"/>
    </row>
    <row r="6" spans="1:10" s="21" customFormat="1" ht="18.75">
      <c r="A6" s="20"/>
      <c r="B6" s="45" t="s">
        <v>152</v>
      </c>
      <c r="E6" s="40"/>
      <c r="F6" s="40"/>
    </row>
    <row r="7" spans="1:10" s="21" customFormat="1" ht="18.75">
      <c r="A7" s="20"/>
      <c r="C7" s="28" t="s">
        <v>190</v>
      </c>
      <c r="D7" s="28" t="s">
        <v>186</v>
      </c>
      <c r="E7" s="28" t="s">
        <v>180</v>
      </c>
      <c r="F7" s="28" t="s">
        <v>187</v>
      </c>
      <c r="G7" s="142" t="s">
        <v>179</v>
      </c>
      <c r="H7" s="141" t="s">
        <v>420</v>
      </c>
      <c r="I7" s="141"/>
    </row>
    <row r="8" spans="1:10" s="21" customFormat="1" ht="65.099999999999994" customHeight="1">
      <c r="A8" s="22"/>
      <c r="B8" s="22"/>
      <c r="C8" s="30" t="s">
        <v>154</v>
      </c>
      <c r="D8" s="31" t="s">
        <v>188</v>
      </c>
      <c r="E8" s="43" t="s">
        <v>181</v>
      </c>
      <c r="F8" s="43" t="s">
        <v>189</v>
      </c>
      <c r="G8" s="143" t="s">
        <v>153</v>
      </c>
      <c r="H8" s="152" t="s">
        <v>423</v>
      </c>
      <c r="I8" s="151" t="s">
        <v>424</v>
      </c>
    </row>
    <row r="9" spans="1:10" s="21" customFormat="1" ht="65.099999999999994" customHeight="1">
      <c r="A9" s="22"/>
      <c r="B9" s="22"/>
      <c r="C9" s="32" t="s">
        <v>143</v>
      </c>
      <c r="D9" s="31" t="s">
        <v>188</v>
      </c>
      <c r="E9" s="43" t="s">
        <v>181</v>
      </c>
      <c r="F9" s="43" t="s">
        <v>189</v>
      </c>
      <c r="G9" s="143" t="s">
        <v>155</v>
      </c>
      <c r="H9" s="141" t="s">
        <v>421</v>
      </c>
      <c r="I9" s="141"/>
    </row>
    <row r="10" spans="1:10" s="21" customFormat="1" ht="65.099999999999994" customHeight="1">
      <c r="A10" s="22"/>
      <c r="B10" s="22"/>
      <c r="C10" s="32" t="s">
        <v>144</v>
      </c>
      <c r="D10" s="31" t="s">
        <v>188</v>
      </c>
      <c r="E10" s="44" t="s">
        <v>182</v>
      </c>
      <c r="F10" s="44" t="s">
        <v>411</v>
      </c>
      <c r="G10" s="143" t="s">
        <v>156</v>
      </c>
      <c r="H10" s="152" t="s">
        <v>422</v>
      </c>
      <c r="I10" s="151" t="s">
        <v>425</v>
      </c>
    </row>
    <row r="11" spans="1:10" s="21" customFormat="1" ht="65.099999999999994" customHeight="1">
      <c r="A11" s="20"/>
      <c r="B11" s="20"/>
      <c r="C11" s="32" t="s">
        <v>145</v>
      </c>
      <c r="D11" s="31" t="s">
        <v>188</v>
      </c>
      <c r="E11" s="44" t="s">
        <v>183</v>
      </c>
      <c r="F11" s="44" t="s">
        <v>191</v>
      </c>
      <c r="G11" s="144" t="s">
        <v>158</v>
      </c>
      <c r="H11" s="151" t="s">
        <v>426</v>
      </c>
      <c r="I11" s="151" t="s">
        <v>425</v>
      </c>
    </row>
    <row r="12" spans="1:10" s="21" customFormat="1" ht="65.099999999999994" customHeight="1">
      <c r="A12" s="22"/>
      <c r="B12" s="22"/>
      <c r="C12" s="32" t="s">
        <v>172</v>
      </c>
      <c r="D12" s="35" t="s">
        <v>192</v>
      </c>
      <c r="E12" s="43" t="s">
        <v>184</v>
      </c>
      <c r="F12" s="43" t="s">
        <v>193</v>
      </c>
      <c r="G12" s="143" t="s">
        <v>159</v>
      </c>
      <c r="H12" s="152" t="s">
        <v>427</v>
      </c>
      <c r="I12" s="151" t="s">
        <v>428</v>
      </c>
    </row>
    <row r="13" spans="1:10" s="21" customFormat="1" ht="65.099999999999994" customHeight="1">
      <c r="A13" s="22"/>
      <c r="B13" s="22"/>
      <c r="C13" s="32" t="s">
        <v>53</v>
      </c>
      <c r="D13" s="35" t="s">
        <v>192</v>
      </c>
      <c r="E13" s="43" t="s">
        <v>413</v>
      </c>
      <c r="F13" s="43" t="s">
        <v>412</v>
      </c>
      <c r="G13" s="145" t="s">
        <v>157</v>
      </c>
      <c r="H13" s="152" t="s">
        <v>452</v>
      </c>
      <c r="I13" s="151" t="s">
        <v>532</v>
      </c>
    </row>
    <row r="14" spans="1:10" s="21" customFormat="1" ht="15" customHeight="1">
      <c r="E14" s="40"/>
      <c r="F14" s="40"/>
      <c r="H14" s="141"/>
      <c r="I14" s="141"/>
    </row>
    <row r="15" spans="1:10" s="23" customFormat="1" ht="18.75">
      <c r="A15" s="20"/>
      <c r="B15" s="42" t="s">
        <v>160</v>
      </c>
      <c r="E15" s="41"/>
      <c r="F15" s="41"/>
      <c r="G15" s="24"/>
      <c r="H15" s="150"/>
      <c r="I15" s="150"/>
      <c r="J15" s="25"/>
    </row>
    <row r="16" spans="1:10" s="21" customFormat="1" ht="65.099999999999994" customHeight="1">
      <c r="A16" s="20"/>
      <c r="B16" s="20"/>
      <c r="C16" s="72" t="s">
        <v>161</v>
      </c>
      <c r="D16" s="31" t="s">
        <v>188</v>
      </c>
      <c r="E16" s="43" t="s">
        <v>185</v>
      </c>
      <c r="F16" s="43" t="s">
        <v>194</v>
      </c>
      <c r="G16" s="146" t="s">
        <v>162</v>
      </c>
      <c r="H16" s="151" t="s">
        <v>429</v>
      </c>
      <c r="I16" s="151" t="s">
        <v>430</v>
      </c>
    </row>
    <row r="17" spans="1:9" s="21" customFormat="1" ht="65.099999999999994" customHeight="1">
      <c r="A17" s="22"/>
      <c r="B17" s="22"/>
      <c r="C17" s="73" t="s">
        <v>146</v>
      </c>
      <c r="D17" s="31" t="s">
        <v>188</v>
      </c>
      <c r="E17" s="43" t="s">
        <v>185</v>
      </c>
      <c r="F17" s="43" t="s">
        <v>195</v>
      </c>
      <c r="G17" s="143" t="s">
        <v>163</v>
      </c>
      <c r="H17" s="151" t="s">
        <v>434</v>
      </c>
      <c r="I17" s="141"/>
    </row>
    <row r="18" spans="1:9" s="21" customFormat="1" ht="65.099999999999994" customHeight="1">
      <c r="A18" s="22"/>
      <c r="B18" s="22"/>
      <c r="C18" s="74" t="s">
        <v>147</v>
      </c>
      <c r="D18" s="31" t="s">
        <v>188</v>
      </c>
      <c r="E18" s="43" t="s">
        <v>185</v>
      </c>
      <c r="F18" s="43" t="s">
        <v>196</v>
      </c>
      <c r="G18" s="147" t="s">
        <v>164</v>
      </c>
      <c r="H18" s="151" t="s">
        <v>432</v>
      </c>
      <c r="I18" s="141"/>
    </row>
    <row r="19" spans="1:9" s="21" customFormat="1" ht="65.099999999999994" customHeight="1">
      <c r="A19" s="22"/>
      <c r="B19" s="22"/>
      <c r="C19" s="74" t="s">
        <v>148</v>
      </c>
      <c r="D19" s="31" t="s">
        <v>188</v>
      </c>
      <c r="E19" s="43" t="s">
        <v>185</v>
      </c>
      <c r="F19" s="43" t="s">
        <v>194</v>
      </c>
      <c r="G19" s="147" t="s">
        <v>165</v>
      </c>
      <c r="H19" s="151" t="s">
        <v>429</v>
      </c>
      <c r="I19" s="141"/>
    </row>
    <row r="20" spans="1:9" s="21" customFormat="1" ht="65.099999999999994" customHeight="1">
      <c r="A20" s="22"/>
      <c r="B20" s="22"/>
      <c r="C20" s="74" t="s">
        <v>149</v>
      </c>
      <c r="D20" s="31" t="s">
        <v>188</v>
      </c>
      <c r="E20" s="43" t="s">
        <v>185</v>
      </c>
      <c r="F20" s="43" t="s">
        <v>197</v>
      </c>
      <c r="G20" s="147" t="s">
        <v>166</v>
      </c>
      <c r="H20" s="151" t="s">
        <v>433</v>
      </c>
      <c r="I20" s="141"/>
    </row>
    <row r="21" spans="1:9" s="21" customFormat="1" ht="65.099999999999994" customHeight="1">
      <c r="A21" s="22"/>
      <c r="B21" s="22"/>
      <c r="C21" s="75" t="s">
        <v>150</v>
      </c>
      <c r="D21" s="57" t="s">
        <v>188</v>
      </c>
      <c r="E21" s="58" t="s">
        <v>185</v>
      </c>
      <c r="F21" s="58" t="s">
        <v>198</v>
      </c>
      <c r="G21" s="148" t="s">
        <v>167</v>
      </c>
      <c r="H21" s="151" t="s">
        <v>431</v>
      </c>
      <c r="I21" s="141"/>
    </row>
    <row r="22" spans="1:9" s="21" customFormat="1" ht="15.75" customHeight="1">
      <c r="A22" s="22"/>
      <c r="B22" s="22"/>
      <c r="C22" s="63"/>
      <c r="D22" s="64"/>
      <c r="E22" s="65"/>
      <c r="F22" s="65"/>
      <c r="G22" s="66"/>
      <c r="H22" s="141"/>
      <c r="I22" s="141"/>
    </row>
    <row r="23" spans="1:9" s="21" customFormat="1" ht="21" customHeight="1">
      <c r="A23" s="22"/>
      <c r="B23" s="42" t="s">
        <v>376</v>
      </c>
      <c r="C23" s="68"/>
      <c r="D23" s="69"/>
      <c r="E23" s="70"/>
      <c r="F23" s="70"/>
      <c r="G23" s="71"/>
      <c r="H23" s="141"/>
      <c r="I23" s="141"/>
    </row>
    <row r="24" spans="1:9" s="21" customFormat="1" ht="21" customHeight="1">
      <c r="A24" s="22"/>
      <c r="B24" s="42"/>
      <c r="C24" s="36" t="s">
        <v>190</v>
      </c>
      <c r="D24" s="32" t="s">
        <v>223</v>
      </c>
      <c r="E24" s="28" t="s">
        <v>377</v>
      </c>
      <c r="F24" s="28" t="s">
        <v>187</v>
      </c>
      <c r="G24" s="142" t="s">
        <v>179</v>
      </c>
      <c r="H24" s="141"/>
      <c r="I24" s="141"/>
    </row>
    <row r="25" spans="1:9" s="21" customFormat="1" ht="51">
      <c r="A25" s="22"/>
      <c r="B25" s="22"/>
      <c r="C25" s="67" t="s">
        <v>230</v>
      </c>
      <c r="D25" s="60" t="s">
        <v>232</v>
      </c>
      <c r="E25" s="61" t="s">
        <v>222</v>
      </c>
      <c r="F25" s="61" t="s">
        <v>227</v>
      </c>
      <c r="G25" s="149" t="s">
        <v>229</v>
      </c>
      <c r="H25" s="152" t="s">
        <v>435</v>
      </c>
      <c r="I25" s="141"/>
    </row>
    <row r="26" spans="1:9" ht="51">
      <c r="C26" s="36" t="s">
        <v>231</v>
      </c>
      <c r="D26" s="31" t="s">
        <v>232</v>
      </c>
      <c r="E26" s="43" t="s">
        <v>228</v>
      </c>
      <c r="F26" s="61" t="s">
        <v>227</v>
      </c>
      <c r="G26" s="147" t="s">
        <v>221</v>
      </c>
      <c r="H26" s="152" t="s">
        <v>435</v>
      </c>
      <c r="I26" s="108"/>
    </row>
    <row r="27" spans="1:9">
      <c r="H27" s="108"/>
      <c r="I27" s="108"/>
    </row>
    <row r="28" spans="1:9" s="21" customFormat="1" ht="21" customHeight="1">
      <c r="A28" s="22"/>
      <c r="B28" s="42" t="s">
        <v>349</v>
      </c>
      <c r="C28" s="68"/>
      <c r="D28" s="69"/>
      <c r="E28" s="70"/>
      <c r="F28" s="70"/>
      <c r="G28" s="71"/>
      <c r="H28" s="141"/>
      <c r="I28" s="141"/>
    </row>
    <row r="29" spans="1:9" s="21" customFormat="1" ht="21" customHeight="1">
      <c r="A29" s="22"/>
      <c r="B29" s="42"/>
      <c r="C29" s="36" t="s">
        <v>190</v>
      </c>
      <c r="D29" s="28" t="s">
        <v>351</v>
      </c>
      <c r="E29" s="28" t="s">
        <v>180</v>
      </c>
      <c r="F29" s="28" t="s">
        <v>187</v>
      </c>
      <c r="G29" s="142" t="s">
        <v>179</v>
      </c>
      <c r="H29" s="141"/>
      <c r="I29" s="141"/>
    </row>
    <row r="30" spans="1:9" s="21" customFormat="1" ht="38.25">
      <c r="A30" s="22"/>
      <c r="B30" s="22"/>
      <c r="C30" s="67" t="s">
        <v>350</v>
      </c>
      <c r="D30" s="60" t="s">
        <v>352</v>
      </c>
      <c r="E30" s="99" t="s">
        <v>353</v>
      </c>
      <c r="F30" s="100" t="s">
        <v>416</v>
      </c>
      <c r="G30" s="149" t="s">
        <v>354</v>
      </c>
      <c r="H30" s="152" t="s">
        <v>443</v>
      </c>
      <c r="I30" s="141"/>
    </row>
    <row r="31" spans="1:9" ht="45">
      <c r="H31" s="156" t="s">
        <v>444</v>
      </c>
    </row>
  </sheetData>
  <mergeCells count="2">
    <mergeCell ref="B4:G4"/>
    <mergeCell ref="B5:F5"/>
  </mergeCells>
  <hyperlinks>
    <hyperlink ref="H8" r:id="rId1"/>
    <hyperlink ref="H13" r:id="rId2"/>
    <hyperlink ref="H10" r:id="rId3"/>
    <hyperlink ref="H12" r:id="rId4"/>
    <hyperlink ref="H25" r:id="rId5"/>
    <hyperlink ref="H30" r:id="rId6"/>
    <hyperlink ref="H26" r:id="rId7"/>
  </hyperlinks>
  <pageMargins left="0.7" right="0.7" top="0.75" bottom="0.75" header="0.3" footer="0.3"/>
  <pageSetup orientation="portrait" r:id="rId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B1007"/>
  <sheetViews>
    <sheetView zoomScale="66" zoomScaleNormal="66" workbookViewId="0">
      <selection activeCell="A35" sqref="A35"/>
    </sheetView>
  </sheetViews>
  <sheetFormatPr defaultColWidth="9.140625" defaultRowHeight="15"/>
  <cols>
    <col min="1" max="1" width="4.85546875" style="15" customWidth="1"/>
    <col min="2" max="2" width="10.140625" style="15" bestFit="1" customWidth="1"/>
    <col min="3" max="3" width="10.5703125" style="15" customWidth="1"/>
    <col min="4" max="4" width="9.140625" style="15"/>
    <col min="5" max="5" width="12.140625" style="15" customWidth="1"/>
    <col min="6" max="16384" width="9.140625" style="15"/>
  </cols>
  <sheetData>
    <row r="1" spans="1:22" ht="9" customHeight="1"/>
    <row r="2" spans="1:22" ht="21" customHeight="1">
      <c r="A2" s="106"/>
      <c r="B2" s="106" t="s">
        <v>566</v>
      </c>
      <c r="C2" s="106"/>
      <c r="D2" s="106"/>
      <c r="E2" s="106"/>
      <c r="F2" s="106"/>
      <c r="G2" s="106"/>
      <c r="H2" s="106"/>
      <c r="I2" s="106"/>
      <c r="J2" s="106"/>
      <c r="K2" s="106"/>
      <c r="L2" s="106"/>
    </row>
    <row r="3" spans="1:22" ht="7.5" customHeight="1"/>
    <row r="4" spans="1:22" ht="4.5" customHeight="1"/>
    <row r="5" spans="1:22" ht="17.25" customHeight="1">
      <c r="C5" s="15">
        <v>1</v>
      </c>
      <c r="F5" s="365" t="s">
        <v>342</v>
      </c>
      <c r="G5" s="365"/>
      <c r="H5" s="365"/>
      <c r="I5" s="365"/>
      <c r="J5" s="365"/>
      <c r="K5" s="93"/>
      <c r="L5" s="93"/>
      <c r="M5" s="93"/>
      <c r="N5" s="93"/>
      <c r="O5" s="93"/>
    </row>
    <row r="7" spans="1:22" ht="14.25" customHeight="1">
      <c r="B7" s="15" t="str">
        <f>CONCATENATE(B1000," ",A1002, " - ", B999)</f>
        <v xml:space="preserve"> Total employment - European Union (28 countries)</v>
      </c>
      <c r="I7" s="15" t="str">
        <f>CONCATENATE(C1000," ",L1004, " - ", B999)</f>
        <v>Y / Y Change in total employment - European Union (28 countries)</v>
      </c>
      <c r="N7" s="223"/>
      <c r="P7" s="223" t="str">
        <f>CONCATENATE(A1003, " - ", B999)</f>
        <v>Part-time workers as % of total employment - European Union (28 countries)</v>
      </c>
      <c r="V7" s="223"/>
    </row>
    <row r="8" spans="1:22" ht="14.25" customHeight="1"/>
    <row r="9" spans="1:22" ht="14.25" customHeight="1"/>
    <row r="10" spans="1:22" ht="14.25" customHeight="1"/>
    <row r="11" spans="1:22" ht="14.25" customHeight="1"/>
    <row r="12" spans="1:22" ht="14.25" customHeight="1"/>
    <row r="13" spans="1:22" ht="14.25" customHeight="1"/>
    <row r="14" spans="1:22" ht="14.25" customHeight="1"/>
    <row r="15" spans="1:22" ht="14.25" customHeight="1"/>
    <row r="16" spans="1:22" ht="14.25" customHeight="1"/>
    <row r="17" spans="2:16" ht="14.1" customHeight="1"/>
    <row r="18" spans="2:16" ht="14.25" customHeight="1"/>
    <row r="19" spans="2:16" ht="14.25" customHeight="1"/>
    <row r="20" spans="2:16" ht="14.25" customHeight="1"/>
    <row r="21" spans="2:16" ht="14.25" customHeight="1"/>
    <row r="22" spans="2:16" ht="14.25" customHeight="1"/>
    <row r="23" spans="2:16" ht="14.25" customHeight="1"/>
    <row r="24" spans="2:16" ht="14.25" customHeight="1">
      <c r="B24" s="15" t="str">
        <f>CONCATENATE(B1000," ",L1006, " - ", B999)</f>
        <v xml:space="preserve"> Employment rate - European Union (28 countries)</v>
      </c>
      <c r="I24" s="195" t="str">
        <f>CONCATENATE(B1000," ",L1007, " - ", B999)</f>
        <v xml:space="preserve"> Unemployment-to-employment transition - European Union (28 countries)</v>
      </c>
      <c r="N24" s="196"/>
      <c r="P24" s="15" t="str">
        <f>CONCATENATE(A1005, " - ", B999)</f>
        <v>Employees with temporary contracts - European Union (28 countries)</v>
      </c>
    </row>
    <row r="25" spans="2:16" ht="14.25" customHeight="1"/>
    <row r="26" spans="2:16" ht="14.25" customHeight="1"/>
    <row r="27" spans="2:16" ht="14.25" customHeight="1"/>
    <row r="28" spans="2:16" ht="14.25" customHeight="1"/>
    <row r="29" spans="2:16" ht="14.25" customHeight="1"/>
    <row r="30" spans="2:16" ht="14.25" customHeight="1"/>
    <row r="31" spans="2:16" ht="14.25" customHeight="1"/>
    <row r="32" spans="2:16" ht="14.25" customHeight="1"/>
    <row r="33" spans="2:21" ht="14.25" customHeight="1"/>
    <row r="34" spans="2:21" ht="14.25" customHeight="1"/>
    <row r="35" spans="2:21" ht="14.25" customHeight="1"/>
    <row r="36" spans="2:21">
      <c r="H36" s="160"/>
      <c r="I36" s="160"/>
      <c r="J36" s="160"/>
      <c r="K36" s="160"/>
    </row>
    <row r="37" spans="2:21">
      <c r="B37" s="363" t="s">
        <v>451</v>
      </c>
      <c r="C37" s="363"/>
      <c r="D37" s="363"/>
      <c r="E37" s="363"/>
      <c r="F37" s="363"/>
      <c r="G37" s="363"/>
      <c r="H37" s="160"/>
      <c r="I37" s="160"/>
      <c r="J37" s="160"/>
      <c r="K37" s="160"/>
    </row>
    <row r="38" spans="2:21" ht="14.25" customHeight="1"/>
    <row r="39" spans="2:21" ht="7.5" customHeight="1"/>
    <row r="40" spans="2:21">
      <c r="B40" s="363"/>
      <c r="C40" s="363"/>
      <c r="D40" s="363"/>
      <c r="E40" s="363"/>
      <c r="F40" s="363"/>
      <c r="G40" s="363"/>
      <c r="H40" s="160"/>
      <c r="I40" s="160"/>
      <c r="J40" s="160"/>
      <c r="K40" s="160"/>
    </row>
    <row r="41" spans="2:21">
      <c r="I41" s="364"/>
      <c r="J41" s="364"/>
      <c r="K41" s="364"/>
      <c r="L41" s="364"/>
      <c r="M41" s="364"/>
      <c r="N41" s="364"/>
      <c r="P41" s="364"/>
      <c r="Q41" s="364"/>
      <c r="R41" s="364"/>
      <c r="S41" s="364"/>
      <c r="T41" s="364"/>
      <c r="U41" s="364"/>
    </row>
    <row r="42" spans="2:21">
      <c r="B42" s="363"/>
      <c r="C42" s="363"/>
      <c r="D42" s="363"/>
      <c r="E42" s="363"/>
      <c r="F42" s="363"/>
      <c r="G42" s="363"/>
      <c r="H42" s="160"/>
      <c r="I42" s="160"/>
      <c r="J42" s="160"/>
      <c r="K42" s="160"/>
    </row>
    <row r="999" spans="1:28">
      <c r="A999" s="15" t="s">
        <v>51</v>
      </c>
      <c r="B999" s="15" t="str">
        <f>VLOOKUP('Total Employment'!$C$5,'Data-total_employment'!A4:B42,2,FALSE)</f>
        <v>European Union (28 countries)</v>
      </c>
    </row>
    <row r="1000" spans="1:28">
      <c r="C1000" s="15" t="s">
        <v>139</v>
      </c>
    </row>
    <row r="1001" spans="1:28">
      <c r="B1001" s="16" t="str">
        <f>'Data-total_employment'!C3</f>
        <v>2016Q1</v>
      </c>
      <c r="C1001" s="16" t="str">
        <f>'Data-total_employment'!D3</f>
        <v>2016Q2</v>
      </c>
      <c r="D1001" s="16" t="str">
        <f>'Data-total_employment'!E3</f>
        <v>2016Q3</v>
      </c>
      <c r="E1001" s="16" t="str">
        <f>'Data-total_employment'!F3</f>
        <v>2016Q4</v>
      </c>
      <c r="F1001" s="16" t="str">
        <f>'Data-total_employment'!G3</f>
        <v>2017Q1</v>
      </c>
      <c r="G1001" s="16" t="str">
        <f>'Data-total_employment'!H3</f>
        <v>2017Q2</v>
      </c>
      <c r="H1001" s="16" t="str">
        <f>'Data-total_employment'!I3</f>
        <v>2017Q3</v>
      </c>
      <c r="I1001" s="16" t="str">
        <f>'Data-total_employment'!J3</f>
        <v>2017Q4</v>
      </c>
      <c r="J1001" s="16" t="str">
        <f>'Data-total_employment'!K3</f>
        <v>2018Q1</v>
      </c>
      <c r="K1001" s="16" t="str">
        <f>'Data-total_employment'!L3</f>
        <v>2018Q2</v>
      </c>
      <c r="R1001" s="16"/>
      <c r="S1001" s="16"/>
      <c r="T1001" s="16"/>
      <c r="U1001" s="16"/>
      <c r="V1001" s="16"/>
      <c r="W1001" s="16"/>
      <c r="X1001" s="16"/>
      <c r="Y1001" s="16"/>
      <c r="Z1001" s="16"/>
      <c r="AA1001" s="16"/>
    </row>
    <row r="1002" spans="1:28">
      <c r="A1002" s="15" t="s">
        <v>154</v>
      </c>
      <c r="B1002" s="15">
        <f>VLOOKUP('Total Employment'!$C$5,'Data-total_employment'!$A$4:$L$42,3,FALSE)</f>
        <v>216409.5</v>
      </c>
      <c r="C1002" s="15">
        <f>VLOOKUP('Total Employment'!$C$5,'Data-total_employment'!$A$4:$L$42,4,FALSE)</f>
        <v>218931.3</v>
      </c>
      <c r="D1002" s="15">
        <f>VLOOKUP('Total Employment'!$C$5,'Data-total_employment'!$A$4:$L$42,5,FALSE)</f>
        <v>220516.6</v>
      </c>
      <c r="E1002" s="15">
        <f>VLOOKUP('Total Employment'!$C$5,'Data-total_employment'!$A$4:$L$42,6,FALSE)</f>
        <v>220033.1</v>
      </c>
      <c r="F1002" s="15">
        <f>VLOOKUP('Total Employment'!$C$5,'Data-total_employment'!$A$4:$L$42,7,FALSE)</f>
        <v>219031.2</v>
      </c>
      <c r="G1002" s="15">
        <f>VLOOKUP('Total Employment'!$C$5,'Data-total_employment'!$A$4:$L$42,8,FALSE)</f>
        <v>222149</v>
      </c>
      <c r="H1002" s="15">
        <f>VLOOKUP('Total Employment'!$C$5,'Data-total_employment'!$A$4:$L$42,9,FALSE)</f>
        <v>223737.1</v>
      </c>
      <c r="I1002" s="15">
        <f>VLOOKUP('Total Employment'!$C$5,'Data-total_employment'!$A$4:$L$42,10,FALSE)</f>
        <v>223051.5</v>
      </c>
      <c r="J1002" s="15">
        <f>VLOOKUP('Total Employment'!$C$5,'Data-total_employment'!$A$4:$L$42,11,FALSE)</f>
        <v>221996.4</v>
      </c>
      <c r="K1002" s="15">
        <f>IF(ISNUMBER(VLOOKUP('Total Employment'!$C$5,'Data-total_employment'!$A$4:$L$42,12,FALSE)), VLOOKUP('Total Employment'!$C$5,'Data-total_employment'!$A$4:$L$42,12,FALSE), NA())</f>
        <v>224474.1</v>
      </c>
      <c r="L1002" s="15" t="s">
        <v>138</v>
      </c>
    </row>
    <row r="1003" spans="1:28">
      <c r="A1003" s="16" t="s">
        <v>140</v>
      </c>
      <c r="B1003" s="15">
        <f>VLOOKUP('Total Employment'!$C$5,'Data-total_employment'!$A$4:$W$42,14,FALSE)</f>
        <v>19.8</v>
      </c>
      <c r="C1003" s="15">
        <f>VLOOKUP('Total Employment'!$C$5,'Data-total_employment'!$A$4:$W$42,15,FALSE)</f>
        <v>19.600000000000001</v>
      </c>
      <c r="D1003" s="15">
        <f>VLOOKUP('Total Employment'!$C$5,'Data-total_employment'!$A$4:$W$42,16,FALSE)</f>
        <v>19.2</v>
      </c>
      <c r="E1003" s="15">
        <f>VLOOKUP('Total Employment'!$C$5,'Data-total_employment'!$A$4:$W$42,17,FALSE)</f>
        <v>19.5</v>
      </c>
      <c r="F1003" s="15">
        <f>VLOOKUP('Total Employment'!$C$5,'Data-total_employment'!$A$4:$W$42,18,FALSE)</f>
        <v>19.600000000000001</v>
      </c>
      <c r="G1003" s="15">
        <f>VLOOKUP('Total Employment'!$C$5,'Data-total_employment'!$A$4:$W$42,19,FALSE)</f>
        <v>19.5</v>
      </c>
      <c r="H1003" s="15">
        <f>VLOOKUP('Total Employment'!$C$5,'Data-total_employment'!$A$4:$W$42,20,FALSE)</f>
        <v>19.100000000000001</v>
      </c>
      <c r="I1003" s="15">
        <f>VLOOKUP('Total Employment'!$C$5,'Data-total_employment'!$A$4:$W$42,21,FALSE)</f>
        <v>19.3</v>
      </c>
      <c r="J1003" s="15">
        <f>VLOOKUP('Total Employment'!$C$5,'Data-total_employment'!$A$4:$W$42,22,FALSE)</f>
        <v>19.399999999999999</v>
      </c>
      <c r="K1003" s="15">
        <f>IF(ISNUMBER(VLOOKUP('Total Employment'!$C$5,'Data-total_employment'!$A$4:$W$42,23,FALSE)), VLOOKUP('Total Employment'!$C$5,'Data-total_employment'!$A$4:$W$42,23,FALSE), NA())</f>
        <v>19.3</v>
      </c>
      <c r="L1003" s="16" t="s">
        <v>52</v>
      </c>
      <c r="R1003" s="15" t="s">
        <v>171</v>
      </c>
      <c r="AB1003" s="16"/>
    </row>
    <row r="1004" spans="1:28">
      <c r="A1004" s="15" t="s">
        <v>173</v>
      </c>
      <c r="B1004" s="17"/>
      <c r="C1004" s="17"/>
      <c r="D1004" s="17"/>
      <c r="E1004" s="17"/>
      <c r="F1004" s="17">
        <f>F1002/B1002-1</f>
        <v>1.211453286477715E-2</v>
      </c>
      <c r="G1004" s="17">
        <f t="shared" ref="G1004:K1004" si="0">G1002/C1002-1</f>
        <v>1.4697304588243032E-2</v>
      </c>
      <c r="H1004" s="17">
        <f t="shared" si="0"/>
        <v>1.4604342711614482E-2</v>
      </c>
      <c r="I1004" s="17">
        <f t="shared" si="0"/>
        <v>1.3717936074163273E-2</v>
      </c>
      <c r="J1004" s="17">
        <f t="shared" si="0"/>
        <v>1.3537797354897352E-2</v>
      </c>
      <c r="K1004" s="17">
        <f t="shared" si="0"/>
        <v>1.046639867836463E-2</v>
      </c>
      <c r="L1004" s="15" t="s">
        <v>171</v>
      </c>
      <c r="R1004" s="17"/>
      <c r="S1004" s="17"/>
      <c r="T1004" s="17"/>
      <c r="U1004" s="17"/>
      <c r="V1004" s="17"/>
      <c r="W1004" s="17"/>
      <c r="X1004" s="17"/>
      <c r="Y1004" s="17"/>
      <c r="Z1004" s="17"/>
      <c r="AA1004" s="17"/>
    </row>
    <row r="1005" spans="1:28">
      <c r="A1005" s="16" t="s">
        <v>53</v>
      </c>
      <c r="B1005" s="18">
        <f>VLOOKUP('Total Employment'!$C$5,'Data-total_employment'!$A$4:$AH$42,25,FALSE)</f>
        <v>12</v>
      </c>
      <c r="C1005" s="18">
        <f>VLOOKUP('Total Employment'!$C$5,'Data-total_employment'!$A$4:$AH$42,26,FALSE)</f>
        <v>12.1</v>
      </c>
      <c r="D1005" s="18">
        <f>VLOOKUP('Total Employment'!$C$5,'Data-total_employment'!$A$4:$AH$42,27,FALSE)</f>
        <v>12</v>
      </c>
      <c r="E1005" s="18">
        <f>VLOOKUP('Total Employment'!$C$5,'Data-total_employment'!$A$4:$AH$42,28,FALSE)</f>
        <v>12.1</v>
      </c>
      <c r="F1005" s="18">
        <f>VLOOKUP('Total Employment'!$C$5,'Data-total_employment'!$A$4:$AH$42,29,FALSE)</f>
        <v>12.1</v>
      </c>
      <c r="G1005" s="18">
        <f>VLOOKUP('Total Employment'!$C$5,'Data-total_employment'!$A$4:$AH$42,30,FALSE)</f>
        <v>12.2</v>
      </c>
      <c r="H1005" s="18">
        <f>VLOOKUP('Total Employment'!$C$5,'Data-total_employment'!$A$4:$AH$42,31,FALSE)</f>
        <v>12.2</v>
      </c>
      <c r="I1005" s="18">
        <f>VLOOKUP('Total Employment'!$C$5,'Data-total_employment'!$A$4:$AH$42,32,FALSE)</f>
        <v>12.2</v>
      </c>
      <c r="J1005" s="18">
        <f>VLOOKUP('Total Employment'!$C$5,'Data-total_employment'!$A$4:$AH$42,33,FALSE)</f>
        <v>12.2</v>
      </c>
      <c r="K1005" s="18">
        <f>VLOOKUP('Total Employment'!$C$5,'Data-total_employment'!$A$4:$AH$42,34,FALSE)</f>
        <v>12.1</v>
      </c>
      <c r="L1005" s="16" t="s">
        <v>54</v>
      </c>
      <c r="R1005" s="18"/>
      <c r="S1005" s="18"/>
      <c r="T1005" s="18"/>
      <c r="U1005" s="18"/>
      <c r="V1005" s="18"/>
      <c r="W1005" s="18"/>
      <c r="X1005" s="18"/>
      <c r="Y1005" s="18"/>
      <c r="Z1005" s="18"/>
      <c r="AA1005" s="18"/>
      <c r="AB1005" s="16"/>
    </row>
    <row r="1006" spans="1:28">
      <c r="A1006" s="15" t="s">
        <v>57</v>
      </c>
      <c r="B1006" s="15">
        <f>VLOOKUP('Total Employment'!$C$5,'Data-total_employment'!$A$4:$AS$42,36,FALSE)</f>
        <v>65.7</v>
      </c>
      <c r="C1006" s="15">
        <f>VLOOKUP('Total Employment'!$C$5,'Data-total_employment'!$A$4:$AS$42,37,FALSE)</f>
        <v>66.599999999999994</v>
      </c>
      <c r="D1006" s="15">
        <f>VLOOKUP('Total Employment'!$C$5,'Data-total_employment'!$A$4:$AS$42,38,FALSE)</f>
        <v>67.099999999999994</v>
      </c>
      <c r="E1006" s="15">
        <f>VLOOKUP('Total Employment'!$C$5,'Data-total_employment'!$A$4:$AS$42,39,FALSE)</f>
        <v>66.900000000000006</v>
      </c>
      <c r="F1006" s="15">
        <f>VLOOKUP('Total Employment'!$C$5,'Data-total_employment'!$A$4:$AS$42,40,FALSE)</f>
        <v>66.7</v>
      </c>
      <c r="G1006" s="15">
        <f>VLOOKUP('Total Employment'!$C$5,'Data-total_employment'!$A$4:$AS$42,41,FALSE)</f>
        <v>67.7</v>
      </c>
      <c r="H1006" s="15">
        <f>VLOOKUP('Total Employment'!$C$5,'Data-total_employment'!$A$4:$AS$42,42,FALSE)</f>
        <v>68.2</v>
      </c>
      <c r="I1006" s="15">
        <f>VLOOKUP('Total Employment'!$C$5,'Data-total_employment'!$A$4:$AS$42,43,FALSE)</f>
        <v>68.099999999999994</v>
      </c>
      <c r="J1006" s="15">
        <f>VLOOKUP('Total Employment'!$C$5,'Data-total_employment'!$A$4:$AS$42,44,FALSE)</f>
        <v>67.8</v>
      </c>
      <c r="K1006" s="15">
        <f>IF(ISNUMBER(VLOOKUP('Total Employment'!$C$5,'Data-total_employment'!$A$4:$AS$42,45,FALSE)), VLOOKUP('Total Employment'!$C$5,'Data-total_employment'!$A$4:$AS$42,45,FALSE), NA())</f>
        <v>68.599999999999994</v>
      </c>
      <c r="L1006" s="15" t="s">
        <v>145</v>
      </c>
    </row>
    <row r="1007" spans="1:28">
      <c r="A1007" s="16" t="s">
        <v>170</v>
      </c>
      <c r="B1007" s="15" t="e">
        <f>IF(ISNUMBER(VLOOKUP('Total Employment'!$C$5,'Data-total_employment'!$A$4:$BD$42,47,FALSE)), VLOOKUP('Total Employment'!$C$5,'Data-total_employment'!$A$4:$BD$42,47,FALSE), NA())</f>
        <v>#N/A</v>
      </c>
      <c r="C1007" s="15" t="e">
        <f>IF(ISNUMBER(VLOOKUP('Total Employment'!$C$5,'Data-total_employment'!$A$4:$BD$42,48,FALSE)), VLOOKUP('Total Employment'!$C$5,'Data-total_employment'!$A$4:$BD$42,48,FALSE), NA())</f>
        <v>#N/A</v>
      </c>
      <c r="D1007" s="15" t="e">
        <f>IF(ISNUMBER(VLOOKUP('Total Employment'!$C$5,'Data-total_employment'!$A$4:$BD$42,49,FALSE)), VLOOKUP('Total Employment'!$C$5,'Data-total_employment'!$A$4:$BD$42,49,FALSE), NA())</f>
        <v>#N/A</v>
      </c>
      <c r="E1007" s="15" t="e">
        <f>IF(ISNUMBER(VLOOKUP('Total Employment'!$C$5,'Data-total_employment'!$A$4:$BD$42,50,FALSE)), VLOOKUP('Total Employment'!$C$5,'Data-total_employment'!$A$4:$BD$42,50,FALSE), NA())</f>
        <v>#N/A</v>
      </c>
      <c r="F1007" s="15" t="e">
        <f>IF(ISNUMBER(VLOOKUP('Total Employment'!$C$5,'Data-total_employment'!$A$4:$BD$42,51,FALSE)), VLOOKUP('Total Employment'!$C$5,'Data-total_employment'!$A$4:$BD$42,51,FALSE), NA())</f>
        <v>#N/A</v>
      </c>
      <c r="G1007" s="15" t="e">
        <f>IF(ISNUMBER(VLOOKUP('Total Employment'!$C$5,'Data-total_employment'!$A$4:$BD$42,52,FALSE)), VLOOKUP('Total Employment'!$C$5,'Data-total_employment'!$A$4:$BD$42,52,FALSE), NA())</f>
        <v>#N/A</v>
      </c>
      <c r="H1007" s="15" t="e">
        <f>IF(ISNUMBER(VLOOKUP('Total Employment'!$C$5,'Data-total_employment'!$A$4:$BD$42,53,FALSE)), VLOOKUP('Total Employment'!$C$5,'Data-total_employment'!$A$4:$BD$42,53,FALSE), NA())</f>
        <v>#N/A</v>
      </c>
      <c r="I1007" s="15" t="e">
        <f>IF(ISNUMBER(VLOOKUP('Total Employment'!$C$5,'Data-total_employment'!$A$4:$BD$42,54,FALSE)), VLOOKUP('Total Employment'!$C$5,'Data-total_employment'!$A$4:$BD$42,54,FALSE), NA())</f>
        <v>#N/A</v>
      </c>
      <c r="J1007" s="15" t="e">
        <f>IF(ISNUMBER(VLOOKUP('Total Employment'!$C$5,'Data-total_employment'!$A$4:$BD$42,55,FALSE)), VLOOKUP('Total Employment'!$C$5,'Data-total_employment'!$A$4:$BD$42,55,FALSE), NA())</f>
        <v>#N/A</v>
      </c>
      <c r="K1007" s="15" t="e">
        <f>IF(ISNUMBER(VLOOKUP('Total Employment'!$C$5,'Data-total_employment'!$A$4:$BD$42,56,FALSE)), VLOOKUP('Total Employment'!$C$5,'Data-total_employment'!$A$4:$BD$42,56,FALSE), NA())</f>
        <v>#N/A</v>
      </c>
      <c r="L1007" s="18" t="s">
        <v>172</v>
      </c>
      <c r="AA1007" s="18"/>
      <c r="AB1007" s="16"/>
    </row>
  </sheetData>
  <mergeCells count="6">
    <mergeCell ref="B42:G42"/>
    <mergeCell ref="B40:G40"/>
    <mergeCell ref="I41:N41"/>
    <mergeCell ref="P41:U41"/>
    <mergeCell ref="F5:J5"/>
    <mergeCell ref="B37:G37"/>
  </mergeCells>
  <hyperlinks>
    <hyperlink ref="B37" location="Notes!A1" display="Data source for all graphs: Eurostat Labour Force Survey ( Please check the &quot;Notes&quot; tab for more details)"/>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Drop Down 4">
              <controlPr defaultSize="0" autoLine="0" autoPict="0">
                <anchor>
                  <from>
                    <xdr:col>1</xdr:col>
                    <xdr:colOff>38100</xdr:colOff>
                    <xdr:row>2</xdr:row>
                    <xdr:rowOff>85725</xdr:rowOff>
                  </from>
                  <to>
                    <xdr:col>4</xdr:col>
                    <xdr:colOff>790575</xdr:colOff>
                    <xdr:row>4</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Y1036"/>
  <sheetViews>
    <sheetView topLeftCell="A7" zoomScale="80" zoomScaleNormal="80" zoomScaleSheetLayoutView="50" workbookViewId="0">
      <selection activeCell="AA10" sqref="AA10"/>
    </sheetView>
  </sheetViews>
  <sheetFormatPr defaultColWidth="9.140625" defaultRowHeight="15"/>
  <cols>
    <col min="1" max="1" width="4.85546875" style="8" customWidth="1"/>
    <col min="2" max="2" width="10.140625" style="8" bestFit="1" customWidth="1"/>
    <col min="3" max="3" width="10.5703125" style="8" customWidth="1"/>
    <col min="4" max="5" width="9.140625" style="8"/>
    <col min="6" max="6" width="7" style="8" customWidth="1"/>
    <col min="7" max="7" width="9.140625" style="8" customWidth="1"/>
    <col min="8" max="11" width="9.140625" style="8"/>
    <col min="12" max="12" width="21.140625" style="8" customWidth="1"/>
    <col min="13" max="16384" width="9.140625" style="8"/>
  </cols>
  <sheetData>
    <row r="1" spans="1:21" ht="9" customHeight="1"/>
    <row r="2" spans="1:21" ht="34.5" customHeight="1">
      <c r="A2" s="366" t="s">
        <v>137</v>
      </c>
      <c r="B2" s="366"/>
      <c r="C2" s="366"/>
      <c r="D2" s="366"/>
      <c r="E2" s="366"/>
      <c r="F2" s="366"/>
      <c r="G2" s="366"/>
      <c r="H2" s="366"/>
      <c r="I2" s="366"/>
      <c r="J2" s="366"/>
      <c r="K2" s="366"/>
      <c r="L2" s="366"/>
      <c r="M2" s="197" t="s">
        <v>535</v>
      </c>
      <c r="N2" s="86"/>
      <c r="O2" s="86"/>
      <c r="P2" s="86"/>
      <c r="Q2" s="86"/>
      <c r="R2" s="86"/>
      <c r="S2" s="86"/>
      <c r="T2" s="86"/>
      <c r="U2" s="86"/>
    </row>
    <row r="3" spans="1:21" ht="9" customHeight="1"/>
    <row r="4" spans="1:21" ht="9.75" customHeight="1"/>
    <row r="5" spans="1:21" ht="24.75" customHeight="1">
      <c r="C5" s="8">
        <v>1</v>
      </c>
      <c r="G5" s="367" t="s">
        <v>141</v>
      </c>
      <c r="H5" s="367"/>
      <c r="I5" s="367"/>
      <c r="J5" s="367"/>
    </row>
    <row r="7" spans="1:21">
      <c r="B7" s="8" t="e">
        <f>CONCATENATE(B1000," ",L1002, " - ", B999)</f>
        <v>#N/A</v>
      </c>
      <c r="I7" s="8" t="e">
        <f>CONCATENATE(A1003, " - ", B999)</f>
        <v>#N/A</v>
      </c>
      <c r="P7" s="9" t="e">
        <f xml:space="preserve"> CONCATENATE( "Temporary employees by ", Q8, " - ", B999)</f>
        <v>#N/A</v>
      </c>
    </row>
    <row r="8" spans="1:21">
      <c r="P8" s="8" t="s">
        <v>96</v>
      </c>
      <c r="Q8" s="8" t="s">
        <v>175</v>
      </c>
    </row>
    <row r="23" spans="2:17" ht="42" customHeight="1"/>
    <row r="24" spans="2:17">
      <c r="B24" s="8" t="e">
        <f>CONCATENATE("Temporary employees",C25, B999)</f>
        <v>#N/A</v>
      </c>
      <c r="I24" s="8" t="e">
        <f>CONCATENATE("Temporary employees", J25, " - ", B999)</f>
        <v>#N/A</v>
      </c>
      <c r="P24" s="8" t="e">
        <f>CONCATENATE("Temporary employees", Q25, " - ", B999)</f>
        <v>#N/A</v>
      </c>
    </row>
    <row r="25" spans="2:17">
      <c r="B25" s="8" t="s">
        <v>96</v>
      </c>
      <c r="C25" s="8" t="s">
        <v>178</v>
      </c>
      <c r="J25" s="8" t="s">
        <v>176</v>
      </c>
      <c r="Q25" s="8" t="s">
        <v>177</v>
      </c>
    </row>
    <row r="44" spans="2:20">
      <c r="B44" s="8" t="s">
        <v>169</v>
      </c>
    </row>
    <row r="47" spans="2:20">
      <c r="T47" s="8" t="s">
        <v>123</v>
      </c>
    </row>
    <row r="999" spans="1:25">
      <c r="A999" s="8" t="s">
        <v>51</v>
      </c>
      <c r="B999" s="8" t="e">
        <f>VLOOKUP(C5,'Data-temp_employment'!A10:B42,2,FALSE)</f>
        <v>#N/A</v>
      </c>
    </row>
    <row r="1001" spans="1:25">
      <c r="B1001" s="10" t="s">
        <v>2</v>
      </c>
      <c r="C1001" s="10" t="s">
        <v>3</v>
      </c>
      <c r="D1001" s="10" t="s">
        <v>4</v>
      </c>
      <c r="E1001" s="10" t="s">
        <v>5</v>
      </c>
      <c r="F1001" s="10" t="s">
        <v>6</v>
      </c>
      <c r="G1001" s="10" t="s">
        <v>7</v>
      </c>
      <c r="H1001" s="10" t="s">
        <v>8</v>
      </c>
      <c r="I1001" s="10" t="s">
        <v>9</v>
      </c>
      <c r="J1001" s="10" t="s">
        <v>10</v>
      </c>
      <c r="K1001" s="10" t="s">
        <v>58</v>
      </c>
      <c r="P1001" s="10"/>
      <c r="Q1001" s="10"/>
      <c r="R1001" s="10"/>
      <c r="S1001" s="10"/>
      <c r="T1001" s="10"/>
      <c r="U1001" s="10"/>
      <c r="V1001" s="10"/>
      <c r="W1001" s="10"/>
      <c r="X1001" s="10"/>
      <c r="Y1001" s="10"/>
    </row>
    <row r="1002" spans="1:25">
      <c r="A1002" s="8" t="s">
        <v>90</v>
      </c>
      <c r="B1002" s="8" t="e">
        <f>IF(ISNUMBER(VLOOKUP($C$5,'Data-temp_employment'!$A$10:$W$42,14,FALSE)),VLOOKUP($C$5,'Data-temp_employment'!$A$10:$W$42,14,FALSE), NA())</f>
        <v>#N/A</v>
      </c>
      <c r="C1002" s="8" t="e">
        <f>IF(ISNUMBER(VLOOKUP($C$5,'Data-temp_employment'!$A$10:$W$42,15,FALSE)),VLOOKUP($C$5,'Data-temp_employment'!$A$10:$W$42,15,FALSE), NA())</f>
        <v>#N/A</v>
      </c>
      <c r="D1002" s="8" t="e">
        <f>IF(ISNUMBER(VLOOKUP($C$5,'Data-temp_employment'!$A$10:$W$42,16,FALSE)),VLOOKUP($C$5,'Data-temp_employment'!$A$10:$W$42,16,FALSE), NA())</f>
        <v>#N/A</v>
      </c>
      <c r="E1002" s="8" t="e">
        <f>IF(ISNUMBER(VLOOKUP($C$5,'Data-temp_employment'!$A$10:$W$42,17,FALSE)),VLOOKUP($C$5,'Data-temp_employment'!$A$10:$W$42,17,FALSE), NA())</f>
        <v>#N/A</v>
      </c>
      <c r="F1002" s="8" t="e">
        <f>IF(ISNUMBER(VLOOKUP($C$5,'Data-temp_employment'!$A$10:$W$42,18,FALSE)),VLOOKUP($C$5,'Data-temp_employment'!$A$10:$W$42,18,FALSE), NA())</f>
        <v>#N/A</v>
      </c>
      <c r="G1002" s="8" t="e">
        <f>IF(ISNUMBER(VLOOKUP($C$5,'Data-temp_employment'!$A$10:$W$42,19,FALSE)),VLOOKUP($C$5,'Data-temp_employment'!$A$10:$W$42,19,FALSE), NA())</f>
        <v>#N/A</v>
      </c>
      <c r="H1002" s="8" t="e">
        <f>IF(ISNUMBER(VLOOKUP($C$5,'Data-temp_employment'!$A$10:$W$42,20,FALSE)),VLOOKUP($C$5,'Data-temp_employment'!$A$10:$W$42,20,FALSE), NA())</f>
        <v>#N/A</v>
      </c>
      <c r="I1002" s="8" t="e">
        <f>IF(ISNUMBER(VLOOKUP($C$5,'Data-temp_employment'!$A$10:$W$42,21,FALSE)),VLOOKUP($C$5,'Data-temp_employment'!$A$10:$W$42,21,FALSE), NA())</f>
        <v>#N/A</v>
      </c>
      <c r="J1002" s="8" t="e">
        <f>IF(ISNUMBER(VLOOKUP($C$5,'Data-temp_employment'!$A$10:$W$42,22,FALSE)),VLOOKUP($C$5,'Data-temp_employment'!$A$10:$W$42,22,FALSE), NA())</f>
        <v>#N/A</v>
      </c>
      <c r="K1002" s="8" t="e">
        <f>IF(ISNUMBER(VLOOKUP($C$5,'Data-temp_employment'!$A$10:$W$42,23,FALSE)),VLOOKUP($C$5,'Data-temp_employment'!$A$10:$W$42,23,FALSE), NA())</f>
        <v>#N/A</v>
      </c>
      <c r="L1002" s="8" t="s">
        <v>161</v>
      </c>
      <c r="P1002" s="8" t="e">
        <f>IF(ISNUMBER(VLOOKUP($C$5,'Data-temp_employment'!$A$10:$OG$42,267,FALSE)),VLOOKUP($C$5,'Data-temp_employment'!$A$10:$OG$42,267,FALSE),NA())</f>
        <v>#N/A</v>
      </c>
      <c r="Q1002" s="8" t="e">
        <f>IF(ISNUMBER(VLOOKUP($C$5,'Data-temp_employment'!$A$10:$OG$42,267,FALSE)),VLOOKUP($C$5,'Data-temp_employment'!$A$10:$OG$42,267,FALSE),NA())</f>
        <v>#N/A</v>
      </c>
    </row>
    <row r="1003" spans="1:25">
      <c r="A1003" s="11" t="s">
        <v>174</v>
      </c>
      <c r="B1003" s="8" t="e">
        <f>VLOOKUP($C$5,'Data-temp_employment'!$A$10:$W$42,3,FALSE)</f>
        <v>#N/A</v>
      </c>
      <c r="C1003" s="8" t="e">
        <f>VLOOKUP($C$5,'Data-temp_employment'!$A$10:$W$42,4,FALSE)</f>
        <v>#N/A</v>
      </c>
      <c r="D1003" s="8" t="e">
        <f>VLOOKUP($C$5,'Data-temp_employment'!$A$10:$W$42,5,FALSE)</f>
        <v>#N/A</v>
      </c>
      <c r="E1003" s="8" t="e">
        <f>VLOOKUP($C$5,'Data-temp_employment'!$A$10:$W$42,6,FALSE)</f>
        <v>#N/A</v>
      </c>
      <c r="F1003" s="8" t="e">
        <f>VLOOKUP($C$5,'Data-temp_employment'!$A$10:$W$42,7,FALSE)</f>
        <v>#N/A</v>
      </c>
      <c r="G1003" s="8" t="e">
        <f>VLOOKUP($C$5,'Data-temp_employment'!$A$10:$W$42,8,FALSE)</f>
        <v>#N/A</v>
      </c>
      <c r="H1003" s="8" t="e">
        <f>VLOOKUP($C$5,'Data-temp_employment'!$A$10:$W$42,9,FALSE)</f>
        <v>#N/A</v>
      </c>
      <c r="I1003" s="8" t="e">
        <f>VLOOKUP($C$5,'Data-temp_employment'!$A$10:$W$42,10,FALSE)</f>
        <v>#N/A</v>
      </c>
      <c r="J1003" s="8" t="e">
        <f>VLOOKUP($C$5,'Data-temp_employment'!$A$10:$W$42,11,FALSE)</f>
        <v>#N/A</v>
      </c>
      <c r="K1003" s="8" t="e">
        <f>IF(ISNUMBER(VLOOKUP($C$5,'Data-temp_employment'!$A$10:$W$42,12,FALSE)),VLOOKUP($C$5,'Data-temp_employment'!$A$10:$W$42,12,FALSE), NA())</f>
        <v>#N/A</v>
      </c>
      <c r="L1003" s="11" t="s">
        <v>95</v>
      </c>
    </row>
    <row r="1004" spans="1:25">
      <c r="A1004" s="8" t="s">
        <v>113</v>
      </c>
      <c r="B1004" s="12" t="e">
        <f>VLOOKUP($C$5,'Data-temp_employment'!$A$10:$OG$42,25,FALSE)</f>
        <v>#N/A</v>
      </c>
      <c r="C1004" s="12" t="e">
        <f>VLOOKUP($C$5,'Data-temp_employment'!$A$10:$OG$42,26,FALSE)</f>
        <v>#N/A</v>
      </c>
      <c r="D1004" s="12" t="e">
        <f>VLOOKUP($C$5,'Data-temp_employment'!$A$10:$OG$42,27,FALSE)</f>
        <v>#N/A</v>
      </c>
      <c r="E1004" s="12" t="e">
        <f>VLOOKUP($C$5,'Data-temp_employment'!$A$10:$OG$42,28,FALSE)</f>
        <v>#N/A</v>
      </c>
      <c r="F1004" s="12" t="e">
        <f>VLOOKUP($C$5,'Data-temp_employment'!$A$10:$OG$42,29,FALSE)</f>
        <v>#N/A</v>
      </c>
      <c r="G1004" s="12" t="e">
        <f>VLOOKUP($C$5,'Data-temp_employment'!$A$10:$OG$42,30,FALSE)</f>
        <v>#N/A</v>
      </c>
      <c r="H1004" s="12" t="e">
        <f>VLOOKUP($C$5,'Data-temp_employment'!$A$10:$OG$42,31,FALSE)</f>
        <v>#N/A</v>
      </c>
      <c r="I1004" s="12" t="e">
        <f>VLOOKUP($C$5,'Data-temp_employment'!$A$10:$OG$42,32,FALSE)</f>
        <v>#N/A</v>
      </c>
      <c r="J1004" s="12" t="e">
        <f>VLOOKUP($C$5,'Data-temp_employment'!$A$10:$OG$42,33,FALSE)</f>
        <v>#N/A</v>
      </c>
      <c r="K1004" s="8" t="e">
        <f>IF(ISNUMBER(VLOOKUP($C$5,'Data-temp_employment'!$A$10:$OG$42,34,FALSE)),VLOOKUP($C$5,'Data-temp_employment'!$A$10:$OG$42,34,FALSE), NA())</f>
        <v>#N/A</v>
      </c>
      <c r="L1004" s="8" t="s">
        <v>91</v>
      </c>
    </row>
    <row r="1005" spans="1:25">
      <c r="A1005" s="8" t="s">
        <v>114</v>
      </c>
      <c r="B1005" s="12" t="e">
        <f>VLOOKUP($C$5,'Data-temp_employment'!$A$10:$OG$42,36,FALSE)</f>
        <v>#N/A</v>
      </c>
      <c r="C1005" s="12" t="e">
        <f>VLOOKUP($C$5,'Data-temp_employment'!$A$10:$OG$42,37,FALSE)</f>
        <v>#N/A</v>
      </c>
      <c r="D1005" s="12" t="e">
        <f>VLOOKUP($C$5,'Data-temp_employment'!$A$10:$OG$42,38,FALSE)</f>
        <v>#N/A</v>
      </c>
      <c r="E1005" s="12" t="e">
        <f>VLOOKUP($C$5,'Data-temp_employment'!$A$10:$OG$42,39,FALSE)</f>
        <v>#N/A</v>
      </c>
      <c r="F1005" s="12" t="e">
        <f>VLOOKUP($C$5,'Data-temp_employment'!$A$10:$OG$42,40,FALSE)</f>
        <v>#N/A</v>
      </c>
      <c r="G1005" s="12" t="e">
        <f>VLOOKUP($C$5,'Data-temp_employment'!$A$10:$OG$42,41,FALSE)</f>
        <v>#N/A</v>
      </c>
      <c r="H1005" s="12" t="e">
        <f>VLOOKUP($C$5,'Data-temp_employment'!$A$10:$OG$42,42,FALSE)</f>
        <v>#N/A</v>
      </c>
      <c r="I1005" s="12" t="e">
        <f>VLOOKUP($C$5,'Data-temp_employment'!$A$10:$OG$42,43,FALSE)</f>
        <v>#N/A</v>
      </c>
      <c r="J1005" s="12" t="e">
        <f>VLOOKUP($C$5,'Data-temp_employment'!$A$10:$OG$42,44,FALSE)</f>
        <v>#N/A</v>
      </c>
      <c r="K1005" s="8" t="e">
        <f>IF(ISNUMBER(VLOOKUP($C$5,'Data-temp_employment'!$A$10:$OG$42,45,FALSE)),VLOOKUP($C$5,'Data-temp_employment'!$A$10:$OG$42,45,FALSE), NA())</f>
        <v>#N/A</v>
      </c>
      <c r="L1005" s="8" t="s">
        <v>92</v>
      </c>
    </row>
    <row r="1006" spans="1:25">
      <c r="A1006" s="8" t="s">
        <v>115</v>
      </c>
      <c r="B1006" s="12" t="e">
        <f>VLOOKUP($C$5,'Data-temp_employment'!$A$10:$OG$42,47,FALSE)</f>
        <v>#N/A</v>
      </c>
      <c r="C1006" s="12" t="e">
        <f>VLOOKUP($C$5,'Data-temp_employment'!$A$10:$OG$42,48,FALSE)</f>
        <v>#N/A</v>
      </c>
      <c r="D1006" s="12" t="e">
        <f>VLOOKUP($C$5,'Data-temp_employment'!$A$10:$OG$42,49,FALSE)</f>
        <v>#N/A</v>
      </c>
      <c r="E1006" s="12" t="e">
        <f>VLOOKUP($C$5,'Data-temp_employment'!$A$10:$OG$42,50,FALSE)</f>
        <v>#N/A</v>
      </c>
      <c r="F1006" s="12" t="e">
        <f>VLOOKUP($C$5,'Data-temp_employment'!$A$10:$OG$42,51,FALSE)</f>
        <v>#N/A</v>
      </c>
      <c r="G1006" s="12" t="e">
        <f>VLOOKUP($C$5,'Data-temp_employment'!$A$10:$OG$42,52,FALSE)</f>
        <v>#N/A</v>
      </c>
      <c r="H1006" s="12" t="e">
        <f>VLOOKUP($C$5,'Data-temp_employment'!$A$10:$OG$42,53,FALSE)</f>
        <v>#N/A</v>
      </c>
      <c r="I1006" s="12" t="e">
        <f>VLOOKUP($C$5,'Data-temp_employment'!$A$10:$OG$42,54,FALSE)</f>
        <v>#N/A</v>
      </c>
      <c r="J1006" s="12" t="e">
        <f>VLOOKUP($C$5,'Data-temp_employment'!$A$10:$OG$42,55,FALSE)</f>
        <v>#N/A</v>
      </c>
      <c r="K1006" s="8" t="e">
        <f>IF(ISNUMBER(VLOOKUP($C$5,'Data-temp_employment'!$A$10:$OG$42,56,FALSE)),VLOOKUP($C$5,'Data-temp_employment'!$A$10:$OG$42,56,FALSE), NA())</f>
        <v>#N/A</v>
      </c>
      <c r="L1006" s="8" t="s">
        <v>93</v>
      </c>
    </row>
    <row r="1007" spans="1:25">
      <c r="A1007" s="8" t="s">
        <v>116</v>
      </c>
      <c r="B1007" s="12" t="e">
        <f>VLOOKUP($C$5,'Data-temp_employment'!$A$10:$OG$42,58,FALSE)</f>
        <v>#N/A</v>
      </c>
      <c r="C1007" s="12" t="e">
        <f>VLOOKUP($C$5,'Data-temp_employment'!$A$10:$OG$42,59,FALSE)</f>
        <v>#N/A</v>
      </c>
      <c r="D1007" s="12" t="e">
        <f>VLOOKUP($C$5,'Data-temp_employment'!$A$10:$OG$42,60,FALSE)</f>
        <v>#N/A</v>
      </c>
      <c r="E1007" s="12" t="e">
        <f>VLOOKUP($C$5,'Data-temp_employment'!$A$10:$OG$42,61,FALSE)</f>
        <v>#N/A</v>
      </c>
      <c r="F1007" s="12" t="e">
        <f>VLOOKUP($C$5,'Data-temp_employment'!$A$10:$OG$42,62,FALSE)</f>
        <v>#N/A</v>
      </c>
      <c r="G1007" s="12" t="e">
        <f>VLOOKUP($C$5,'Data-temp_employment'!$A$10:$OG$42,63,FALSE)</f>
        <v>#N/A</v>
      </c>
      <c r="H1007" s="12" t="e">
        <f>VLOOKUP($C$5,'Data-temp_employment'!$A$10:$OG$42,64,FALSE)</f>
        <v>#N/A</v>
      </c>
      <c r="I1007" s="12" t="e">
        <f>VLOOKUP($C$5,'Data-temp_employment'!$A$10:$OG$42,65,FALSE)</f>
        <v>#N/A</v>
      </c>
      <c r="J1007" s="12" t="e">
        <f>VLOOKUP($C$5,'Data-temp_employment'!$A$10:$OG$42,66,FALSE)</f>
        <v>#N/A</v>
      </c>
      <c r="K1007" s="8" t="e">
        <f>IF(ISNUMBER(VLOOKUP($C$5,'Data-temp_employment'!$A$10:$OG$42,67,FALSE)),VLOOKUP($C$5,'Data-temp_employment'!$A$10:$OG$42,67,FALSE), NA())</f>
        <v>#N/A</v>
      </c>
      <c r="L1007" s="8" t="s">
        <v>94</v>
      </c>
    </row>
    <row r="1008" spans="1:25">
      <c r="A1008" s="8" t="s">
        <v>117</v>
      </c>
      <c r="B1008" s="12" t="e">
        <f>IF(ISNUMBER(VLOOKUP($C$5,'Data-temp_employment'!$A$10:$OG$42,69,FALSE)),VLOOKUP($C$5,'Data-temp_employment'!$A$10:$OG$42,69,FALSE),NA())</f>
        <v>#N/A</v>
      </c>
      <c r="C1008" s="12" t="e">
        <f>IF(ISNUMBER(VLOOKUP($C$5,'Data-temp_employment'!$A$10:$OG$42,70,FALSE)),VLOOKUP($C$5,'Data-temp_employment'!$A$10:$OG$42,70,FALSE),NA())</f>
        <v>#N/A</v>
      </c>
      <c r="D1008" s="12" t="e">
        <f>IF(ISNUMBER(VLOOKUP($C$5,'Data-temp_employment'!$A$10:$OG$42,71,FALSE)),VLOOKUP($C$5,'Data-temp_employment'!$A$10:$OG$42,71,FALSE),NA())</f>
        <v>#N/A</v>
      </c>
      <c r="E1008" s="12" t="e">
        <f>IF(ISNUMBER(VLOOKUP($C$5,'Data-temp_employment'!$A$10:$OG$42,72,FALSE)),VLOOKUP($C$5,'Data-temp_employment'!$A$10:$OG$42,72,FALSE),NA())</f>
        <v>#N/A</v>
      </c>
      <c r="F1008" s="12" t="e">
        <f>IF(ISNUMBER(VLOOKUP($C$5,'Data-temp_employment'!$A$10:$OG$42,73,FALSE)),VLOOKUP($C$5,'Data-temp_employment'!$A$10:$OG$42,73,FALSE),NA())</f>
        <v>#N/A</v>
      </c>
      <c r="G1008" s="12" t="e">
        <f>IF(ISNUMBER(VLOOKUP($C$5,'Data-temp_employment'!$A$10:$OG$42,74,FALSE)),VLOOKUP($C$5,'Data-temp_employment'!$A$10:$OG$42,74,FALSE),NA())</f>
        <v>#N/A</v>
      </c>
      <c r="H1008" s="12" t="e">
        <f>IF(ISNUMBER(VLOOKUP($C$5,'Data-temp_employment'!$A$10:$OG$42,75,FALSE)),VLOOKUP($C$5,'Data-temp_employment'!$A$10:$OG$42,75,FALSE),NA())</f>
        <v>#N/A</v>
      </c>
      <c r="I1008" s="12" t="e">
        <f>IF(ISNUMBER(VLOOKUP($C$5,'Data-temp_employment'!$A$10:$OG$42,76,FALSE)),VLOOKUP($C$5,'Data-temp_employment'!$A$10:$OG$42,76,FALSE),NA())</f>
        <v>#N/A</v>
      </c>
      <c r="J1008" s="12" t="e">
        <f>IF(ISNUMBER(VLOOKUP($C$5,'Data-temp_employment'!$A$10:$OG$42,77,FALSE)),VLOOKUP($C$5,'Data-temp_employment'!$A$10:$OG$42,77,FALSE),NA())</f>
        <v>#N/A</v>
      </c>
      <c r="K1008" s="12" t="e">
        <f>IF(ISNUMBER(VLOOKUP($C$5,'Data-temp_employment'!$A$10:$OG$42,78,FALSE)),VLOOKUP($C$5,'Data-temp_employment'!$A$10:$OG$42,78,FALSE),NA())</f>
        <v>#N/A</v>
      </c>
      <c r="L1008" s="8" t="s">
        <v>111</v>
      </c>
    </row>
    <row r="1009" spans="1:12">
      <c r="A1009" s="8" t="s">
        <v>118</v>
      </c>
      <c r="B1009" s="12" t="e">
        <f>IF(ISNUMBER(VLOOKUP($C$5,'Data-temp_employment'!$A$10:$OG$42,80,FALSE)),VLOOKUP($C$5,'Data-temp_employment'!$A$10:$OG$42,80,FALSE),NA())</f>
        <v>#N/A</v>
      </c>
      <c r="C1009" s="12" t="e">
        <f>IF(ISNUMBER(VLOOKUP($C$5,'Data-temp_employment'!$A$10:$OG$42,81,FALSE)),VLOOKUP($C$5,'Data-temp_employment'!$A$10:$OG$42,81,FALSE),NA())</f>
        <v>#N/A</v>
      </c>
      <c r="D1009" s="12" t="e">
        <f>IF(ISNUMBER(VLOOKUP($C$5,'Data-temp_employment'!$A$10:$OG$42,82,FALSE)),VLOOKUP($C$5,'Data-temp_employment'!$A$10:$OG$42,82,FALSE),NA())</f>
        <v>#N/A</v>
      </c>
      <c r="E1009" s="12" t="e">
        <f>IF(ISNUMBER(VLOOKUP($C$5,'Data-temp_employment'!$A$10:$OG$42,83,FALSE)),VLOOKUP($C$5,'Data-temp_employment'!$A$10:$OG$42,83,FALSE),NA())</f>
        <v>#N/A</v>
      </c>
      <c r="F1009" s="12" t="e">
        <f>IF(ISNUMBER(VLOOKUP($C$5,'Data-temp_employment'!$A$10:$OG$42,84,FALSE)),VLOOKUP($C$5,'Data-temp_employment'!$A$10:$OG$42,84,FALSE),NA())</f>
        <v>#N/A</v>
      </c>
      <c r="G1009" s="12" t="e">
        <f>IF(ISNUMBER(VLOOKUP($C$5,'Data-temp_employment'!$A$10:$OG$42,85,FALSE)),VLOOKUP($C$5,'Data-temp_employment'!$A$10:$OG$42,85,FALSE),NA())</f>
        <v>#N/A</v>
      </c>
      <c r="H1009" s="12" t="e">
        <f>IF(ISNUMBER(VLOOKUP($C$5,'Data-temp_employment'!$A$10:$OG$42,86,FALSE)),VLOOKUP($C$5,'Data-temp_employment'!$A$10:$OG$42,86,FALSE),NA())</f>
        <v>#N/A</v>
      </c>
      <c r="I1009" s="12" t="e">
        <f>IF(ISNUMBER(VLOOKUP($C$5,'Data-temp_employment'!$A$10:$OG$42,87,FALSE)),VLOOKUP($C$5,'Data-temp_employment'!$A$10:$OG$42,87,FALSE),NA())</f>
        <v>#N/A</v>
      </c>
      <c r="J1009" s="12" t="e">
        <f>IF(ISNUMBER(VLOOKUP($C$5,'Data-temp_employment'!$A$10:$OG$42,88,FALSE)),VLOOKUP($C$5,'Data-temp_employment'!$A$10:$OG$42,88,FALSE),NA())</f>
        <v>#N/A</v>
      </c>
      <c r="K1009" s="12" t="e">
        <f>IF(ISNUMBER(VLOOKUP($C$5,'Data-temp_employment'!$A$10:$OG$42,89,FALSE)),VLOOKUP($C$5,'Data-temp_employment'!$A$10:$OG$42,89,FALSE),NA())</f>
        <v>#N/A</v>
      </c>
      <c r="L1009" s="8" t="s">
        <v>112</v>
      </c>
    </row>
    <row r="1010" spans="1:12">
      <c r="A1010" s="8" t="s">
        <v>119</v>
      </c>
      <c r="B1010" s="12" t="e">
        <f>B1002-SUM(B1005:B1009)</f>
        <v>#N/A</v>
      </c>
      <c r="C1010" s="12" t="e">
        <f t="shared" ref="C1010:K1010" si="0">C1002-SUM(C1005:C1009)</f>
        <v>#N/A</v>
      </c>
      <c r="D1010" s="12" t="e">
        <f t="shared" si="0"/>
        <v>#N/A</v>
      </c>
      <c r="E1010" s="12" t="e">
        <f t="shared" si="0"/>
        <v>#N/A</v>
      </c>
      <c r="F1010" s="12" t="e">
        <f t="shared" si="0"/>
        <v>#N/A</v>
      </c>
      <c r="G1010" s="12" t="e">
        <f t="shared" si="0"/>
        <v>#N/A</v>
      </c>
      <c r="H1010" s="12" t="e">
        <f t="shared" si="0"/>
        <v>#N/A</v>
      </c>
      <c r="I1010" s="12" t="e">
        <f t="shared" si="0"/>
        <v>#N/A</v>
      </c>
      <c r="J1010" s="12" t="e">
        <f t="shared" si="0"/>
        <v>#N/A</v>
      </c>
      <c r="K1010" s="12" t="e">
        <f t="shared" si="0"/>
        <v>#N/A</v>
      </c>
    </row>
    <row r="1011" spans="1:12">
      <c r="A1011" s="8" t="s">
        <v>97</v>
      </c>
      <c r="B1011" s="12" t="e">
        <f>IF(ISNUMBER(VLOOKUP($C$5,'Data-temp_employment'!$A$10:$OG$42,91,FALSE)),VLOOKUP($C$5,'Data-temp_employment'!$A$10:$OG$42,91,FALSE),NA())</f>
        <v>#N/A</v>
      </c>
      <c r="C1011" s="12" t="e">
        <f>IF(ISNUMBER(VLOOKUP($C$5,'Data-temp_employment'!$A$10:$OG$42,92,FALSE)),VLOOKUP($C$5,'Data-temp_employment'!$A$10:$OG$42,92,FALSE),NA())</f>
        <v>#N/A</v>
      </c>
      <c r="D1011" s="12" t="e">
        <f>IF(ISNUMBER(VLOOKUP($C$5,'Data-temp_employment'!$A$10:$OG$42,93,FALSE)),VLOOKUP($C$5,'Data-temp_employment'!$A$10:$OG$42,93,FALSE),NA())</f>
        <v>#N/A</v>
      </c>
      <c r="E1011" s="12" t="e">
        <f>IF(ISNUMBER(VLOOKUP($C$5,'Data-temp_employment'!$A$10:$OG$42,94,FALSE)),VLOOKUP($C$5,'Data-temp_employment'!$A$10:$OG$42,94,FALSE),NA())</f>
        <v>#N/A</v>
      </c>
      <c r="F1011" s="12" t="e">
        <f>IF(ISNUMBER(VLOOKUP($C$5,'Data-temp_employment'!$A$10:$OG$42,95,FALSE)),VLOOKUP($C$5,'Data-temp_employment'!$A$10:$OG$42,95,FALSE),NA())</f>
        <v>#N/A</v>
      </c>
      <c r="G1011" s="12" t="e">
        <f>IF(ISNUMBER(VLOOKUP($C$5,'Data-temp_employment'!$A$10:$OG$42,96,FALSE)),VLOOKUP($C$5,'Data-temp_employment'!$A$10:$OG$42,96,FALSE),NA())</f>
        <v>#N/A</v>
      </c>
      <c r="H1011" s="12" t="e">
        <f>IF(ISNUMBER(VLOOKUP($C$5,'Data-temp_employment'!$A$10:$OG$42,97,FALSE)),VLOOKUP($C$5,'Data-temp_employment'!$A$10:$OG$42,97,FALSE),NA())</f>
        <v>#N/A</v>
      </c>
      <c r="I1011" s="12" t="e">
        <f>IF(ISNUMBER(VLOOKUP($C$5,'Data-temp_employment'!$A$10:$OG$42,98,FALSE)),VLOOKUP($C$5,'Data-temp_employment'!$A$10:$OG$42,98,FALSE),NA())</f>
        <v>#N/A</v>
      </c>
      <c r="J1011" s="12" t="e">
        <f>IF(ISNUMBER(VLOOKUP($C$5,'Data-temp_employment'!$A$10:$OG$42,99,FALSE)),VLOOKUP($C$5,'Data-temp_employment'!$A$10:$OG$42,99,FALSE),NA())</f>
        <v>#N/A</v>
      </c>
      <c r="K1011" s="12" t="e">
        <f>IF(ISNUMBER(VLOOKUP($C$5,'Data-temp_employment'!$A$10:$OG$42,100,FALSE)),VLOOKUP($C$5,'Data-temp_employment'!$A$10:$OG$42,100,FALSE),NA())</f>
        <v>#N/A</v>
      </c>
    </row>
    <row r="1012" spans="1:12">
      <c r="A1012" s="8" t="s">
        <v>98</v>
      </c>
      <c r="B1012" s="12" t="e">
        <f>IF(ISNUMBER(VLOOKUP($C$5,'Data-temp_employment'!$A$10:$OG$42,102,FALSE)),VLOOKUP($C$5,'Data-temp_employment'!$A$10:$OG$42,102,FALSE),NA())</f>
        <v>#N/A</v>
      </c>
      <c r="C1012" s="12" t="e">
        <f>IF(ISNUMBER(VLOOKUP($C$5,'Data-temp_employment'!$A$10:$OG$42,103,FALSE)),VLOOKUP($C$5,'Data-temp_employment'!$A$10:$OG$42,103,FALSE),NA())</f>
        <v>#N/A</v>
      </c>
      <c r="D1012" s="12" t="e">
        <f>IF(ISNUMBER(VLOOKUP($C$5,'Data-temp_employment'!$A$10:$OG$42,104,FALSE)),VLOOKUP($C$5,'Data-temp_employment'!$A$10:$OG$42,104,FALSE),NA())</f>
        <v>#N/A</v>
      </c>
      <c r="E1012" s="12" t="e">
        <f>IF(ISNUMBER(VLOOKUP($C$5,'Data-temp_employment'!$A$10:$OG$42,105,FALSE)),VLOOKUP($C$5,'Data-temp_employment'!$A$10:$OG$42,105,FALSE),NA())</f>
        <v>#N/A</v>
      </c>
      <c r="F1012" s="12" t="e">
        <f>IF(ISNUMBER(VLOOKUP($C$5,'Data-temp_employment'!$A$10:$OG$42,106,FALSE)),VLOOKUP($C$5,'Data-temp_employment'!$A$10:$OG$42,106,FALSE),NA())</f>
        <v>#N/A</v>
      </c>
      <c r="G1012" s="12" t="e">
        <f>IF(ISNUMBER(VLOOKUP($C$5,'Data-temp_employment'!$A$10:$OG$42,107,FALSE)),VLOOKUP($C$5,'Data-temp_employment'!$A$10:$OG$42,107,FALSE),NA())</f>
        <v>#N/A</v>
      </c>
      <c r="H1012" s="12" t="e">
        <f>IF(ISNUMBER(VLOOKUP($C$5,'Data-temp_employment'!$A$10:$OG$42,108,FALSE)),VLOOKUP($C$5,'Data-temp_employment'!$A$10:$OG$42,108,FALSE),NA())</f>
        <v>#N/A</v>
      </c>
      <c r="I1012" s="12" t="e">
        <f>IF(ISNUMBER(VLOOKUP($C$5,'Data-temp_employment'!$A$10:$OG$42,109,FALSE)),VLOOKUP($C$5,'Data-temp_employment'!$A$10:$OG$42,109,FALSE),NA())</f>
        <v>#N/A</v>
      </c>
      <c r="J1012" s="12" t="e">
        <f>IF(ISNUMBER(VLOOKUP($C$5,'Data-temp_employment'!$A$10:$OG$42,110,FALSE)),VLOOKUP($C$5,'Data-temp_employment'!$A$10:$OG$42,110,FALSE),NA())</f>
        <v>#N/A</v>
      </c>
      <c r="K1012" s="12" t="e">
        <f>IF(ISNUMBER(VLOOKUP($C$5,'Data-temp_employment'!$A$10:$OG$42,111,FALSE)),VLOOKUP($C$5,'Data-temp_employment'!$A$10:$OG$42,111,FALSE),NA())</f>
        <v>#N/A</v>
      </c>
    </row>
    <row r="1013" spans="1:12">
      <c r="A1013" s="8" t="s">
        <v>99</v>
      </c>
      <c r="B1013" s="12" t="e">
        <f>IF(ISNUMBER(VLOOKUP($C$5,'Data-temp_employment'!$A$10:$OG$42,113,FALSE)),VLOOKUP($C$5,'Data-temp_employment'!$A$10:$OG$42,113,FALSE),NA())</f>
        <v>#N/A</v>
      </c>
      <c r="C1013" s="12" t="e">
        <f>IF(ISNUMBER(VLOOKUP($C$5,'Data-temp_employment'!$A$10:$OG$42,114,FALSE)),VLOOKUP($C$5,'Data-temp_employment'!$A$10:$OG$42,114,FALSE),NA())</f>
        <v>#N/A</v>
      </c>
      <c r="D1013" s="12" t="e">
        <f>IF(ISNUMBER(VLOOKUP($C$5,'Data-temp_employment'!$A$10:$OG$42,115,FALSE)),VLOOKUP($C$5,'Data-temp_employment'!$A$10:$OG$42,115,FALSE),NA())</f>
        <v>#N/A</v>
      </c>
      <c r="E1013" s="12" t="e">
        <f>IF(ISNUMBER(VLOOKUP($C$5,'Data-temp_employment'!$A$10:$OG$42,116,FALSE)),VLOOKUP($C$5,'Data-temp_employment'!$A$10:$OG$42,116,FALSE),NA())</f>
        <v>#N/A</v>
      </c>
      <c r="F1013" s="12" t="e">
        <f>IF(ISNUMBER(VLOOKUP($C$5,'Data-temp_employment'!$A$10:$OG$42,117,FALSE)),VLOOKUP($C$5,'Data-temp_employment'!$A$10:$OG$42,117,FALSE),NA())</f>
        <v>#N/A</v>
      </c>
      <c r="G1013" s="12" t="e">
        <f>IF(ISNUMBER(VLOOKUP($C$5,'Data-temp_employment'!$A$10:$OG$42,118,FALSE)),VLOOKUP($C$5,'Data-temp_employment'!$A$10:$OG$42,118,FALSE),NA())</f>
        <v>#N/A</v>
      </c>
      <c r="H1013" s="12" t="e">
        <f>IF(ISNUMBER(VLOOKUP($C$5,'Data-temp_employment'!$A$10:$OG$42,119,FALSE)),VLOOKUP($C$5,'Data-temp_employment'!$A$10:$OG$42,119,FALSE),NA())</f>
        <v>#N/A</v>
      </c>
      <c r="I1013" s="12" t="e">
        <f>IF(ISNUMBER(VLOOKUP($C$5,'Data-temp_employment'!$A$10:$OG$42,120,FALSE)),VLOOKUP($C$5,'Data-temp_employment'!$A$10:$OG$42,120,FALSE),NA())</f>
        <v>#N/A</v>
      </c>
      <c r="J1013" s="12" t="e">
        <f>IF(ISNUMBER(VLOOKUP($C$5,'Data-temp_employment'!$A$10:$OG$42,121,FALSE)),VLOOKUP($C$5,'Data-temp_employment'!$A$10:$OG$42,121,FALSE),NA())</f>
        <v>#N/A</v>
      </c>
      <c r="K1013" s="12" t="e">
        <f>IF(ISNUMBER(VLOOKUP($C$5,'Data-temp_employment'!$A$10:$OG$42,122,FALSE)),VLOOKUP($C$5,'Data-temp_employment'!$A$10:$OG$42,122,FALSE),NA())</f>
        <v>#N/A</v>
      </c>
    </row>
    <row r="1014" spans="1:12">
      <c r="A1014" s="8" t="s">
        <v>100</v>
      </c>
      <c r="B1014" s="12" t="e">
        <f>IF(ISNUMBER(VLOOKUP($C$5,'Data-temp_employment'!$A$10:$OG$42,124,FALSE)),VLOOKUP($C$5,'Data-temp_employment'!$A$10:$OG$42,124,FALSE),NA())</f>
        <v>#N/A</v>
      </c>
      <c r="C1014" s="12" t="e">
        <f>IF(ISNUMBER(VLOOKUP($C$5,'Data-temp_employment'!$A$10:$OG$42,125,FALSE)),VLOOKUP($C$5,'Data-temp_employment'!$A$10:$OG$42,125,FALSE),NA())</f>
        <v>#N/A</v>
      </c>
      <c r="D1014" s="12" t="e">
        <f>IF(ISNUMBER(VLOOKUP($C$5,'Data-temp_employment'!$A$10:$OG$42,126,FALSE)),VLOOKUP($C$5,'Data-temp_employment'!$A$10:$OG$42,126,FALSE),NA())</f>
        <v>#N/A</v>
      </c>
      <c r="E1014" s="12" t="e">
        <f>IF(ISNUMBER(VLOOKUP($C$5,'Data-temp_employment'!$A$10:$OG$42,127,FALSE)),VLOOKUP($C$5,'Data-temp_employment'!$A$10:$OG$42,127,FALSE),NA())</f>
        <v>#N/A</v>
      </c>
      <c r="F1014" s="12" t="e">
        <f>IF(ISNUMBER(VLOOKUP($C$5,'Data-temp_employment'!$A$10:$OG$42,128,FALSE)),VLOOKUP($C$5,'Data-temp_employment'!$A$10:$OG$42,128,FALSE),NA())</f>
        <v>#N/A</v>
      </c>
      <c r="G1014" s="12" t="e">
        <f>IF(ISNUMBER(VLOOKUP($C$5,'Data-temp_employment'!$A$10:$OG$42,129,FALSE)),VLOOKUP($C$5,'Data-temp_employment'!$A$10:$OG$42,129,FALSE),NA())</f>
        <v>#N/A</v>
      </c>
      <c r="H1014" s="12" t="e">
        <f>IF(ISNUMBER(VLOOKUP($C$5,'Data-temp_employment'!$A$10:$OG$42,130,FALSE)),VLOOKUP($C$5,'Data-temp_employment'!$A$10:$OG$42,130,FALSE),NA())</f>
        <v>#N/A</v>
      </c>
      <c r="I1014" s="12" t="e">
        <f>IF(ISNUMBER(VLOOKUP($C$5,'Data-temp_employment'!$A$10:$OG$42,131,FALSE)),VLOOKUP($C$5,'Data-temp_employment'!$A$10:$OG$42,131,FALSE),NA())</f>
        <v>#N/A</v>
      </c>
      <c r="J1014" s="12" t="e">
        <f>IF(ISNUMBER(VLOOKUP($C$5,'Data-temp_employment'!$A$10:$OG$42,132,FALSE)),VLOOKUP($C$5,'Data-temp_employment'!$A$10:$OG$42,132,FALSE),NA())</f>
        <v>#N/A</v>
      </c>
      <c r="K1014" s="12" t="e">
        <f>IF(ISNUMBER(VLOOKUP($C$5,'Data-temp_employment'!$A$10:$OG$42,133,FALSE)),VLOOKUP($C$5,'Data-temp_employment'!$A$10:$OG$42,133,FALSE),NA())</f>
        <v>#N/A</v>
      </c>
    </row>
    <row r="1015" spans="1:12">
      <c r="A1015" s="8" t="s">
        <v>101</v>
      </c>
      <c r="B1015" s="12" t="e">
        <f>IF(ISNUMBER(VLOOKUP($C$5,'Data-temp_employment'!$A$10:$OG$42,135,FALSE)),VLOOKUP($C$5,'Data-temp_employment'!$A$10:$OG$42,135,FALSE),NA())</f>
        <v>#N/A</v>
      </c>
      <c r="C1015" s="12" t="e">
        <f>IF(ISNUMBER(VLOOKUP($C$5,'Data-temp_employment'!$A$10:$OG$42,136,FALSE)),VLOOKUP($C$5,'Data-temp_employment'!$A$10:$OG$42,136,FALSE),NA())</f>
        <v>#N/A</v>
      </c>
      <c r="D1015" s="12" t="e">
        <f>IF(ISNUMBER(VLOOKUP($C$5,'Data-temp_employment'!$A$10:$OG$42,137,FALSE)),VLOOKUP($C$5,'Data-temp_employment'!$A$10:$OG$42,137,FALSE),NA())</f>
        <v>#N/A</v>
      </c>
      <c r="E1015" s="12" t="e">
        <f>IF(ISNUMBER(VLOOKUP($C$5,'Data-temp_employment'!$A$10:$OG$42,138,FALSE)),VLOOKUP($C$5,'Data-temp_employment'!$A$10:$OG$42,138,FALSE),NA())</f>
        <v>#N/A</v>
      </c>
      <c r="F1015" s="12" t="e">
        <f>IF(ISNUMBER(VLOOKUP($C$5,'Data-temp_employment'!$A$10:$OG$42,139,FALSE)),VLOOKUP($C$5,'Data-temp_employment'!$A$10:$OG$42,139,FALSE),NA())</f>
        <v>#N/A</v>
      </c>
      <c r="G1015" s="12" t="e">
        <f>IF(ISNUMBER(VLOOKUP($C$5,'Data-temp_employment'!$A$10:$OG$42,140,FALSE)),VLOOKUP($C$5,'Data-temp_employment'!$A$10:$OG$42,140,FALSE),NA())</f>
        <v>#N/A</v>
      </c>
      <c r="H1015" s="12" t="e">
        <f>IF(ISNUMBER(VLOOKUP($C$5,'Data-temp_employment'!$A$10:$OG$42,141,FALSE)),VLOOKUP($C$5,'Data-temp_employment'!$A$10:$OG$42,141,FALSE),NA())</f>
        <v>#N/A</v>
      </c>
      <c r="I1015" s="12" t="e">
        <f>IF(ISNUMBER(VLOOKUP($C$5,'Data-temp_employment'!$A$10:$OG$42,142,FALSE)),VLOOKUP($C$5,'Data-temp_employment'!$A$10:$OG$42,142,FALSE),NA())</f>
        <v>#N/A</v>
      </c>
      <c r="J1015" s="12" t="e">
        <f>IF(ISNUMBER(VLOOKUP($C$5,'Data-temp_employment'!$A$10:$OG$42,143,FALSE)),VLOOKUP($C$5,'Data-temp_employment'!$A$10:$OG$42,143,FALSE),NA())</f>
        <v>#N/A</v>
      </c>
      <c r="K1015" s="12" t="e">
        <f>IF(ISNUMBER(VLOOKUP($C$5,'Data-temp_employment'!$A$10:$OG$42,144,FALSE)),VLOOKUP($C$5,'Data-temp_employment'!$A$10:$OG$42,144,FALSE),NA())</f>
        <v>#N/A</v>
      </c>
    </row>
    <row r="1016" spans="1:12">
      <c r="A1016" s="8" t="s">
        <v>102</v>
      </c>
      <c r="B1016" s="12" t="e">
        <f>IF(ISNUMBER(VLOOKUP($C$5,'Data-temp_employment'!$A$10:$OG$42,146,FALSE)),VLOOKUP($C$5,'Data-temp_employment'!$A$10:$OG$42,146,FALSE),NA())</f>
        <v>#N/A</v>
      </c>
      <c r="C1016" s="12" t="e">
        <f>IF(ISNUMBER(VLOOKUP($C$5,'Data-temp_employment'!$A$10:$OG$42,147,FALSE)),VLOOKUP($C$5,'Data-temp_employment'!$A$10:$OG$42,147,FALSE),NA())</f>
        <v>#N/A</v>
      </c>
      <c r="D1016" s="12" t="e">
        <f>IF(ISNUMBER(VLOOKUP($C$5,'Data-temp_employment'!$A$10:$OG$42,148,FALSE)),VLOOKUP($C$5,'Data-temp_employment'!$A$10:$OG$42,148,FALSE),NA())</f>
        <v>#N/A</v>
      </c>
      <c r="E1016" s="12" t="e">
        <f>IF(ISNUMBER(VLOOKUP($C$5,'Data-temp_employment'!$A$10:$OG$42,149,FALSE)),VLOOKUP($C$5,'Data-temp_employment'!$A$10:$OG$42,149,FALSE),NA())</f>
        <v>#N/A</v>
      </c>
      <c r="F1016" s="12" t="e">
        <f>IF(ISNUMBER(VLOOKUP($C$5,'Data-temp_employment'!$A$10:$OG$42,150,FALSE)),VLOOKUP($C$5,'Data-temp_employment'!$A$10:$OG$42,150,FALSE),NA())</f>
        <v>#N/A</v>
      </c>
      <c r="G1016" s="12" t="e">
        <f>IF(ISNUMBER(VLOOKUP($C$5,'Data-temp_employment'!$A$10:$OG$42,151,FALSE)),VLOOKUP($C$5,'Data-temp_employment'!$A$10:$OG$42,151,FALSE),NA())</f>
        <v>#N/A</v>
      </c>
      <c r="H1016" s="12" t="e">
        <f>IF(ISNUMBER(VLOOKUP($C$5,'Data-temp_employment'!$A$10:$OG$42,152,FALSE)),VLOOKUP($C$5,'Data-temp_employment'!$A$10:$OG$42,152,FALSE),NA())</f>
        <v>#N/A</v>
      </c>
      <c r="I1016" s="12" t="e">
        <f>IF(ISNUMBER(VLOOKUP($C$5,'Data-temp_employment'!$A$10:$OG$42,153,FALSE)),VLOOKUP($C$5,'Data-temp_employment'!$A$10:$OG$42,153,FALSE),NA())</f>
        <v>#N/A</v>
      </c>
      <c r="J1016" s="12" t="e">
        <f>IF(ISNUMBER(VLOOKUP($C$5,'Data-temp_employment'!$A$10:$OG$42,154,FALSE)),VLOOKUP($C$5,'Data-temp_employment'!$A$10:$OG$42,154,FALSE),NA())</f>
        <v>#N/A</v>
      </c>
      <c r="K1016" s="12" t="e">
        <f>IF(ISNUMBER(VLOOKUP($C$5,'Data-temp_employment'!$A$10:$OG$42,155,FALSE)),VLOOKUP($C$5,'Data-temp_employment'!$A$10:$OG$42,155,FALSE),NA())</f>
        <v>#N/A</v>
      </c>
    </row>
    <row r="1017" spans="1:12">
      <c r="A1017" s="8" t="s">
        <v>103</v>
      </c>
      <c r="B1017" s="12" t="e">
        <f>IF(ISNUMBER(VLOOKUP($C$5,'Data-temp_employment'!$A$10:$OG$42,157,FALSE)),VLOOKUP($C$5,'Data-temp_employment'!$A$10:$OG$42,157,FALSE),NA())</f>
        <v>#N/A</v>
      </c>
      <c r="C1017" s="12" t="e">
        <f>IF(ISNUMBER(VLOOKUP($C$5,'Data-temp_employment'!$A$10:$OG$42,158,FALSE)),VLOOKUP($C$5,'Data-temp_employment'!$A$10:$OG$42,158,FALSE),NA())</f>
        <v>#N/A</v>
      </c>
      <c r="D1017" s="12" t="e">
        <f>IF(ISNUMBER(VLOOKUP($C$5,'Data-temp_employment'!$A$10:$OG$42,159,FALSE)),VLOOKUP($C$5,'Data-temp_employment'!$A$10:$OG$42,159,FALSE),NA())</f>
        <v>#N/A</v>
      </c>
      <c r="E1017" s="12" t="e">
        <f>IF(ISNUMBER(VLOOKUP($C$5,'Data-temp_employment'!$A$10:$OG$42,160,FALSE)),VLOOKUP($C$5,'Data-temp_employment'!$A$10:$OG$42,160,FALSE),NA())</f>
        <v>#N/A</v>
      </c>
      <c r="F1017" s="12" t="e">
        <f>IF(ISNUMBER(VLOOKUP($C$5,'Data-temp_employment'!$A$10:$OG$42,161,FALSE)),VLOOKUP($C$5,'Data-temp_employment'!$A$10:$OG$42,161,FALSE),NA())</f>
        <v>#N/A</v>
      </c>
      <c r="G1017" s="12" t="e">
        <f>IF(ISNUMBER(VLOOKUP($C$5,'Data-temp_employment'!$A$10:$OG$42,162,FALSE)),VLOOKUP($C$5,'Data-temp_employment'!$A$10:$OG$42,162,FALSE),NA())</f>
        <v>#N/A</v>
      </c>
      <c r="H1017" s="12" t="e">
        <f>IF(ISNUMBER(VLOOKUP($C$5,'Data-temp_employment'!$A$10:$OG$42,163,FALSE)),VLOOKUP($C$5,'Data-temp_employment'!$A$10:$OG$42,163,FALSE),NA())</f>
        <v>#N/A</v>
      </c>
      <c r="I1017" s="12" t="e">
        <f>IF(ISNUMBER(VLOOKUP($C$5,'Data-temp_employment'!$A$10:$OG$42,164,FALSE)),VLOOKUP($C$5,'Data-temp_employment'!$A$10:$OG$42,164,FALSE),NA())</f>
        <v>#N/A</v>
      </c>
      <c r="J1017" s="12" t="e">
        <f>IF(ISNUMBER(VLOOKUP($C$5,'Data-temp_employment'!$A$10:$OG$42,165,FALSE)),VLOOKUP($C$5,'Data-temp_employment'!$A$10:$OG$42,165,FALSE),NA())</f>
        <v>#N/A</v>
      </c>
      <c r="K1017" s="12" t="e">
        <f>IF(ISNUMBER(VLOOKUP($C$5,'Data-temp_employment'!$A$10:$OG$42,166,FALSE)),VLOOKUP($C$5,'Data-temp_employment'!$A$10:$OG$42,166,FALSE),NA())</f>
        <v>#N/A</v>
      </c>
    </row>
    <row r="1018" spans="1:12">
      <c r="A1018" s="8" t="s">
        <v>104</v>
      </c>
      <c r="B1018" s="12" t="e">
        <f>IF(ISNUMBER(VLOOKUP($C$5,'Data-temp_employment'!$A$10:$OG$42,168,FALSE)),VLOOKUP($C$5,'Data-temp_employment'!$A$10:$OG$42,168,FALSE),NA())</f>
        <v>#N/A</v>
      </c>
      <c r="C1018" s="12" t="e">
        <f>IF(ISNUMBER(VLOOKUP($C$5,'Data-temp_employment'!$A$10:$OG$42,169,FALSE)),VLOOKUP($C$5,'Data-temp_employment'!$A$10:$OG$42,169,FALSE),NA())</f>
        <v>#N/A</v>
      </c>
      <c r="D1018" s="12" t="e">
        <f>IF(ISNUMBER(VLOOKUP($C$5,'Data-temp_employment'!$A$10:$OG$42,170,FALSE)),VLOOKUP($C$5,'Data-temp_employment'!$A$10:$OG$42,170,FALSE),NA())</f>
        <v>#N/A</v>
      </c>
      <c r="E1018" s="12" t="e">
        <f>IF(ISNUMBER(VLOOKUP($C$5,'Data-temp_employment'!$A$10:$OG$42,171,FALSE)),VLOOKUP($C$5,'Data-temp_employment'!$A$10:$OG$42,171,FALSE),NA())</f>
        <v>#N/A</v>
      </c>
      <c r="F1018" s="12" t="e">
        <f>IF(ISNUMBER(VLOOKUP($C$5,'Data-temp_employment'!$A$10:$OG$42,172,FALSE)),VLOOKUP($C$5,'Data-temp_employment'!$A$10:$OG$42,172,FALSE),NA())</f>
        <v>#N/A</v>
      </c>
      <c r="G1018" s="12" t="e">
        <f>IF(ISNUMBER(VLOOKUP($C$5,'Data-temp_employment'!$A$10:$OG$42,173,FALSE)),VLOOKUP($C$5,'Data-temp_employment'!$A$10:$OG$42,173,FALSE),NA())</f>
        <v>#N/A</v>
      </c>
      <c r="H1018" s="12" t="e">
        <f>IF(ISNUMBER(VLOOKUP($C$5,'Data-temp_employment'!$A$10:$OG$42,174,FALSE)),VLOOKUP($C$5,'Data-temp_employment'!$A$10:$OG$42,174,FALSE),NA())</f>
        <v>#N/A</v>
      </c>
      <c r="I1018" s="12" t="e">
        <f>IF(ISNUMBER(VLOOKUP($C$5,'Data-temp_employment'!$A$10:$OG$42,175,FALSE)),VLOOKUP($C$5,'Data-temp_employment'!$A$10:$OG$42,175,FALSE),NA())</f>
        <v>#N/A</v>
      </c>
      <c r="J1018" s="12" t="e">
        <f>IF(ISNUMBER(VLOOKUP($C$5,'Data-temp_employment'!$A$10:$OG$42,176,FALSE)),VLOOKUP($C$5,'Data-temp_employment'!$A$10:$OG$42,176,FALSE),NA())</f>
        <v>#N/A</v>
      </c>
      <c r="K1018" s="12" t="e">
        <f>IF(ISNUMBER(VLOOKUP($C$5,'Data-temp_employment'!$A$10:$OG$42,177,FALSE)),VLOOKUP($C$5,'Data-temp_employment'!$A$10:$OG$42,177,FALSE),NA())</f>
        <v>#N/A</v>
      </c>
    </row>
    <row r="1019" spans="1:12">
      <c r="A1019" s="8" t="s">
        <v>105</v>
      </c>
      <c r="B1019" s="12" t="e">
        <f>IF(ISNUMBER(VLOOKUP($C$5,'Data-temp_employment'!$A$10:$OG$42,179,FALSE)),VLOOKUP($C$5,'Data-temp_employment'!$A$10:$OG$42,179,FALSE),NA())</f>
        <v>#N/A</v>
      </c>
      <c r="C1019" s="12" t="e">
        <f>IF(ISNUMBER(VLOOKUP($C$5,'Data-temp_employment'!$A$10:$OG$42,180,FALSE)),VLOOKUP($C$5,'Data-temp_employment'!$A$10:$OG$42,180,FALSE),NA())</f>
        <v>#N/A</v>
      </c>
      <c r="D1019" s="12" t="e">
        <f>IF(ISNUMBER(VLOOKUP($C$5,'Data-temp_employment'!$A$10:$OG$42,181,FALSE)),VLOOKUP($C$5,'Data-temp_employment'!$A$10:$OG$42,181,FALSE),NA())</f>
        <v>#N/A</v>
      </c>
      <c r="E1019" s="12" t="e">
        <f>IF(ISNUMBER(VLOOKUP($C$5,'Data-temp_employment'!$A$10:$OG$42,182,FALSE)),VLOOKUP($C$5,'Data-temp_employment'!$A$10:$OG$42,182,FALSE),NA())</f>
        <v>#N/A</v>
      </c>
      <c r="F1019" s="12" t="e">
        <f>IF(ISNUMBER(VLOOKUP($C$5,'Data-temp_employment'!$A$10:$OG$42,183,FALSE)),VLOOKUP($C$5,'Data-temp_employment'!$A$10:$OG$42,183,FALSE),NA())</f>
        <v>#N/A</v>
      </c>
      <c r="G1019" s="12" t="e">
        <f>IF(ISNUMBER(VLOOKUP($C$5,'Data-temp_employment'!$A$10:$OG$42,184,FALSE)),VLOOKUP($C$5,'Data-temp_employment'!$A$10:$OG$42,184,FALSE),NA())</f>
        <v>#N/A</v>
      </c>
      <c r="H1019" s="12" t="e">
        <f>IF(ISNUMBER(VLOOKUP($C$5,'Data-temp_employment'!$A$10:$OG$42,185,FALSE)),VLOOKUP($C$5,'Data-temp_employment'!$A$10:$OG$42,185,FALSE),NA())</f>
        <v>#N/A</v>
      </c>
      <c r="I1019" s="12" t="e">
        <f>IF(ISNUMBER(VLOOKUP($C$5,'Data-temp_employment'!$A$10:$OG$42,186,FALSE)),VLOOKUP($C$5,'Data-temp_employment'!$A$10:$OG$42,186,FALSE),NA())</f>
        <v>#N/A</v>
      </c>
      <c r="J1019" s="12" t="e">
        <f>IF(ISNUMBER(VLOOKUP($C$5,'Data-temp_employment'!$A$10:$OG$42,187,FALSE)),VLOOKUP($C$5,'Data-temp_employment'!$A$10:$OG$42,187,FALSE),NA())</f>
        <v>#N/A</v>
      </c>
      <c r="K1019" s="12" t="e">
        <f>IF(ISNUMBER(VLOOKUP($C$5,'Data-temp_employment'!$A$10:$OG$42,188,FALSE)),VLOOKUP($C$5,'Data-temp_employment'!$A$10:$OG$42,188,FALSE),NA())</f>
        <v>#N/A</v>
      </c>
    </row>
    <row r="1020" spans="1:12">
      <c r="A1020" s="8" t="s">
        <v>106</v>
      </c>
      <c r="B1020" s="12" t="e">
        <f>IF(ISNUMBER(VLOOKUP($C$5,'Data-temp_employment'!$A$10:$OG$42,190,FALSE)),VLOOKUP($C$5,'Data-temp_employment'!$A$10:$OG$42,190,FALSE),NA())</f>
        <v>#N/A</v>
      </c>
      <c r="C1020" s="12" t="e">
        <f>IF(ISNUMBER(VLOOKUP($C$5,'Data-temp_employment'!$A$10:$OG$42,191,FALSE)),VLOOKUP($C$5,'Data-temp_employment'!$A$10:$OG$42,191,FALSE),NA())</f>
        <v>#N/A</v>
      </c>
      <c r="D1020" s="12" t="e">
        <f>IF(ISNUMBER(VLOOKUP($C$5,'Data-temp_employment'!$A$10:$OG$42,192,FALSE)),VLOOKUP($C$5,'Data-temp_employment'!$A$10:$OG$42,192,FALSE),NA())</f>
        <v>#N/A</v>
      </c>
      <c r="E1020" s="12" t="e">
        <f>IF(ISNUMBER(VLOOKUP($C$5,'Data-temp_employment'!$A$10:$OG$42,193,FALSE)),VLOOKUP($C$5,'Data-temp_employment'!$A$10:$OG$42,193,FALSE),NA())</f>
        <v>#N/A</v>
      </c>
      <c r="F1020" s="12" t="e">
        <f>IF(ISNUMBER(VLOOKUP($C$5,'Data-temp_employment'!$A$10:$OG$42,194,FALSE)),VLOOKUP($C$5,'Data-temp_employment'!$A$10:$OG$42,194,FALSE),NA())</f>
        <v>#N/A</v>
      </c>
      <c r="G1020" s="12" t="e">
        <f>IF(ISNUMBER(VLOOKUP($C$5,'Data-temp_employment'!$A$10:$OG$42,195,FALSE)),VLOOKUP($C$5,'Data-temp_employment'!$A$10:$OG$42,195,FALSE),NA())</f>
        <v>#N/A</v>
      </c>
      <c r="H1020" s="12" t="e">
        <f>IF(ISNUMBER(VLOOKUP($C$5,'Data-temp_employment'!$A$10:$OG$42,196,FALSE)),VLOOKUP($C$5,'Data-temp_employment'!$A$10:$OG$42,196,FALSE),NA())</f>
        <v>#N/A</v>
      </c>
      <c r="I1020" s="12" t="e">
        <f>IF(ISNUMBER(VLOOKUP($C$5,'Data-temp_employment'!$A$10:$OG$42,197,FALSE)),VLOOKUP($C$5,'Data-temp_employment'!$A$10:$OG$42,197,FALSE),NA())</f>
        <v>#N/A</v>
      </c>
      <c r="J1020" s="12" t="e">
        <f>IF(ISNUMBER(VLOOKUP($C$5,'Data-temp_employment'!$A$10:$OG$42,198,FALSE)),VLOOKUP($C$5,'Data-temp_employment'!$A$10:$OG$42,198,FALSE),NA())</f>
        <v>#N/A</v>
      </c>
      <c r="K1020" s="12" t="e">
        <f>IF(ISNUMBER(VLOOKUP($C$5,'Data-temp_employment'!$A$10:$OG$42,199,FALSE)),VLOOKUP($C$5,'Data-temp_employment'!$A$10:$OG$42,199,FALSE),NA())</f>
        <v>#N/A</v>
      </c>
    </row>
    <row r="1021" spans="1:12">
      <c r="A1021" s="8" t="s">
        <v>120</v>
      </c>
      <c r="B1021" s="12" t="e">
        <f>IF(ISNUMBER(VLOOKUP($C$5,'Data-temp_employment'!$A$10:$OG$42,201,FALSE)),VLOOKUP($C$5,'Data-temp_employment'!$A$10:$OG$42,201,FALSE),NA())</f>
        <v>#N/A</v>
      </c>
      <c r="C1021" s="12" t="e">
        <f>IF(ISNUMBER(VLOOKUP($C$5,'Data-temp_employment'!$A$10:$OG$42,202,FALSE)),VLOOKUP($C$5,'Data-temp_employment'!$A$10:$OG$42,202,FALSE),NA())</f>
        <v>#N/A</v>
      </c>
      <c r="D1021" s="12" t="e">
        <f>IF(ISNUMBER(VLOOKUP($C$5,'Data-temp_employment'!$A$10:$OG$42,203,FALSE)),VLOOKUP($C$5,'Data-temp_employment'!$A$10:$OG$42,203,FALSE),NA())</f>
        <v>#N/A</v>
      </c>
      <c r="E1021" s="12" t="e">
        <f>IF(ISNUMBER(VLOOKUP($C$5,'Data-temp_employment'!$A$10:$OG$42,204,FALSE)),VLOOKUP($C$5,'Data-temp_employment'!$A$10:$OG$42,204,FALSE),NA())</f>
        <v>#N/A</v>
      </c>
      <c r="F1021" s="12" t="e">
        <f>IF(ISNUMBER(VLOOKUP($C$5,'Data-temp_employment'!$A$10:$OG$42,205,FALSE)),VLOOKUP($C$5,'Data-temp_employment'!$A$10:$OG$42,205,FALSE),NA())</f>
        <v>#N/A</v>
      </c>
      <c r="G1021" s="12" t="e">
        <f>IF(ISNUMBER(VLOOKUP($C$5,'Data-temp_employment'!$A$10:$OG$42,206,FALSE)),VLOOKUP($C$5,'Data-temp_employment'!$A$10:$OG$42,206,FALSE),NA())</f>
        <v>#N/A</v>
      </c>
      <c r="H1021" s="12" t="e">
        <f>IF(ISNUMBER(VLOOKUP($C$5,'Data-temp_employment'!$A$10:$OG$42,207,FALSE)),VLOOKUP($C$5,'Data-temp_employment'!$A$10:$OG$42,207,FALSE),NA())</f>
        <v>#N/A</v>
      </c>
      <c r="I1021" s="12" t="e">
        <f>IF(ISNUMBER(VLOOKUP($C$5,'Data-temp_employment'!$A$10:$OG$42,208,FALSE)),VLOOKUP($C$5,'Data-temp_employment'!$A$10:$OG$42,208,FALSE),NA())</f>
        <v>#N/A</v>
      </c>
      <c r="J1021" s="12" t="e">
        <f>IF(ISNUMBER(VLOOKUP($C$5,'Data-temp_employment'!$A$10:$OG$42,209,FALSE)),VLOOKUP($C$5,'Data-temp_employment'!$A$10:$OG$42,209,FALSE),NA())</f>
        <v>#N/A</v>
      </c>
      <c r="K1021" s="12" t="e">
        <f>IF(ISNUMBER(VLOOKUP($C$5,'Data-temp_employment'!$A$10:$OG$42,210,FALSE)),VLOOKUP($C$5,'Data-temp_employment'!$A$10:$OG$42,210,FALSE),NA())</f>
        <v>#N/A</v>
      </c>
    </row>
    <row r="1022" spans="1:12">
      <c r="A1022" s="8" t="s">
        <v>121</v>
      </c>
      <c r="B1022" s="12" t="e">
        <f>IF(ISNUMBER(VLOOKUP($C$5,'Data-temp_employment'!$A$10:$OG$42,212,FALSE)),VLOOKUP($C$5,'Data-temp_employment'!$A$10:$OG$42,212,FALSE),NA())</f>
        <v>#N/A</v>
      </c>
      <c r="C1022" s="12" t="e">
        <f>IF(ISNUMBER(VLOOKUP($C$5,'Data-temp_employment'!$A$10:$OG$42,213,FALSE)),VLOOKUP($C$5,'Data-temp_employment'!$A$10:$OG$42,213,FALSE),NA())</f>
        <v>#N/A</v>
      </c>
      <c r="D1022" s="12" t="e">
        <f>IF(ISNUMBER(VLOOKUP($C$5,'Data-temp_employment'!$A$10:$OG$42,214,FALSE)),VLOOKUP($C$5,'Data-temp_employment'!$A$10:$OG$42,214,FALSE),NA())</f>
        <v>#N/A</v>
      </c>
      <c r="E1022" s="12" t="e">
        <f>IF(ISNUMBER(VLOOKUP($C$5,'Data-temp_employment'!$A$10:$OG$42,215,FALSE)),VLOOKUP($C$5,'Data-temp_employment'!$A$10:$OG$42,215,FALSE),NA())</f>
        <v>#N/A</v>
      </c>
      <c r="F1022" s="12" t="e">
        <f>IF(ISNUMBER(VLOOKUP($C$5,'Data-temp_employment'!$A$10:$OG$42,216,FALSE)),VLOOKUP($C$5,'Data-temp_employment'!$A$10:$OG$42,216,FALSE),NA())</f>
        <v>#N/A</v>
      </c>
      <c r="G1022" s="12" t="e">
        <f>IF(ISNUMBER(VLOOKUP($C$5,'Data-temp_employment'!$A$10:$OG$42,217,FALSE)),VLOOKUP($C$5,'Data-temp_employment'!$A$10:$OG$42,217,FALSE),NA())</f>
        <v>#N/A</v>
      </c>
      <c r="H1022" s="12" t="e">
        <f>IF(ISNUMBER(VLOOKUP($C$5,'Data-temp_employment'!$A$10:$OG$42,218,FALSE)),VLOOKUP($C$5,'Data-temp_employment'!$A$10:$OG$42,218,FALSE),NA())</f>
        <v>#N/A</v>
      </c>
      <c r="I1022" s="12" t="e">
        <f>IF(ISNUMBER(VLOOKUP($C$5,'Data-temp_employment'!$A$10:$OG$42,219,FALSE)),VLOOKUP($C$5,'Data-temp_employment'!$A$10:$OG$42,219,FALSE),NA())</f>
        <v>#N/A</v>
      </c>
      <c r="J1022" s="12" t="e">
        <f>IF(ISNUMBER(VLOOKUP($C$5,'Data-temp_employment'!$A$10:$OG$42,220,FALSE)),VLOOKUP($C$5,'Data-temp_employment'!$A$10:$OG$42,220,FALSE),NA())</f>
        <v>#N/A</v>
      </c>
      <c r="K1022" s="12" t="e">
        <f>IF(ISNUMBER(VLOOKUP($C$5,'Data-temp_employment'!$A$10:$OG$42,221,FALSE)),VLOOKUP($C$5,'Data-temp_employment'!$A$10:$OG$42,221,FALSE),NA())</f>
        <v>#N/A</v>
      </c>
    </row>
    <row r="1023" spans="1:12">
      <c r="A1023" s="8" t="s">
        <v>122</v>
      </c>
      <c r="B1023" s="12" t="e">
        <f>IF(ISNUMBER(VLOOKUP($C$5,'Data-temp_employment'!$A$10:$OG$42,223,FALSE)),VLOOKUP($C$5,'Data-temp_employment'!$A$10:$OG$42,223,FALSE),NA())</f>
        <v>#N/A</v>
      </c>
      <c r="C1023" s="12" t="e">
        <f>IF(ISNUMBER(VLOOKUP($C$5,'Data-temp_employment'!$A$10:$OG$42,224,FALSE)),VLOOKUP($C$5,'Data-temp_employment'!$A$10:$OG$42,224,FALSE),NA())</f>
        <v>#N/A</v>
      </c>
      <c r="D1023" s="12" t="e">
        <f>IF(ISNUMBER(VLOOKUP($C$5,'Data-temp_employment'!$A$10:$OG$42,225,FALSE)),VLOOKUP($C$5,'Data-temp_employment'!$A$10:$OG$42,225,FALSE),NA())</f>
        <v>#N/A</v>
      </c>
      <c r="E1023" s="12" t="e">
        <f>IF(ISNUMBER(VLOOKUP($C$5,'Data-temp_employment'!$A$10:$OG$42,226,FALSE)),VLOOKUP($C$5,'Data-temp_employment'!$A$10:$OG$42,226,FALSE),NA())</f>
        <v>#N/A</v>
      </c>
      <c r="F1023" s="12" t="e">
        <f>IF(ISNUMBER(VLOOKUP($C$5,'Data-temp_employment'!$A$10:$OG$42,227,FALSE)),VLOOKUP($C$5,'Data-temp_employment'!$A$10:$OG$42,227,FALSE),NA())</f>
        <v>#N/A</v>
      </c>
      <c r="G1023" s="12" t="e">
        <f>IF(ISNUMBER(VLOOKUP($C$5,'Data-temp_employment'!$A$10:$OG$42,228,FALSE)),VLOOKUP($C$5,'Data-temp_employment'!$A$10:$OG$42,228,FALSE),NA())</f>
        <v>#N/A</v>
      </c>
      <c r="H1023" s="12" t="e">
        <f>IF(ISNUMBER(VLOOKUP($C$5,'Data-temp_employment'!$A$10:$OG$42,229,FALSE)),VLOOKUP($C$5,'Data-temp_employment'!$A$10:$OG$42,229,FALSE),NA())</f>
        <v>#N/A</v>
      </c>
      <c r="I1023" s="12" t="e">
        <f>IF(ISNUMBER(VLOOKUP($C$5,'Data-temp_employment'!$A$10:$OG$42,230,FALSE)),VLOOKUP($C$5,'Data-temp_employment'!$A$10:$OG$42,230,FALSE),NA())</f>
        <v>#N/A</v>
      </c>
      <c r="J1023" s="12" t="e">
        <f>IF(ISNUMBER(VLOOKUP($C$5,'Data-temp_employment'!$A$10:$OG$42,231,FALSE)),VLOOKUP($C$5,'Data-temp_employment'!$A$10:$OG$42,231,FALSE),NA())</f>
        <v>#N/A</v>
      </c>
      <c r="K1023" s="12" t="e">
        <f>IF(ISNUMBER(VLOOKUP($C$5,'Data-temp_employment'!$A$10:$OG$42,232,FALSE)),VLOOKUP($C$5,'Data-temp_employment'!$A$10:$OG$42,232,FALSE),NA())</f>
        <v>#N/A</v>
      </c>
    </row>
    <row r="1024" spans="1:12">
      <c r="A1024" s="8" t="s">
        <v>124</v>
      </c>
      <c r="B1024" s="12" t="e">
        <f>IF(ISNUMBER(VLOOKUP($C$5,'Data-temp_employment'!$A$10:$OG$42,256,FALSE)),VLOOKUP($C$5,'Data-temp_employment'!$A$10:$OG$42,256,FALSE),NA())</f>
        <v>#N/A</v>
      </c>
      <c r="C1024" s="12" t="e">
        <f>IF(ISNUMBER(VLOOKUP($C$5,'Data-temp_employment'!$A$10:$OG$42,257,FALSE)),VLOOKUP($C$5,'Data-temp_employment'!$A$10:$OG$42,257,FALSE),NA())</f>
        <v>#N/A</v>
      </c>
      <c r="D1024" s="12" t="e">
        <f>IF(ISNUMBER(VLOOKUP($C$5,'Data-temp_employment'!$A$10:$OG$42,258,FALSE)),VLOOKUP($C$5,'Data-temp_employment'!$A$10:$OG$42,258,FALSE),NA())</f>
        <v>#N/A</v>
      </c>
      <c r="E1024" s="12" t="e">
        <f>IF(ISNUMBER(VLOOKUP($C$5,'Data-temp_employment'!$A$10:$OG$42,259,FALSE)),VLOOKUP($C$5,'Data-temp_employment'!$A$10:$OG$42,259,FALSE),NA())</f>
        <v>#N/A</v>
      </c>
      <c r="F1024" s="12" t="e">
        <f>IF(ISNUMBER(VLOOKUP($C$5,'Data-temp_employment'!$A$10:$OG$42,260,FALSE)),VLOOKUP($C$5,'Data-temp_employment'!$A$10:$OG$42,260,FALSE),NA())</f>
        <v>#N/A</v>
      </c>
      <c r="G1024" s="12" t="e">
        <f>IF(ISNUMBER(VLOOKUP($C$5,'Data-temp_employment'!$A$10:$OG$42,261,FALSE)),VLOOKUP($C$5,'Data-temp_employment'!$A$10:$OG$42,261,FALSE),NA())</f>
        <v>#N/A</v>
      </c>
      <c r="H1024" s="12" t="e">
        <f>IF(ISNUMBER(VLOOKUP($C$5,'Data-temp_employment'!$A$10:$OG$42,262,FALSE)),VLOOKUP($C$5,'Data-temp_employment'!$A$10:$OG$42,262,FALSE),NA())</f>
        <v>#N/A</v>
      </c>
      <c r="I1024" s="12" t="e">
        <f>IF(ISNUMBER(VLOOKUP($C$5,'Data-temp_employment'!$A$10:$OG$42,263,FALSE)),VLOOKUP($C$5,'Data-temp_employment'!$A$10:$OG$42,263,FALSE),NA())</f>
        <v>#N/A</v>
      </c>
      <c r="J1024" s="12" t="e">
        <f>IF(ISNUMBER(VLOOKUP($C$5,'Data-temp_employment'!$A$10:$OG$42,264,FALSE)),VLOOKUP($C$5,'Data-temp_employment'!$A$10:$OG$42,264,FALSE),NA())</f>
        <v>#N/A</v>
      </c>
      <c r="K1024" s="12" t="e">
        <f>IF(ISNUMBER(VLOOKUP($C$5,'Data-temp_employment'!$A$10:$OG$42,265,FALSE)),VLOOKUP($C$5,'Data-temp_employment'!$A$10:$OG$42,265,FALSE),NA())</f>
        <v>#N/A</v>
      </c>
      <c r="L1024" s="8" t="s">
        <v>124</v>
      </c>
    </row>
    <row r="1025" spans="1:25">
      <c r="A1025" s="8" t="str">
        <f>RIGHT('Data-temp_employment'!JF1,LEN('Data-temp_employment'!JF1) - FIND("- 1 000 - ", 'Data-temp_employment'!JF1,1)-9)</f>
        <v>Manufacturing</v>
      </c>
      <c r="B1025" s="12" t="e">
        <f>IF(ISNUMBER(VLOOKUP($C$5,'Data-temp_employment'!$A$10:$OG$42,267,FALSE)),VLOOKUP($C$5,'Data-temp_employment'!$A$10:$OG$42,267,FALSE),NA())</f>
        <v>#N/A</v>
      </c>
      <c r="C1025" s="12" t="e">
        <f>IF(ISNUMBER(VLOOKUP($C$5,'Data-temp_employment'!$A$10:$OG$42,268,FALSE)),VLOOKUP($C$5,'Data-temp_employment'!$A$10:$OG$42,268,FALSE),NA())</f>
        <v>#N/A</v>
      </c>
      <c r="D1025" s="12" t="e">
        <f>IF(ISNUMBER(VLOOKUP($C$5,'Data-temp_employment'!$A$10:$OG$42,269,FALSE)),VLOOKUP($C$5,'Data-temp_employment'!$A$10:$OG$42,269,FALSE),NA())</f>
        <v>#N/A</v>
      </c>
      <c r="E1025" s="12" t="e">
        <f>IF(ISNUMBER(VLOOKUP($C$5,'Data-temp_employment'!$A$10:$OG$42,270,FALSE)),VLOOKUP($C$5,'Data-temp_employment'!$A$10:$OG$42,270,FALSE),NA())</f>
        <v>#N/A</v>
      </c>
      <c r="F1025" s="12" t="e">
        <f>IF(ISNUMBER(VLOOKUP($C$5,'Data-temp_employment'!$A$10:$OG$42,271,FALSE)),VLOOKUP($C$5,'Data-temp_employment'!$A$10:$OG$42,271,FALSE),NA())</f>
        <v>#N/A</v>
      </c>
      <c r="G1025" s="12" t="e">
        <f>IF(ISNUMBER(VLOOKUP($C$5,'Data-temp_employment'!$A$10:$OG$42,272,FALSE)),VLOOKUP($C$5,'Data-temp_employment'!$A$10:$OG$42,272,FALSE),NA())</f>
        <v>#N/A</v>
      </c>
      <c r="H1025" s="12" t="e">
        <f>IF(ISNUMBER(VLOOKUP($C$5,'Data-temp_employment'!$A$10:$OG$42,273,FALSE)),VLOOKUP($C$5,'Data-temp_employment'!$A$10:$OG$42,273,FALSE),NA())</f>
        <v>#N/A</v>
      </c>
      <c r="I1025" s="12" t="e">
        <f>IF(ISNUMBER(VLOOKUP($C$5,'Data-temp_employment'!$A$10:$OG$42,274,FALSE)),VLOOKUP($C$5,'Data-temp_employment'!$A$10:$OG$42,274,FALSE),NA())</f>
        <v>#N/A</v>
      </c>
      <c r="J1025" s="12" t="e">
        <f>IF(ISNUMBER(VLOOKUP($C$5,'Data-temp_employment'!$A$10:$OG$42,275,FALSE)),VLOOKUP($C$5,'Data-temp_employment'!$A$10:$OG$42,275,FALSE),NA())</f>
        <v>#N/A</v>
      </c>
      <c r="K1025" s="12" t="e">
        <f>IF(ISNUMBER(VLOOKUP($C$5,'Data-temp_employment'!$A$10:$OG$42,276,FALSE)),VLOOKUP($C$5,'Data-temp_employment'!$A$10:$OG$42,276,FALSE),NA())</f>
        <v>#N/A</v>
      </c>
      <c r="L1025" s="8" t="s">
        <v>125</v>
      </c>
      <c r="M1025" s="12"/>
      <c r="N1025" s="12"/>
      <c r="O1025" s="12"/>
      <c r="P1025" s="12">
        <v>267</v>
      </c>
      <c r="Q1025" s="12">
        <v>268</v>
      </c>
      <c r="R1025" s="12">
        <v>269</v>
      </c>
      <c r="S1025" s="12">
        <v>270</v>
      </c>
      <c r="T1025" s="12">
        <v>271</v>
      </c>
      <c r="U1025" s="12">
        <v>272</v>
      </c>
      <c r="V1025" s="12">
        <v>273</v>
      </c>
      <c r="W1025" s="12">
        <v>274</v>
      </c>
      <c r="X1025" s="12">
        <v>275</v>
      </c>
      <c r="Y1025" s="12">
        <v>276</v>
      </c>
    </row>
    <row r="1026" spans="1:25">
      <c r="A1026" s="8" t="str">
        <f>RIGHT('Data-temp_employment'!JQ1,LEN('Data-temp_employment'!JQ1) - FIND("- 1 000 - ", 'Data-temp_employment'!JQ1,1)-9)</f>
        <v>Construction</v>
      </c>
      <c r="B1026" s="8" t="e">
        <f>IF(ISNUMBER(VLOOKUP($C$5,'Data-temp_employment'!$A$10:$OG$42,P$1025 + (11*(ROW(A1026) - ROW($A$1025))),FALSE)),VLOOKUP($C$5,'Data-temp_employment'!$A$10:$OG$42,P$1025 + (11*(ROW(A1026) - ROW($A$1025))),FALSE),NA())</f>
        <v>#N/A</v>
      </c>
      <c r="C1026" s="8" t="e">
        <f>IF(ISNUMBER(VLOOKUP($C$5,'Data-temp_employment'!$A$10:$OG$42,Q$1025 + (11*(ROW(B1026) - ROW($A$1025))),FALSE)),VLOOKUP($C$5,'Data-temp_employment'!$A$10:$OG$42,Q$1025 + (11*(ROW(B1026) - ROW($A$1025))),FALSE),NA())</f>
        <v>#N/A</v>
      </c>
      <c r="D1026" s="8" t="e">
        <f>IF(ISNUMBER(VLOOKUP($C$5,'Data-temp_employment'!$A$10:$OG$42,R$1025 + (11*(ROW(C1026) - ROW($A$1025))),FALSE)),VLOOKUP($C$5,'Data-temp_employment'!$A$10:$OG$42,R$1025 + (11*(ROW(C1026) - ROW($A$1025))),FALSE),NA())</f>
        <v>#N/A</v>
      </c>
      <c r="E1026" s="8" t="e">
        <f>IF(ISNUMBER(VLOOKUP($C$5,'Data-temp_employment'!$A$10:$OG$42,S$1025 + (11*(ROW(D1026) - ROW($A$1025))),FALSE)),VLOOKUP($C$5,'Data-temp_employment'!$A$10:$OG$42,S$1025 + (11*(ROW(D1026) - ROW($A$1025))),FALSE),NA())</f>
        <v>#N/A</v>
      </c>
      <c r="F1026" s="8" t="e">
        <f>IF(ISNUMBER(VLOOKUP($C$5,'Data-temp_employment'!$A$10:$OG$42,T$1025 + (11*(ROW(E1026) - ROW($A$1025))),FALSE)),VLOOKUP($C$5,'Data-temp_employment'!$A$10:$OG$42,T$1025 + (11*(ROW(E1026) - ROW($A$1025))),FALSE),NA())</f>
        <v>#N/A</v>
      </c>
      <c r="G1026" s="8" t="e">
        <f>IF(ISNUMBER(VLOOKUP($C$5,'Data-temp_employment'!$A$10:$OG$42,U$1025 + (11*(ROW(F1026) - ROW($A$1025))),FALSE)),VLOOKUP($C$5,'Data-temp_employment'!$A$10:$OG$42,U$1025 + (11*(ROW(F1026) - ROW($A$1025))),FALSE),NA())</f>
        <v>#N/A</v>
      </c>
      <c r="H1026" s="8" t="e">
        <f>IF(ISNUMBER(VLOOKUP($C$5,'Data-temp_employment'!$A$10:$OG$42,V$1025 + (11*(ROW(G1026) - ROW($A$1025))),FALSE)),VLOOKUP($C$5,'Data-temp_employment'!$A$10:$OG$42,V$1025 + (11*(ROW(G1026) - ROW($A$1025))),FALSE),NA())</f>
        <v>#N/A</v>
      </c>
      <c r="I1026" s="8" t="e">
        <f>IF(ISNUMBER(VLOOKUP($C$5,'Data-temp_employment'!$A$10:$OG$42,W$1025 + (11*(ROW(H1026) - ROW($A$1025))),FALSE)),VLOOKUP($C$5,'Data-temp_employment'!$A$10:$OG$42,W$1025 + (11*(ROW(H1026) - ROW($A$1025))),FALSE),NA())</f>
        <v>#N/A</v>
      </c>
      <c r="J1026" s="8" t="e">
        <f>IF(ISNUMBER(VLOOKUP($C$5,'Data-temp_employment'!$A$10:$OG$42,X$1025 + (11*(ROW(I1026) - ROW($A$1025))),FALSE)),VLOOKUP($C$5,'Data-temp_employment'!$A$10:$OG$42,X$1025 + (11*(ROW(I1026) - ROW($A$1025))),FALSE),NA())</f>
        <v>#N/A</v>
      </c>
      <c r="K1026" s="8" t="e">
        <f>IF(ISNUMBER(VLOOKUP($C$5,'Data-temp_employment'!$A$10:$OG$42,Y$1025 + (11*(ROW(J1026) - ROW($A$1025))),FALSE)),VLOOKUP($C$5,'Data-temp_employment'!$A$10:$OG$42,Y$1025 + (11*(ROW(J1026) - ROW($A$1025))),FALSE),NA())</f>
        <v>#N/A</v>
      </c>
      <c r="L1026" s="8" t="s">
        <v>126</v>
      </c>
    </row>
    <row r="1027" spans="1:25">
      <c r="A1027" s="8" t="str">
        <f>RIGHT('Data-temp_employment'!KB1,LEN('Data-temp_employment'!KB1) - FIND("- 1 000 - ", 'Data-temp_employment'!KB1,1)-9)</f>
        <v>Wholesale and retail trade; repair of motor vehicles and motorcycles</v>
      </c>
      <c r="B1027" s="8" t="e">
        <f>IF(ISNUMBER(VLOOKUP($C$5,'Data-temp_employment'!$A$10:$OG$42,P$1025 + (11*(ROW(A1027) - ROW($A$1025))),FALSE)),VLOOKUP($C$5,'Data-temp_employment'!$A$10:$OG$42,P$1025 + (11*(ROW(A1027) - ROW($A$1025))),FALSE),NA())</f>
        <v>#N/A</v>
      </c>
      <c r="C1027" s="8" t="e">
        <f>IF(ISNUMBER(VLOOKUP($C$5,'Data-temp_employment'!$A$10:$OG$42,Q$1025 + (11*(ROW(B1027) - ROW($A$1025))),FALSE)),VLOOKUP($C$5,'Data-temp_employment'!$A$10:$OG$42,Q$1025 + (11*(ROW(B1027) - ROW($A$1025))),FALSE),NA())</f>
        <v>#N/A</v>
      </c>
      <c r="D1027" s="8" t="e">
        <f>IF(ISNUMBER(VLOOKUP($C$5,'Data-temp_employment'!$A$10:$OG$42,R$1025 + (11*(ROW(C1027) - ROW($A$1025))),FALSE)),VLOOKUP($C$5,'Data-temp_employment'!$A$10:$OG$42,R$1025 + (11*(ROW(C1027) - ROW($A$1025))),FALSE),NA())</f>
        <v>#N/A</v>
      </c>
      <c r="E1027" s="8" t="e">
        <f>IF(ISNUMBER(VLOOKUP($C$5,'Data-temp_employment'!$A$10:$OG$42,S$1025 + (11*(ROW(D1027) - ROW($A$1025))),FALSE)),VLOOKUP($C$5,'Data-temp_employment'!$A$10:$OG$42,S$1025 + (11*(ROW(D1027) - ROW($A$1025))),FALSE),NA())</f>
        <v>#N/A</v>
      </c>
      <c r="F1027" s="8" t="e">
        <f>IF(ISNUMBER(VLOOKUP($C$5,'Data-temp_employment'!$A$10:$OG$42,T$1025 + (11*(ROW(E1027) - ROW($A$1025))),FALSE)),VLOOKUP($C$5,'Data-temp_employment'!$A$10:$OG$42,T$1025 + (11*(ROW(E1027) - ROW($A$1025))),FALSE),NA())</f>
        <v>#N/A</v>
      </c>
      <c r="G1027" s="8" t="e">
        <f>IF(ISNUMBER(VLOOKUP($C$5,'Data-temp_employment'!$A$10:$OG$42,U$1025 + (11*(ROW(F1027) - ROW($A$1025))),FALSE)),VLOOKUP($C$5,'Data-temp_employment'!$A$10:$OG$42,U$1025 + (11*(ROW(F1027) - ROW($A$1025))),FALSE),NA())</f>
        <v>#N/A</v>
      </c>
      <c r="H1027" s="8" t="e">
        <f>IF(ISNUMBER(VLOOKUP($C$5,'Data-temp_employment'!$A$10:$OG$42,V$1025 + (11*(ROW(G1027) - ROW($A$1025))),FALSE)),VLOOKUP($C$5,'Data-temp_employment'!$A$10:$OG$42,V$1025 + (11*(ROW(G1027) - ROW($A$1025))),FALSE),NA())</f>
        <v>#N/A</v>
      </c>
      <c r="I1027" s="8" t="e">
        <f>IF(ISNUMBER(VLOOKUP($C$5,'Data-temp_employment'!$A$10:$OG$42,W$1025 + (11*(ROW(H1027) - ROW($A$1025))),FALSE)),VLOOKUP($C$5,'Data-temp_employment'!$A$10:$OG$42,W$1025 + (11*(ROW(H1027) - ROW($A$1025))),FALSE),NA())</f>
        <v>#N/A</v>
      </c>
      <c r="J1027" s="8" t="e">
        <f>IF(ISNUMBER(VLOOKUP($C$5,'Data-temp_employment'!$A$10:$OG$42,X$1025 + (11*(ROW(I1027) - ROW($A$1025))),FALSE)),VLOOKUP($C$5,'Data-temp_employment'!$A$10:$OG$42,X$1025 + (11*(ROW(I1027) - ROW($A$1025))),FALSE),NA())</f>
        <v>#N/A</v>
      </c>
      <c r="K1027" s="8" t="e">
        <f>IF(ISNUMBER(VLOOKUP($C$5,'Data-temp_employment'!$A$10:$OG$42,Y$1025 + (11*(ROW(J1027) - ROW($A$1025))),FALSE)),VLOOKUP($C$5,'Data-temp_employment'!$A$10:$OG$42,Y$1025 + (11*(ROW(J1027) - ROW($A$1025))),FALSE),NA())</f>
        <v>#N/A</v>
      </c>
      <c r="L1027" s="8" t="s">
        <v>130</v>
      </c>
      <c r="P1027" s="8" t="str">
        <f>CONCATENATE(L1024,", ", L1025, ", ", L1026, ", ", L1027,", ",L1028,", ", L1029,", ", L1030,", ", L1031, ", ", L1032,", ", L1033, ", ", L1034, ", ", L1035, ", ", L1036)</f>
        <v>Agri/ Fisheries/Forestry, Manufacturing, Construction, Wholesale/retail trade, Transportation and storage, Accommodation/food service, Information and communication, Financial/ insurance, Professional/ scientific/technical, Administrative, Public administration and defence, Education, Human health/social work</v>
      </c>
    </row>
    <row r="1028" spans="1:25">
      <c r="A1028" s="8" t="str">
        <f>RIGHT('Data-temp_employment'!KM1,LEN('Data-temp_employment'!KM1) - FIND("- 1 000 - ", 'Data-temp_employment'!KM1,1)-9)</f>
        <v>Transportation and storage</v>
      </c>
      <c r="B1028" s="8" t="e">
        <f>IF(ISNUMBER(VLOOKUP($C$5,'Data-temp_employment'!$A$10:$OG$42,P$1025 + (11*(ROW(A1028) - ROW($A$1025))),FALSE)),VLOOKUP($C$5,'Data-temp_employment'!$A$10:$OG$42,P$1025 + (11*(ROW(A1028) - ROW($A$1025))),FALSE),NA())</f>
        <v>#N/A</v>
      </c>
      <c r="C1028" s="8" t="e">
        <f>IF(ISNUMBER(VLOOKUP($C$5,'Data-temp_employment'!$A$10:$OG$42,Q$1025 + (11*(ROW(B1028) - ROW($A$1025))),FALSE)),VLOOKUP($C$5,'Data-temp_employment'!$A$10:$OG$42,Q$1025 + (11*(ROW(B1028) - ROW($A$1025))),FALSE),NA())</f>
        <v>#N/A</v>
      </c>
      <c r="D1028" s="8" t="e">
        <f>IF(ISNUMBER(VLOOKUP($C$5,'Data-temp_employment'!$A$10:$OG$42,R$1025 + (11*(ROW(C1028) - ROW($A$1025))),FALSE)),VLOOKUP($C$5,'Data-temp_employment'!$A$10:$OG$42,R$1025 + (11*(ROW(C1028) - ROW($A$1025))),FALSE),NA())</f>
        <v>#N/A</v>
      </c>
      <c r="E1028" s="8" t="e">
        <f>IF(ISNUMBER(VLOOKUP($C$5,'Data-temp_employment'!$A$10:$OG$42,S$1025 + (11*(ROW(D1028) - ROW($A$1025))),FALSE)),VLOOKUP($C$5,'Data-temp_employment'!$A$10:$OG$42,S$1025 + (11*(ROW(D1028) - ROW($A$1025))),FALSE),NA())</f>
        <v>#N/A</v>
      </c>
      <c r="F1028" s="8" t="e">
        <f>IF(ISNUMBER(VLOOKUP($C$5,'Data-temp_employment'!$A$10:$OG$42,T$1025 + (11*(ROW(E1028) - ROW($A$1025))),FALSE)),VLOOKUP($C$5,'Data-temp_employment'!$A$10:$OG$42,T$1025 + (11*(ROW(E1028) - ROW($A$1025))),FALSE),NA())</f>
        <v>#N/A</v>
      </c>
      <c r="G1028" s="8" t="e">
        <f>IF(ISNUMBER(VLOOKUP($C$5,'Data-temp_employment'!$A$10:$OG$42,U$1025 + (11*(ROW(F1028) - ROW($A$1025))),FALSE)),VLOOKUP($C$5,'Data-temp_employment'!$A$10:$OG$42,U$1025 + (11*(ROW(F1028) - ROW($A$1025))),FALSE),NA())</f>
        <v>#N/A</v>
      </c>
      <c r="H1028" s="8" t="e">
        <f>IF(ISNUMBER(VLOOKUP($C$5,'Data-temp_employment'!$A$10:$OG$42,V$1025 + (11*(ROW(G1028) - ROW($A$1025))),FALSE)),VLOOKUP($C$5,'Data-temp_employment'!$A$10:$OG$42,V$1025 + (11*(ROW(G1028) - ROW($A$1025))),FALSE),NA())</f>
        <v>#N/A</v>
      </c>
      <c r="I1028" s="8" t="e">
        <f>IF(ISNUMBER(VLOOKUP($C$5,'Data-temp_employment'!$A$10:$OG$42,W$1025 + (11*(ROW(H1028) - ROW($A$1025))),FALSE)),VLOOKUP($C$5,'Data-temp_employment'!$A$10:$OG$42,W$1025 + (11*(ROW(H1028) - ROW($A$1025))),FALSE),NA())</f>
        <v>#N/A</v>
      </c>
      <c r="J1028" s="8" t="e">
        <f>IF(ISNUMBER(VLOOKUP($C$5,'Data-temp_employment'!$A$10:$OG$42,X$1025 + (11*(ROW(I1028) - ROW($A$1025))),FALSE)),VLOOKUP($C$5,'Data-temp_employment'!$A$10:$OG$42,X$1025 + (11*(ROW(I1028) - ROW($A$1025))),FALSE),NA())</f>
        <v>#N/A</v>
      </c>
      <c r="K1028" s="8" t="e">
        <f>IF(ISNUMBER(VLOOKUP($C$5,'Data-temp_employment'!$A$10:$OG$42,Y$1025 + (11*(ROW(J1028) - ROW($A$1025))),FALSE)),VLOOKUP($C$5,'Data-temp_employment'!$A$10:$OG$42,Y$1025 + (11*(ROW(J1028) - ROW($A$1025))),FALSE),NA())</f>
        <v>#N/A</v>
      </c>
      <c r="L1028" s="8" t="s">
        <v>127</v>
      </c>
    </row>
    <row r="1029" spans="1:25">
      <c r="A1029" s="8" t="str">
        <f>RIGHT('Data-temp_employment'!KX1,LEN('Data-temp_employment'!KX1) - FIND("- 1 000 - ", 'Data-temp_employment'!KX1,1)-9)</f>
        <v>Accommodation and food service activities</v>
      </c>
      <c r="B1029" s="8" t="e">
        <f>IF(ISNUMBER(VLOOKUP($C$5,'Data-temp_employment'!$A$10:$OG$42,P$1025 + (11*(ROW(A1029) - ROW($A$1025))),FALSE)),VLOOKUP($C$5,'Data-temp_employment'!$A$10:$OG$42,P$1025 + (11*(ROW(A1029) - ROW($A$1025))),FALSE),NA())</f>
        <v>#N/A</v>
      </c>
      <c r="C1029" s="8" t="e">
        <f>IF(ISNUMBER(VLOOKUP($C$5,'Data-temp_employment'!$A$10:$OG$42,Q$1025 + (11*(ROW(B1029) - ROW($A$1025))),FALSE)),VLOOKUP($C$5,'Data-temp_employment'!$A$10:$OG$42,Q$1025 + (11*(ROW(B1029) - ROW($A$1025))),FALSE),NA())</f>
        <v>#N/A</v>
      </c>
      <c r="D1029" s="8" t="e">
        <f>IF(ISNUMBER(VLOOKUP($C$5,'Data-temp_employment'!$A$10:$OG$42,R$1025 + (11*(ROW(C1029) - ROW($A$1025))),FALSE)),VLOOKUP($C$5,'Data-temp_employment'!$A$10:$OG$42,R$1025 + (11*(ROW(C1029) - ROW($A$1025))),FALSE),NA())</f>
        <v>#N/A</v>
      </c>
      <c r="E1029" s="8" t="e">
        <f>IF(ISNUMBER(VLOOKUP($C$5,'Data-temp_employment'!$A$10:$OG$42,S$1025 + (11*(ROW(D1029) - ROW($A$1025))),FALSE)),VLOOKUP($C$5,'Data-temp_employment'!$A$10:$OG$42,S$1025 + (11*(ROW(D1029) - ROW($A$1025))),FALSE),NA())</f>
        <v>#N/A</v>
      </c>
      <c r="F1029" s="8" t="e">
        <f>IF(ISNUMBER(VLOOKUP($C$5,'Data-temp_employment'!$A$10:$OG$42,T$1025 + (11*(ROW(E1029) - ROW($A$1025))),FALSE)),VLOOKUP($C$5,'Data-temp_employment'!$A$10:$OG$42,T$1025 + (11*(ROW(E1029) - ROW($A$1025))),FALSE),NA())</f>
        <v>#N/A</v>
      </c>
      <c r="G1029" s="8" t="e">
        <f>IF(ISNUMBER(VLOOKUP($C$5,'Data-temp_employment'!$A$10:$OG$42,U$1025 + (11*(ROW(F1029) - ROW($A$1025))),FALSE)),VLOOKUP($C$5,'Data-temp_employment'!$A$10:$OG$42,U$1025 + (11*(ROW(F1029) - ROW($A$1025))),FALSE),NA())</f>
        <v>#N/A</v>
      </c>
      <c r="H1029" s="8" t="e">
        <f>IF(ISNUMBER(VLOOKUP($C$5,'Data-temp_employment'!$A$10:$OG$42,V$1025 + (11*(ROW(G1029) - ROW($A$1025))),FALSE)),VLOOKUP($C$5,'Data-temp_employment'!$A$10:$OG$42,V$1025 + (11*(ROW(G1029) - ROW($A$1025))),FALSE),NA())</f>
        <v>#N/A</v>
      </c>
      <c r="I1029" s="8" t="e">
        <f>IF(ISNUMBER(VLOOKUP($C$5,'Data-temp_employment'!$A$10:$OG$42,W$1025 + (11*(ROW(H1029) - ROW($A$1025))),FALSE)),VLOOKUP($C$5,'Data-temp_employment'!$A$10:$OG$42,W$1025 + (11*(ROW(H1029) - ROW($A$1025))),FALSE),NA())</f>
        <v>#N/A</v>
      </c>
      <c r="J1029" s="8" t="e">
        <f>IF(ISNUMBER(VLOOKUP($C$5,'Data-temp_employment'!$A$10:$OG$42,X$1025 + (11*(ROW(I1029) - ROW($A$1025))),FALSE)),VLOOKUP($C$5,'Data-temp_employment'!$A$10:$OG$42,X$1025 + (11*(ROW(I1029) - ROW($A$1025))),FALSE),NA())</f>
        <v>#N/A</v>
      </c>
      <c r="K1029" s="8" t="e">
        <f>IF(ISNUMBER(VLOOKUP($C$5,'Data-temp_employment'!$A$10:$OG$42,Y$1025 + (11*(ROW(J1029) - ROW($A$1025))),FALSE)),VLOOKUP($C$5,'Data-temp_employment'!$A$10:$OG$42,Y$1025 + (11*(ROW(J1029) - ROW($A$1025))),FALSE),NA())</f>
        <v>#N/A</v>
      </c>
      <c r="L1029" s="8" t="s">
        <v>131</v>
      </c>
    </row>
    <row r="1030" spans="1:25">
      <c r="A1030" s="8" t="str">
        <f>RIGHT('Data-temp_employment'!LI1,LEN('Data-temp_employment'!LI1) - FIND("- 1 000 - ", 'Data-temp_employment'!LI1,1)-9)</f>
        <v>Information and communication</v>
      </c>
      <c r="B1030" s="8" t="e">
        <f>IF(ISNUMBER(VLOOKUP($C$5,'Data-temp_employment'!$A$10:$OG$42,P$1025 + (11*(ROW(A1030) - ROW($A$1025))),FALSE)),VLOOKUP($C$5,'Data-temp_employment'!$A$10:$OG$42,P$1025 + (11*(ROW(A1030) - ROW($A$1025))),FALSE),NA())</f>
        <v>#N/A</v>
      </c>
      <c r="C1030" s="8" t="e">
        <f>IF(ISNUMBER(VLOOKUP($C$5,'Data-temp_employment'!$A$10:$OG$42,Q$1025 + (11*(ROW(B1030) - ROW($A$1025))),FALSE)),VLOOKUP($C$5,'Data-temp_employment'!$A$10:$OG$42,Q$1025 + (11*(ROW(B1030) - ROW($A$1025))),FALSE),NA())</f>
        <v>#N/A</v>
      </c>
      <c r="D1030" s="8" t="e">
        <f>IF(ISNUMBER(VLOOKUP($C$5,'Data-temp_employment'!$A$10:$OG$42,R$1025 + (11*(ROW(C1030) - ROW($A$1025))),FALSE)),VLOOKUP($C$5,'Data-temp_employment'!$A$10:$OG$42,R$1025 + (11*(ROW(C1030) - ROW($A$1025))),FALSE),NA())</f>
        <v>#N/A</v>
      </c>
      <c r="E1030" s="8" t="e">
        <f>IF(ISNUMBER(VLOOKUP($C$5,'Data-temp_employment'!$A$10:$OG$42,S$1025 + (11*(ROW(D1030) - ROW($A$1025))),FALSE)),VLOOKUP($C$5,'Data-temp_employment'!$A$10:$OG$42,S$1025 + (11*(ROW(D1030) - ROW($A$1025))),FALSE),NA())</f>
        <v>#N/A</v>
      </c>
      <c r="F1030" s="8" t="e">
        <f>IF(ISNUMBER(VLOOKUP($C$5,'Data-temp_employment'!$A$10:$OG$42,T$1025 + (11*(ROW(E1030) - ROW($A$1025))),FALSE)),VLOOKUP($C$5,'Data-temp_employment'!$A$10:$OG$42,T$1025 + (11*(ROW(E1030) - ROW($A$1025))),FALSE),NA())</f>
        <v>#N/A</v>
      </c>
      <c r="G1030" s="8" t="e">
        <f>IF(ISNUMBER(VLOOKUP($C$5,'Data-temp_employment'!$A$10:$OG$42,U$1025 + (11*(ROW(F1030) - ROW($A$1025))),FALSE)),VLOOKUP($C$5,'Data-temp_employment'!$A$10:$OG$42,U$1025 + (11*(ROW(F1030) - ROW($A$1025))),FALSE),NA())</f>
        <v>#N/A</v>
      </c>
      <c r="H1030" s="8" t="e">
        <f>IF(ISNUMBER(VLOOKUP($C$5,'Data-temp_employment'!$A$10:$OG$42,V$1025 + (11*(ROW(G1030) - ROW($A$1025))),FALSE)),VLOOKUP($C$5,'Data-temp_employment'!$A$10:$OG$42,V$1025 + (11*(ROW(G1030) - ROW($A$1025))),FALSE),NA())</f>
        <v>#N/A</v>
      </c>
      <c r="I1030" s="8" t="e">
        <f>IF(ISNUMBER(VLOOKUP($C$5,'Data-temp_employment'!$A$10:$OG$42,W$1025 + (11*(ROW(H1030) - ROW($A$1025))),FALSE)),VLOOKUP($C$5,'Data-temp_employment'!$A$10:$OG$42,W$1025 + (11*(ROW(H1030) - ROW($A$1025))),FALSE),NA())</f>
        <v>#N/A</v>
      </c>
      <c r="J1030" s="8" t="e">
        <f>IF(ISNUMBER(VLOOKUP($C$5,'Data-temp_employment'!$A$10:$OG$42,X$1025 + (11*(ROW(I1030) - ROW($A$1025))),FALSE)),VLOOKUP($C$5,'Data-temp_employment'!$A$10:$OG$42,X$1025 + (11*(ROW(I1030) - ROW($A$1025))),FALSE),NA())</f>
        <v>#N/A</v>
      </c>
      <c r="K1030" s="8" t="e">
        <f>IF(ISNUMBER(VLOOKUP($C$5,'Data-temp_employment'!$A$10:$OG$42,Y$1025 + (11*(ROW(J1030) - ROW($A$1025))),FALSE)),VLOOKUP($C$5,'Data-temp_employment'!$A$10:$OG$42,Y$1025 + (11*(ROW(J1030) - ROW($A$1025))),FALSE),NA())</f>
        <v>#N/A</v>
      </c>
      <c r="L1030" s="8" t="s">
        <v>128</v>
      </c>
    </row>
    <row r="1031" spans="1:25">
      <c r="A1031" s="8" t="str">
        <f>RIGHT('Data-temp_employment'!LT1,LEN('Data-temp_employment'!LT1) - FIND("- 1 000 - ", 'Data-temp_employment'!LT1,1)-9)</f>
        <v>Financial and insurance activities</v>
      </c>
      <c r="B1031" s="8" t="e">
        <f>IF(ISNUMBER(VLOOKUP($C$5,'Data-temp_employment'!$A$10:$OG$42,P$1025 + (11*(ROW(A1031) - ROW($A$1025))),FALSE)),VLOOKUP($C$5,'Data-temp_employment'!$A$10:$OG$42,P$1025 + (11*(ROW(A1031) - ROW($A$1025))),FALSE),NA())</f>
        <v>#N/A</v>
      </c>
      <c r="C1031" s="8" t="e">
        <f>IF(ISNUMBER(VLOOKUP($C$5,'Data-temp_employment'!$A$10:$OG$42,Q$1025 + (11*(ROW(B1031) - ROW($A$1025))),FALSE)),VLOOKUP($C$5,'Data-temp_employment'!$A$10:$OG$42,Q$1025 + (11*(ROW(B1031) - ROW($A$1025))),FALSE),NA())</f>
        <v>#N/A</v>
      </c>
      <c r="D1031" s="8" t="e">
        <f>IF(ISNUMBER(VLOOKUP($C$5,'Data-temp_employment'!$A$10:$OG$42,R$1025 + (11*(ROW(C1031) - ROW($A$1025))),FALSE)),VLOOKUP($C$5,'Data-temp_employment'!$A$10:$OG$42,R$1025 + (11*(ROW(C1031) - ROW($A$1025))),FALSE),NA())</f>
        <v>#N/A</v>
      </c>
      <c r="E1031" s="8" t="e">
        <f>IF(ISNUMBER(VLOOKUP($C$5,'Data-temp_employment'!$A$10:$OG$42,S$1025 + (11*(ROW(D1031) - ROW($A$1025))),FALSE)),VLOOKUP($C$5,'Data-temp_employment'!$A$10:$OG$42,S$1025 + (11*(ROW(D1031) - ROW($A$1025))),FALSE),NA())</f>
        <v>#N/A</v>
      </c>
      <c r="F1031" s="8" t="e">
        <f>IF(ISNUMBER(VLOOKUP($C$5,'Data-temp_employment'!$A$10:$OG$42,T$1025 + (11*(ROW(E1031) - ROW($A$1025))),FALSE)),VLOOKUP($C$5,'Data-temp_employment'!$A$10:$OG$42,T$1025 + (11*(ROW(E1031) - ROW($A$1025))),FALSE),NA())</f>
        <v>#N/A</v>
      </c>
      <c r="G1031" s="8" t="e">
        <f>IF(ISNUMBER(VLOOKUP($C$5,'Data-temp_employment'!$A$10:$OG$42,U$1025 + (11*(ROW(F1031) - ROW($A$1025))),FALSE)),VLOOKUP($C$5,'Data-temp_employment'!$A$10:$OG$42,U$1025 + (11*(ROW(F1031) - ROW($A$1025))),FALSE),NA())</f>
        <v>#N/A</v>
      </c>
      <c r="H1031" s="8" t="e">
        <f>IF(ISNUMBER(VLOOKUP($C$5,'Data-temp_employment'!$A$10:$OG$42,V$1025 + (11*(ROW(G1031) - ROW($A$1025))),FALSE)),VLOOKUP($C$5,'Data-temp_employment'!$A$10:$OG$42,V$1025 + (11*(ROW(G1031) - ROW($A$1025))),FALSE),NA())</f>
        <v>#N/A</v>
      </c>
      <c r="I1031" s="8" t="e">
        <f>IF(ISNUMBER(VLOOKUP($C$5,'Data-temp_employment'!$A$10:$OG$42,W$1025 + (11*(ROW(H1031) - ROW($A$1025))),FALSE)),VLOOKUP($C$5,'Data-temp_employment'!$A$10:$OG$42,W$1025 + (11*(ROW(H1031) - ROW($A$1025))),FALSE),NA())</f>
        <v>#N/A</v>
      </c>
      <c r="J1031" s="8" t="e">
        <f>IF(ISNUMBER(VLOOKUP($C$5,'Data-temp_employment'!$A$10:$OG$42,X$1025 + (11*(ROW(I1031) - ROW($A$1025))),FALSE)),VLOOKUP($C$5,'Data-temp_employment'!$A$10:$OG$42,X$1025 + (11*(ROW(I1031) - ROW($A$1025))),FALSE),NA())</f>
        <v>#N/A</v>
      </c>
      <c r="K1031" s="8" t="e">
        <f>IF(ISNUMBER(VLOOKUP($C$5,'Data-temp_employment'!$A$10:$OG$42,Y$1025 + (11*(ROW(J1031) - ROW($A$1025))),FALSE)),VLOOKUP($C$5,'Data-temp_employment'!$A$10:$OG$42,Y$1025 + (11*(ROW(J1031) - ROW($A$1025))),FALSE),NA())</f>
        <v>#N/A</v>
      </c>
      <c r="L1031" s="8" t="s">
        <v>132</v>
      </c>
    </row>
    <row r="1032" spans="1:25">
      <c r="A1032" s="8" t="str">
        <f>RIGHT('Data-temp_employment'!ME1,LEN('Data-temp_employment'!ME1) - FIND("- 1 000 - ", 'Data-temp_employment'!ME1,1)-9)</f>
        <v>Professional, scientific and technical activities</v>
      </c>
      <c r="B1032" s="8" t="e">
        <f>IF(ISNUMBER(VLOOKUP($C$5,'Data-temp_employment'!$A$10:$OG$42,P$1025 + (11*(ROW(A1032) - ROW($A$1025))),FALSE)),VLOOKUP($C$5,'Data-temp_employment'!$A$10:$OG$42,P$1025 + (11*(ROW(A1032) - ROW($A$1025))),FALSE),NA())</f>
        <v>#N/A</v>
      </c>
      <c r="C1032" s="8" t="e">
        <f>IF(ISNUMBER(VLOOKUP($C$5,'Data-temp_employment'!$A$10:$OG$42,Q$1025 + (11*(ROW(B1032) - ROW($A$1025))),FALSE)),VLOOKUP($C$5,'Data-temp_employment'!$A$10:$OG$42,Q$1025 + (11*(ROW(B1032) - ROW($A$1025))),FALSE),NA())</f>
        <v>#N/A</v>
      </c>
      <c r="D1032" s="8" t="e">
        <f>IF(ISNUMBER(VLOOKUP($C$5,'Data-temp_employment'!$A$10:$OG$42,R$1025 + (11*(ROW(C1032) - ROW($A$1025))),FALSE)),VLOOKUP($C$5,'Data-temp_employment'!$A$10:$OG$42,R$1025 + (11*(ROW(C1032) - ROW($A$1025))),FALSE),NA())</f>
        <v>#N/A</v>
      </c>
      <c r="E1032" s="8" t="e">
        <f>IF(ISNUMBER(VLOOKUP($C$5,'Data-temp_employment'!$A$10:$OG$42,S$1025 + (11*(ROW(D1032) - ROW($A$1025))),FALSE)),VLOOKUP($C$5,'Data-temp_employment'!$A$10:$OG$42,S$1025 + (11*(ROW(D1032) - ROW($A$1025))),FALSE),NA())</f>
        <v>#N/A</v>
      </c>
      <c r="F1032" s="8" t="e">
        <f>IF(ISNUMBER(VLOOKUP($C$5,'Data-temp_employment'!$A$10:$OG$42,T$1025 + (11*(ROW(E1032) - ROW($A$1025))),FALSE)),VLOOKUP($C$5,'Data-temp_employment'!$A$10:$OG$42,T$1025 + (11*(ROW(E1032) - ROW($A$1025))),FALSE),NA())</f>
        <v>#N/A</v>
      </c>
      <c r="G1032" s="8" t="e">
        <f>IF(ISNUMBER(VLOOKUP($C$5,'Data-temp_employment'!$A$10:$OG$42,U$1025 + (11*(ROW(F1032) - ROW($A$1025))),FALSE)),VLOOKUP($C$5,'Data-temp_employment'!$A$10:$OG$42,U$1025 + (11*(ROW(F1032) - ROW($A$1025))),FALSE),NA())</f>
        <v>#N/A</v>
      </c>
      <c r="H1032" s="8" t="e">
        <f>IF(ISNUMBER(VLOOKUP($C$5,'Data-temp_employment'!$A$10:$OG$42,V$1025 + (11*(ROW(G1032) - ROW($A$1025))),FALSE)),VLOOKUP($C$5,'Data-temp_employment'!$A$10:$OG$42,V$1025 + (11*(ROW(G1032) - ROW($A$1025))),FALSE),NA())</f>
        <v>#N/A</v>
      </c>
      <c r="I1032" s="8" t="e">
        <f>IF(ISNUMBER(VLOOKUP($C$5,'Data-temp_employment'!$A$10:$OG$42,W$1025 + (11*(ROW(H1032) - ROW($A$1025))),FALSE)),VLOOKUP($C$5,'Data-temp_employment'!$A$10:$OG$42,W$1025 + (11*(ROW(H1032) - ROW($A$1025))),FALSE),NA())</f>
        <v>#N/A</v>
      </c>
      <c r="J1032" s="8" t="e">
        <f>IF(ISNUMBER(VLOOKUP($C$5,'Data-temp_employment'!$A$10:$OG$42,X$1025 + (11*(ROW(I1032) - ROW($A$1025))),FALSE)),VLOOKUP($C$5,'Data-temp_employment'!$A$10:$OG$42,X$1025 + (11*(ROW(I1032) - ROW($A$1025))),FALSE),NA())</f>
        <v>#N/A</v>
      </c>
      <c r="K1032" s="8" t="e">
        <f>IF(ISNUMBER(VLOOKUP($C$5,'Data-temp_employment'!$A$10:$OG$42,Y$1025 + (11*(ROW(J1032) - ROW($A$1025))),FALSE)),VLOOKUP($C$5,'Data-temp_employment'!$A$10:$OG$42,Y$1025 + (11*(ROW(J1032) - ROW($A$1025))),FALSE),NA())</f>
        <v>#N/A</v>
      </c>
      <c r="L1032" s="8" t="s">
        <v>133</v>
      </c>
    </row>
    <row r="1033" spans="1:25">
      <c r="A1033" s="8" t="str">
        <f>RIGHT('Data-temp_employment'!MP1,LEN('Data-temp_employment'!MP1) - FIND("- 1 000 - ", 'Data-temp_employment'!MP1,1)-9)</f>
        <v>Administrative and support service activities</v>
      </c>
      <c r="B1033" s="8" t="e">
        <f>IF(ISNUMBER(VLOOKUP($C$5,'Data-temp_employment'!$A$10:$OG$42,P$1025 + (11*(ROW(A1033) - ROW($A$1025))),FALSE)),VLOOKUP($C$5,'Data-temp_employment'!$A$10:$OG$42,P$1025 + (11*(ROW(A1033) - ROW($A$1025))),FALSE),NA())</f>
        <v>#N/A</v>
      </c>
      <c r="C1033" s="8" t="e">
        <f>IF(ISNUMBER(VLOOKUP($C$5,'Data-temp_employment'!$A$10:$OG$42,Q$1025 + (11*(ROW(B1033) - ROW($A$1025))),FALSE)),VLOOKUP($C$5,'Data-temp_employment'!$A$10:$OG$42,Q$1025 + (11*(ROW(B1033) - ROW($A$1025))),FALSE),NA())</f>
        <v>#N/A</v>
      </c>
      <c r="D1033" s="8" t="e">
        <f>IF(ISNUMBER(VLOOKUP($C$5,'Data-temp_employment'!$A$10:$OG$42,R$1025 + (11*(ROW(C1033) - ROW($A$1025))),FALSE)),VLOOKUP($C$5,'Data-temp_employment'!$A$10:$OG$42,R$1025 + (11*(ROW(C1033) - ROW($A$1025))),FALSE),NA())</f>
        <v>#N/A</v>
      </c>
      <c r="E1033" s="8" t="e">
        <f>IF(ISNUMBER(VLOOKUP($C$5,'Data-temp_employment'!$A$10:$OG$42,S$1025 + (11*(ROW(D1033) - ROW($A$1025))),FALSE)),VLOOKUP($C$5,'Data-temp_employment'!$A$10:$OG$42,S$1025 + (11*(ROW(D1033) - ROW($A$1025))),FALSE),NA())</f>
        <v>#N/A</v>
      </c>
      <c r="F1033" s="8" t="e">
        <f>IF(ISNUMBER(VLOOKUP($C$5,'Data-temp_employment'!$A$10:$OG$42,T$1025 + (11*(ROW(E1033) - ROW($A$1025))),FALSE)),VLOOKUP($C$5,'Data-temp_employment'!$A$10:$OG$42,T$1025 + (11*(ROW(E1033) - ROW($A$1025))),FALSE),NA())</f>
        <v>#N/A</v>
      </c>
      <c r="G1033" s="8" t="e">
        <f>IF(ISNUMBER(VLOOKUP($C$5,'Data-temp_employment'!$A$10:$OG$42,U$1025 + (11*(ROW(F1033) - ROW($A$1025))),FALSE)),VLOOKUP($C$5,'Data-temp_employment'!$A$10:$OG$42,U$1025 + (11*(ROW(F1033) - ROW($A$1025))),FALSE),NA())</f>
        <v>#N/A</v>
      </c>
      <c r="H1033" s="8" t="e">
        <f>IF(ISNUMBER(VLOOKUP($C$5,'Data-temp_employment'!$A$10:$OG$42,V$1025 + (11*(ROW(G1033) - ROW($A$1025))),FALSE)),VLOOKUP($C$5,'Data-temp_employment'!$A$10:$OG$42,V$1025 + (11*(ROW(G1033) - ROW($A$1025))),FALSE),NA())</f>
        <v>#N/A</v>
      </c>
      <c r="I1033" s="8" t="e">
        <f>IF(ISNUMBER(VLOOKUP($C$5,'Data-temp_employment'!$A$10:$OG$42,W$1025 + (11*(ROW(H1033) - ROW($A$1025))),FALSE)),VLOOKUP($C$5,'Data-temp_employment'!$A$10:$OG$42,W$1025 + (11*(ROW(H1033) - ROW($A$1025))),FALSE),NA())</f>
        <v>#N/A</v>
      </c>
      <c r="J1033" s="8" t="e">
        <f>IF(ISNUMBER(VLOOKUP($C$5,'Data-temp_employment'!$A$10:$OG$42,X$1025 + (11*(ROW(I1033) - ROW($A$1025))),FALSE)),VLOOKUP($C$5,'Data-temp_employment'!$A$10:$OG$42,X$1025 + (11*(ROW(I1033) - ROW($A$1025))),FALSE),NA())</f>
        <v>#N/A</v>
      </c>
      <c r="K1033" s="8" t="e">
        <f>IF(ISNUMBER(VLOOKUP($C$5,'Data-temp_employment'!$A$10:$OG$42,Y$1025 + (11*(ROW(J1033) - ROW($A$1025))),FALSE)),VLOOKUP($C$5,'Data-temp_employment'!$A$10:$OG$42,Y$1025 + (11*(ROW(J1033) - ROW($A$1025))),FALSE),NA())</f>
        <v>#N/A</v>
      </c>
      <c r="L1033" s="8" t="s">
        <v>134</v>
      </c>
    </row>
    <row r="1034" spans="1:25">
      <c r="A1034" s="8" t="str">
        <f>RIGHT('Data-temp_employment'!NA1,LEN('Data-temp_employment'!NA1) - FIND("- 1 000 - ", 'Data-temp_employment'!NA1,1)-9)</f>
        <v>Public administration and defence; compulsory social security</v>
      </c>
      <c r="B1034" s="8" t="e">
        <f>IF(ISNUMBER(VLOOKUP($C$5,'Data-temp_employment'!$A$10:$OG$42,P$1025 + (11*(ROW(A1034) - ROW($A$1025))),FALSE)),VLOOKUP($C$5,'Data-temp_employment'!$A$10:$OG$42,P$1025 + (11*(ROW(A1034) - ROW($A$1025))),FALSE),NA())</f>
        <v>#N/A</v>
      </c>
      <c r="C1034" s="8" t="e">
        <f>IF(ISNUMBER(VLOOKUP($C$5,'Data-temp_employment'!$A$10:$OG$42,Q$1025 + (11*(ROW(B1034) - ROW($A$1025))),FALSE)),VLOOKUP($C$5,'Data-temp_employment'!$A$10:$OG$42,Q$1025 + (11*(ROW(B1034) - ROW($A$1025))),FALSE),NA())</f>
        <v>#N/A</v>
      </c>
      <c r="D1034" s="8" t="e">
        <f>IF(ISNUMBER(VLOOKUP($C$5,'Data-temp_employment'!$A$10:$OG$42,R$1025 + (11*(ROW(C1034) - ROW($A$1025))),FALSE)),VLOOKUP($C$5,'Data-temp_employment'!$A$10:$OG$42,R$1025 + (11*(ROW(C1034) - ROW($A$1025))),FALSE),NA())</f>
        <v>#N/A</v>
      </c>
      <c r="E1034" s="8" t="e">
        <f>IF(ISNUMBER(VLOOKUP($C$5,'Data-temp_employment'!$A$10:$OG$42,S$1025 + (11*(ROW(D1034) - ROW($A$1025))),FALSE)),VLOOKUP($C$5,'Data-temp_employment'!$A$10:$OG$42,S$1025 + (11*(ROW(D1034) - ROW($A$1025))),FALSE),NA())</f>
        <v>#N/A</v>
      </c>
      <c r="F1034" s="8" t="e">
        <f>IF(ISNUMBER(VLOOKUP($C$5,'Data-temp_employment'!$A$10:$OG$42,T$1025 + (11*(ROW(E1034) - ROW($A$1025))),FALSE)),VLOOKUP($C$5,'Data-temp_employment'!$A$10:$OG$42,T$1025 + (11*(ROW(E1034) - ROW($A$1025))),FALSE),NA())</f>
        <v>#N/A</v>
      </c>
      <c r="G1034" s="8" t="e">
        <f>IF(ISNUMBER(VLOOKUP($C$5,'Data-temp_employment'!$A$10:$OG$42,U$1025 + (11*(ROW(F1034) - ROW($A$1025))),FALSE)),VLOOKUP($C$5,'Data-temp_employment'!$A$10:$OG$42,U$1025 + (11*(ROW(F1034) - ROW($A$1025))),FALSE),NA())</f>
        <v>#N/A</v>
      </c>
      <c r="H1034" s="8" t="e">
        <f>IF(ISNUMBER(VLOOKUP($C$5,'Data-temp_employment'!$A$10:$OG$42,V$1025 + (11*(ROW(G1034) - ROW($A$1025))),FALSE)),VLOOKUP($C$5,'Data-temp_employment'!$A$10:$OG$42,V$1025 + (11*(ROW(G1034) - ROW($A$1025))),FALSE),NA())</f>
        <v>#N/A</v>
      </c>
      <c r="I1034" s="8" t="e">
        <f>IF(ISNUMBER(VLOOKUP($C$5,'Data-temp_employment'!$A$10:$OG$42,W$1025 + (11*(ROW(H1034) - ROW($A$1025))),FALSE)),VLOOKUP($C$5,'Data-temp_employment'!$A$10:$OG$42,W$1025 + (11*(ROW(H1034) - ROW($A$1025))),FALSE),NA())</f>
        <v>#N/A</v>
      </c>
      <c r="J1034" s="8" t="e">
        <f>IF(ISNUMBER(VLOOKUP($C$5,'Data-temp_employment'!$A$10:$OG$42,X$1025 + (11*(ROW(I1034) - ROW($A$1025))),FALSE)),VLOOKUP($C$5,'Data-temp_employment'!$A$10:$OG$42,X$1025 + (11*(ROW(I1034) - ROW($A$1025))),FALSE),NA())</f>
        <v>#N/A</v>
      </c>
      <c r="K1034" s="8" t="e">
        <f>IF(ISNUMBER(VLOOKUP($C$5,'Data-temp_employment'!$A$10:$OG$42,Y$1025 + (11*(ROW(J1034) - ROW($A$1025))),FALSE)),VLOOKUP($C$5,'Data-temp_employment'!$A$10:$OG$42,Y$1025 + (11*(ROW(J1034) - ROW($A$1025))),FALSE),NA())</f>
        <v>#N/A</v>
      </c>
      <c r="L1034" s="8" t="s">
        <v>135</v>
      </c>
    </row>
    <row r="1035" spans="1:25">
      <c r="A1035" s="8" t="str">
        <f>RIGHT('Data-temp_employment'!NL1,LEN('Data-temp_employment'!NL1) - FIND("- 1 000 - ", 'Data-temp_employment'!NL1,1)-9)</f>
        <v>Education</v>
      </c>
      <c r="B1035" s="8" t="e">
        <f>IF(ISNUMBER(VLOOKUP($C$5,'Data-temp_employment'!$A$10:$OG$42,P$1025 + (11*(ROW(A1035) - ROW($A$1025))),FALSE)),VLOOKUP($C$5,'Data-temp_employment'!$A$10:$OG$42,P$1025 + (11*(ROW(A1035) - ROW($A$1025))),FALSE),NA())</f>
        <v>#N/A</v>
      </c>
      <c r="C1035" s="8" t="e">
        <f>IF(ISNUMBER(VLOOKUP($C$5,'Data-temp_employment'!$A$10:$OG$42,Q$1025 + (11*(ROW(B1035) - ROW($A$1025))),FALSE)),VLOOKUP($C$5,'Data-temp_employment'!$A$10:$OG$42,Q$1025 + (11*(ROW(B1035) - ROW($A$1025))),FALSE),NA())</f>
        <v>#N/A</v>
      </c>
      <c r="D1035" s="8" t="e">
        <f>IF(ISNUMBER(VLOOKUP($C$5,'Data-temp_employment'!$A$10:$OG$42,R$1025 + (11*(ROW(C1035) - ROW($A$1025))),FALSE)),VLOOKUP($C$5,'Data-temp_employment'!$A$10:$OG$42,R$1025 + (11*(ROW(C1035) - ROW($A$1025))),FALSE),NA())</f>
        <v>#N/A</v>
      </c>
      <c r="E1035" s="8" t="e">
        <f>IF(ISNUMBER(VLOOKUP($C$5,'Data-temp_employment'!$A$10:$OG$42,S$1025 + (11*(ROW(D1035) - ROW($A$1025))),FALSE)),VLOOKUP($C$5,'Data-temp_employment'!$A$10:$OG$42,S$1025 + (11*(ROW(D1035) - ROW($A$1025))),FALSE),NA())</f>
        <v>#N/A</v>
      </c>
      <c r="F1035" s="8" t="e">
        <f>IF(ISNUMBER(VLOOKUP($C$5,'Data-temp_employment'!$A$10:$OG$42,T$1025 + (11*(ROW(E1035) - ROW($A$1025))),FALSE)),VLOOKUP($C$5,'Data-temp_employment'!$A$10:$OG$42,T$1025 + (11*(ROW(E1035) - ROW($A$1025))),FALSE),NA())</f>
        <v>#N/A</v>
      </c>
      <c r="G1035" s="8" t="e">
        <f>IF(ISNUMBER(VLOOKUP($C$5,'Data-temp_employment'!$A$10:$OG$42,U$1025 + (11*(ROW(F1035) - ROW($A$1025))),FALSE)),VLOOKUP($C$5,'Data-temp_employment'!$A$10:$OG$42,U$1025 + (11*(ROW(F1035) - ROW($A$1025))),FALSE),NA())</f>
        <v>#N/A</v>
      </c>
      <c r="H1035" s="8" t="e">
        <f>IF(ISNUMBER(VLOOKUP($C$5,'Data-temp_employment'!$A$10:$OG$42,V$1025 + (11*(ROW(G1035) - ROW($A$1025))),FALSE)),VLOOKUP($C$5,'Data-temp_employment'!$A$10:$OG$42,V$1025 + (11*(ROW(G1035) - ROW($A$1025))),FALSE),NA())</f>
        <v>#N/A</v>
      </c>
      <c r="I1035" s="8" t="e">
        <f>IF(ISNUMBER(VLOOKUP($C$5,'Data-temp_employment'!$A$10:$OG$42,W$1025 + (11*(ROW(H1035) - ROW($A$1025))),FALSE)),VLOOKUP($C$5,'Data-temp_employment'!$A$10:$OG$42,W$1025 + (11*(ROW(H1035) - ROW($A$1025))),FALSE),NA())</f>
        <v>#N/A</v>
      </c>
      <c r="J1035" s="8" t="e">
        <f>IF(ISNUMBER(VLOOKUP($C$5,'Data-temp_employment'!$A$10:$OG$42,X$1025 + (11*(ROW(I1035) - ROW($A$1025))),FALSE)),VLOOKUP($C$5,'Data-temp_employment'!$A$10:$OG$42,X$1025 + (11*(ROW(I1035) - ROW($A$1025))),FALSE),NA())</f>
        <v>#N/A</v>
      </c>
      <c r="K1035" s="8" t="e">
        <f>IF(ISNUMBER(VLOOKUP($C$5,'Data-temp_employment'!$A$10:$OG$42,Y$1025 + (11*(ROW(J1035) - ROW($A$1025))),FALSE)),VLOOKUP($C$5,'Data-temp_employment'!$A$10:$OG$42,Y$1025 + (11*(ROW(J1035) - ROW($A$1025))),FALSE),NA())</f>
        <v>#N/A</v>
      </c>
      <c r="L1035" s="8" t="s">
        <v>129</v>
      </c>
    </row>
    <row r="1036" spans="1:25">
      <c r="A1036" s="8" t="str">
        <f>RIGHT('Data-temp_employment'!NW1,LEN('Data-temp_employment'!NW1) - FIND("- 1 000 - ", 'Data-temp_employment'!NW1,1)-9)</f>
        <v>Human health and social work activities</v>
      </c>
      <c r="B1036" s="8" t="e">
        <f>IF(ISNUMBER(VLOOKUP($C$5,'Data-temp_employment'!$A$10:$OG$42,P$1025 + (11*(ROW(A1036) - ROW($A$1025))),FALSE)),VLOOKUP($C$5,'Data-temp_employment'!$A$10:$OG$42,P$1025 + (11*(ROW(A1036) - ROW($A$1025))),FALSE),NA())</f>
        <v>#N/A</v>
      </c>
      <c r="C1036" s="8" t="e">
        <f>IF(ISNUMBER(VLOOKUP($C$5,'Data-temp_employment'!$A$10:$OG$42,Q$1025 + (11*(ROW(B1036) - ROW($A$1025))),FALSE)),VLOOKUP($C$5,'Data-temp_employment'!$A$10:$OG$42,Q$1025 + (11*(ROW(B1036) - ROW($A$1025))),FALSE),NA())</f>
        <v>#N/A</v>
      </c>
      <c r="D1036" s="8" t="e">
        <f>IF(ISNUMBER(VLOOKUP($C$5,'Data-temp_employment'!$A$10:$OG$42,R$1025 + (11*(ROW(C1036) - ROW($A$1025))),FALSE)),VLOOKUP($C$5,'Data-temp_employment'!$A$10:$OG$42,R$1025 + (11*(ROW(C1036) - ROW($A$1025))),FALSE),NA())</f>
        <v>#N/A</v>
      </c>
      <c r="E1036" s="8" t="e">
        <f>IF(ISNUMBER(VLOOKUP($C$5,'Data-temp_employment'!$A$10:$OG$42,S$1025 + (11*(ROW(D1036) - ROW($A$1025))),FALSE)),VLOOKUP($C$5,'Data-temp_employment'!$A$10:$OG$42,S$1025 + (11*(ROW(D1036) - ROW($A$1025))),FALSE),NA())</f>
        <v>#N/A</v>
      </c>
      <c r="F1036" s="8" t="e">
        <f>IF(ISNUMBER(VLOOKUP($C$5,'Data-temp_employment'!$A$10:$OG$42,T$1025 + (11*(ROW(E1036) - ROW($A$1025))),FALSE)),VLOOKUP($C$5,'Data-temp_employment'!$A$10:$OG$42,T$1025 + (11*(ROW(E1036) - ROW($A$1025))),FALSE),NA())</f>
        <v>#N/A</v>
      </c>
      <c r="G1036" s="8" t="e">
        <f>IF(ISNUMBER(VLOOKUP($C$5,'Data-temp_employment'!$A$10:$OG$42,U$1025 + (11*(ROW(F1036) - ROW($A$1025))),FALSE)),VLOOKUP($C$5,'Data-temp_employment'!$A$10:$OG$42,U$1025 + (11*(ROW(F1036) - ROW($A$1025))),FALSE),NA())</f>
        <v>#N/A</v>
      </c>
      <c r="H1036" s="8" t="e">
        <f>IF(ISNUMBER(VLOOKUP($C$5,'Data-temp_employment'!$A$10:$OG$42,V$1025 + (11*(ROW(G1036) - ROW($A$1025))),FALSE)),VLOOKUP($C$5,'Data-temp_employment'!$A$10:$OG$42,V$1025 + (11*(ROW(G1036) - ROW($A$1025))),FALSE),NA())</f>
        <v>#N/A</v>
      </c>
      <c r="I1036" s="8" t="e">
        <f>IF(ISNUMBER(VLOOKUP($C$5,'Data-temp_employment'!$A$10:$OG$42,W$1025 + (11*(ROW(H1036) - ROW($A$1025))),FALSE)),VLOOKUP($C$5,'Data-temp_employment'!$A$10:$OG$42,W$1025 + (11*(ROW(H1036) - ROW($A$1025))),FALSE),NA())</f>
        <v>#N/A</v>
      </c>
      <c r="J1036" s="8" t="e">
        <f>IF(ISNUMBER(VLOOKUP($C$5,'Data-temp_employment'!$A$10:$OG$42,X$1025 + (11*(ROW(I1036) - ROW($A$1025))),FALSE)),VLOOKUP($C$5,'Data-temp_employment'!$A$10:$OG$42,X$1025 + (11*(ROW(I1036) - ROW($A$1025))),FALSE),NA())</f>
        <v>#N/A</v>
      </c>
      <c r="K1036" s="8" t="e">
        <f>IF(ISNUMBER(VLOOKUP($C$5,'Data-temp_employment'!$A$10:$OG$42,Y$1025 + (11*(ROW(J1036) - ROW($A$1025))),FALSE)),VLOOKUP($C$5,'Data-temp_employment'!$A$10:$OG$42,Y$1025 + (11*(ROW(J1036) - ROW($A$1025))),FALSE),NA())</f>
        <v>#N/A</v>
      </c>
      <c r="L1036" s="8" t="s">
        <v>136</v>
      </c>
    </row>
  </sheetData>
  <mergeCells count="2">
    <mergeCell ref="A2:L2"/>
    <mergeCell ref="G5:J5"/>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defaultSize="0" autoLine="0" autoPict="0">
                <anchor moveWithCells="1">
                  <from>
                    <xdr:col>1</xdr:col>
                    <xdr:colOff>28575</xdr:colOff>
                    <xdr:row>3</xdr:row>
                    <xdr:rowOff>161925</xdr:rowOff>
                  </from>
                  <to>
                    <xdr:col>5</xdr:col>
                    <xdr:colOff>447675</xdr:colOff>
                    <xdr:row>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BT91"/>
  <sheetViews>
    <sheetView topLeftCell="AG1" zoomScale="66" zoomScaleNormal="66" workbookViewId="0">
      <selection activeCell="BA11" sqref="BA11"/>
    </sheetView>
  </sheetViews>
  <sheetFormatPr defaultRowHeight="18.75"/>
  <cols>
    <col min="2" max="2" width="20" style="162" customWidth="1"/>
    <col min="3" max="3" width="11.42578125" customWidth="1"/>
    <col min="4" max="12" width="10.85546875" customWidth="1"/>
    <col min="13" max="13" width="22.140625" customWidth="1"/>
    <col min="24" max="24" width="18.5703125" customWidth="1"/>
    <col min="25" max="34" width="8.85546875" style="86"/>
    <col min="35" max="35" width="28.85546875" style="13" customWidth="1"/>
    <col min="46" max="46" width="16.140625" customWidth="1"/>
    <col min="70" max="70" width="17.5703125" bestFit="1" customWidth="1"/>
  </cols>
  <sheetData>
    <row r="1" spans="1:72" ht="18">
      <c r="B1" s="161" t="s">
        <v>0</v>
      </c>
      <c r="C1" s="1" t="s">
        <v>408</v>
      </c>
      <c r="M1" s="1" t="s">
        <v>410</v>
      </c>
      <c r="N1" s="14" t="s">
        <v>48</v>
      </c>
      <c r="X1" s="1" t="s">
        <v>412</v>
      </c>
      <c r="Y1" s="1" t="s">
        <v>550</v>
      </c>
      <c r="Z1" s="13"/>
      <c r="AA1" s="13"/>
      <c r="AB1" s="13"/>
      <c r="AC1" s="13"/>
      <c r="AD1" s="13"/>
      <c r="AE1" s="13"/>
      <c r="AF1" s="13"/>
      <c r="AG1" s="13"/>
      <c r="AH1" s="13"/>
      <c r="AI1" s="13" t="s">
        <v>437</v>
      </c>
      <c r="AT1" t="s">
        <v>417</v>
      </c>
    </row>
    <row r="2" spans="1:72">
      <c r="A2">
        <v>1</v>
      </c>
      <c r="B2" s="162">
        <v>2</v>
      </c>
      <c r="C2">
        <v>3</v>
      </c>
      <c r="D2">
        <v>4</v>
      </c>
      <c r="E2">
        <v>5</v>
      </c>
      <c r="F2">
        <v>6</v>
      </c>
      <c r="G2">
        <v>7</v>
      </c>
      <c r="H2">
        <v>8</v>
      </c>
      <c r="I2">
        <v>9</v>
      </c>
      <c r="J2">
        <v>10</v>
      </c>
      <c r="K2">
        <v>11</v>
      </c>
      <c r="L2">
        <v>12</v>
      </c>
      <c r="M2">
        <v>13</v>
      </c>
      <c r="N2">
        <v>14</v>
      </c>
      <c r="O2">
        <v>15</v>
      </c>
      <c r="P2">
        <v>16</v>
      </c>
      <c r="Q2">
        <v>17</v>
      </c>
      <c r="R2">
        <v>18</v>
      </c>
      <c r="S2">
        <v>19</v>
      </c>
      <c r="T2">
        <v>20</v>
      </c>
      <c r="U2">
        <v>21</v>
      </c>
      <c r="V2">
        <v>22</v>
      </c>
      <c r="W2">
        <v>23</v>
      </c>
      <c r="X2">
        <v>24</v>
      </c>
      <c r="Y2" s="13">
        <v>25</v>
      </c>
      <c r="Z2" s="13">
        <v>26</v>
      </c>
      <c r="AA2" s="13">
        <v>27</v>
      </c>
      <c r="AB2" s="13">
        <v>28</v>
      </c>
      <c r="AC2" s="13">
        <v>29</v>
      </c>
      <c r="AD2" s="13">
        <v>30</v>
      </c>
      <c r="AE2" s="13">
        <v>31</v>
      </c>
      <c r="AF2" s="13">
        <v>32</v>
      </c>
      <c r="AG2" s="13">
        <v>33</v>
      </c>
      <c r="AH2" s="13">
        <v>34</v>
      </c>
      <c r="AI2" s="13">
        <v>35</v>
      </c>
      <c r="AJ2">
        <v>36</v>
      </c>
      <c r="AK2">
        <v>37</v>
      </c>
      <c r="AL2">
        <v>38</v>
      </c>
      <c r="AM2">
        <v>39</v>
      </c>
      <c r="AN2">
        <v>40</v>
      </c>
      <c r="AO2">
        <v>41</v>
      </c>
      <c r="AP2">
        <v>42</v>
      </c>
      <c r="AQ2">
        <v>43</v>
      </c>
      <c r="AR2">
        <v>44</v>
      </c>
      <c r="AS2">
        <v>45</v>
      </c>
      <c r="AT2">
        <v>46</v>
      </c>
      <c r="AU2">
        <v>47</v>
      </c>
      <c r="AV2">
        <v>48</v>
      </c>
      <c r="AW2">
        <v>49</v>
      </c>
      <c r="AX2">
        <v>50</v>
      </c>
      <c r="AY2">
        <v>51</v>
      </c>
      <c r="AZ2">
        <v>52</v>
      </c>
      <c r="BA2">
        <v>53</v>
      </c>
      <c r="BB2">
        <v>54</v>
      </c>
      <c r="BC2">
        <v>55</v>
      </c>
      <c r="BD2">
        <v>56</v>
      </c>
      <c r="BF2" t="s">
        <v>487</v>
      </c>
    </row>
    <row r="3" spans="1:72" ht="18">
      <c r="B3" s="333" t="s">
        <v>1</v>
      </c>
      <c r="C3" s="331" t="s">
        <v>325</v>
      </c>
      <c r="D3" s="331" t="s">
        <v>384</v>
      </c>
      <c r="E3" s="331" t="s">
        <v>409</v>
      </c>
      <c r="F3" s="331" t="s">
        <v>436</v>
      </c>
      <c r="G3" s="331" t="s">
        <v>445</v>
      </c>
      <c r="H3" s="331" t="s">
        <v>545</v>
      </c>
      <c r="I3" s="331" t="s">
        <v>549</v>
      </c>
      <c r="J3" s="331" t="s">
        <v>562</v>
      </c>
      <c r="K3" s="331" t="s">
        <v>564</v>
      </c>
      <c r="L3" s="331" t="s">
        <v>568</v>
      </c>
      <c r="M3" s="334" t="s">
        <v>1</v>
      </c>
      <c r="N3" s="331" t="s">
        <v>325</v>
      </c>
      <c r="O3" s="331" t="s">
        <v>384</v>
      </c>
      <c r="P3" s="331" t="s">
        <v>409</v>
      </c>
      <c r="Q3" s="331" t="s">
        <v>436</v>
      </c>
      <c r="R3" s="331" t="s">
        <v>445</v>
      </c>
      <c r="S3" s="331" t="s">
        <v>545</v>
      </c>
      <c r="T3" s="331" t="s">
        <v>549</v>
      </c>
      <c r="U3" s="331" t="s">
        <v>562</v>
      </c>
      <c r="V3" s="331" t="s">
        <v>564</v>
      </c>
      <c r="W3" s="331" t="s">
        <v>568</v>
      </c>
      <c r="X3" s="334" t="s">
        <v>1</v>
      </c>
      <c r="Y3" s="331" t="s">
        <v>325</v>
      </c>
      <c r="Z3" s="331" t="s">
        <v>384</v>
      </c>
      <c r="AA3" s="331" t="s">
        <v>409</v>
      </c>
      <c r="AB3" s="331" t="s">
        <v>436</v>
      </c>
      <c r="AC3" s="331" t="s">
        <v>445</v>
      </c>
      <c r="AD3" s="331" t="s">
        <v>545</v>
      </c>
      <c r="AE3" s="331" t="s">
        <v>549</v>
      </c>
      <c r="AF3" s="331" t="s">
        <v>562</v>
      </c>
      <c r="AG3" s="331" t="s">
        <v>564</v>
      </c>
      <c r="AH3" s="331" t="s">
        <v>568</v>
      </c>
      <c r="AI3" s="335" t="s">
        <v>1</v>
      </c>
      <c r="AJ3" s="331" t="s">
        <v>325</v>
      </c>
      <c r="AK3" s="331" t="s">
        <v>384</v>
      </c>
      <c r="AL3" s="331" t="s">
        <v>409</v>
      </c>
      <c r="AM3" s="331" t="s">
        <v>436</v>
      </c>
      <c r="AN3" s="331" t="s">
        <v>445</v>
      </c>
      <c r="AO3" s="331" t="s">
        <v>545</v>
      </c>
      <c r="AP3" s="331" t="s">
        <v>549</v>
      </c>
      <c r="AQ3" s="331" t="s">
        <v>562</v>
      </c>
      <c r="AR3" s="331" t="s">
        <v>564</v>
      </c>
      <c r="AS3" s="331" t="s">
        <v>568</v>
      </c>
      <c r="AT3" s="337" t="s">
        <v>1</v>
      </c>
      <c r="AU3" s="331" t="s">
        <v>325</v>
      </c>
      <c r="AV3" s="331" t="s">
        <v>384</v>
      </c>
      <c r="AW3" s="331" t="s">
        <v>409</v>
      </c>
      <c r="AX3" s="331" t="s">
        <v>436</v>
      </c>
      <c r="AY3" s="331" t="s">
        <v>445</v>
      </c>
      <c r="AZ3" s="331" t="s">
        <v>545</v>
      </c>
      <c r="BA3" s="331" t="s">
        <v>549</v>
      </c>
      <c r="BB3" s="331" t="s">
        <v>562</v>
      </c>
      <c r="BC3" s="331" t="s">
        <v>564</v>
      </c>
      <c r="BD3" s="331" t="s">
        <v>568</v>
      </c>
      <c r="BF3" s="184" t="s">
        <v>486</v>
      </c>
      <c r="BG3" s="184" t="s">
        <v>488</v>
      </c>
      <c r="BH3" s="184" t="s">
        <v>489</v>
      </c>
      <c r="BI3" s="184" t="s">
        <v>490</v>
      </c>
      <c r="BJ3" s="184" t="s">
        <v>491</v>
      </c>
      <c r="BK3" s="184" t="s">
        <v>492</v>
      </c>
      <c r="BL3" s="184" t="s">
        <v>493</v>
      </c>
      <c r="BM3" s="184" t="s">
        <v>494</v>
      </c>
      <c r="BN3" s="184" t="s">
        <v>495</v>
      </c>
      <c r="BO3" s="184" t="s">
        <v>496</v>
      </c>
      <c r="BP3" s="184" t="s">
        <v>497</v>
      </c>
      <c r="BQ3" s="184" t="s">
        <v>498</v>
      </c>
      <c r="BR3" s="184" t="s">
        <v>534</v>
      </c>
      <c r="BS3" s="184" t="s">
        <v>499</v>
      </c>
      <c r="BT3" s="184" t="s">
        <v>500</v>
      </c>
    </row>
    <row r="4" spans="1:72" ht="18">
      <c r="A4">
        <v>1</v>
      </c>
      <c r="B4" s="163" t="s">
        <v>11</v>
      </c>
      <c r="C4" s="332">
        <v>216409.5</v>
      </c>
      <c r="D4" s="332">
        <v>218931.3</v>
      </c>
      <c r="E4" s="332">
        <v>220516.6</v>
      </c>
      <c r="F4" s="332">
        <v>220033.1</v>
      </c>
      <c r="G4" s="332">
        <v>219031.2</v>
      </c>
      <c r="H4" s="332">
        <v>222149</v>
      </c>
      <c r="I4" s="332">
        <v>223737.1</v>
      </c>
      <c r="J4" s="332">
        <v>223051.5</v>
      </c>
      <c r="K4" s="332">
        <v>221996.4</v>
      </c>
      <c r="L4" s="332">
        <v>224474.1</v>
      </c>
      <c r="M4" s="153" t="s">
        <v>11</v>
      </c>
      <c r="N4" s="332">
        <v>19.8</v>
      </c>
      <c r="O4" s="332">
        <v>19.600000000000001</v>
      </c>
      <c r="P4" s="332">
        <v>19.2</v>
      </c>
      <c r="Q4" s="332">
        <v>19.5</v>
      </c>
      <c r="R4" s="332">
        <v>19.600000000000001</v>
      </c>
      <c r="S4" s="332">
        <v>19.5</v>
      </c>
      <c r="T4" s="332">
        <v>19.100000000000001</v>
      </c>
      <c r="U4" s="332">
        <v>19.3</v>
      </c>
      <c r="V4" s="332">
        <v>19.399999999999999</v>
      </c>
      <c r="W4" s="332">
        <v>19.3</v>
      </c>
      <c r="X4" s="154" t="s">
        <v>11</v>
      </c>
      <c r="Y4" s="332">
        <v>12</v>
      </c>
      <c r="Z4" s="332">
        <v>12.1</v>
      </c>
      <c r="AA4" s="332">
        <v>12</v>
      </c>
      <c r="AB4" s="332">
        <v>12.1</v>
      </c>
      <c r="AC4" s="332">
        <v>12.1</v>
      </c>
      <c r="AD4" s="332">
        <v>12.2</v>
      </c>
      <c r="AE4" s="332">
        <v>12.2</v>
      </c>
      <c r="AF4" s="332">
        <v>12.2</v>
      </c>
      <c r="AG4" s="332">
        <v>12.2</v>
      </c>
      <c r="AH4" s="332">
        <v>12.1</v>
      </c>
      <c r="AI4" s="119" t="s">
        <v>11</v>
      </c>
      <c r="AJ4" s="332">
        <v>65.7</v>
      </c>
      <c r="AK4" s="332">
        <v>66.599999999999994</v>
      </c>
      <c r="AL4" s="332">
        <v>67.099999999999994</v>
      </c>
      <c r="AM4" s="332">
        <v>66.900000000000006</v>
      </c>
      <c r="AN4" s="332">
        <v>66.7</v>
      </c>
      <c r="AO4" s="332">
        <v>67.7</v>
      </c>
      <c r="AP4" s="332">
        <v>68.2</v>
      </c>
      <c r="AQ4" s="332">
        <v>68.099999999999994</v>
      </c>
      <c r="AR4" s="332">
        <v>67.8</v>
      </c>
      <c r="AS4" s="332">
        <v>68.599999999999994</v>
      </c>
    </row>
    <row r="5" spans="1:72" ht="18">
      <c r="A5">
        <v>2</v>
      </c>
      <c r="B5" s="163" t="s">
        <v>12</v>
      </c>
      <c r="C5" s="332">
        <v>214889.5</v>
      </c>
      <c r="D5" s="332">
        <v>217349.2</v>
      </c>
      <c r="E5" s="332">
        <v>218910.1</v>
      </c>
      <c r="F5" s="332">
        <v>218475.3</v>
      </c>
      <c r="G5" s="332">
        <v>217502.5</v>
      </c>
      <c r="H5" s="332">
        <v>220536.2</v>
      </c>
      <c r="I5" s="332">
        <v>222080.6</v>
      </c>
      <c r="J5" s="332">
        <v>221437.5</v>
      </c>
      <c r="K5" s="332">
        <v>220403.5</v>
      </c>
      <c r="L5" s="332">
        <v>222829.9</v>
      </c>
      <c r="M5" s="153" t="s">
        <v>12</v>
      </c>
      <c r="N5" s="332">
        <v>19.899999999999999</v>
      </c>
      <c r="O5" s="332">
        <v>19.7</v>
      </c>
      <c r="P5" s="332">
        <v>19.3</v>
      </c>
      <c r="Q5" s="332">
        <v>19.600000000000001</v>
      </c>
      <c r="R5" s="332">
        <v>19.7</v>
      </c>
      <c r="S5" s="332">
        <v>19.600000000000001</v>
      </c>
      <c r="T5" s="332">
        <v>19.2</v>
      </c>
      <c r="U5" s="332">
        <v>19.399999999999999</v>
      </c>
      <c r="V5" s="332">
        <v>19.5</v>
      </c>
      <c r="W5" s="332">
        <v>19.399999999999999</v>
      </c>
      <c r="X5" s="154" t="s">
        <v>12</v>
      </c>
      <c r="Y5" s="332">
        <v>12</v>
      </c>
      <c r="Z5" s="332">
        <v>12</v>
      </c>
      <c r="AA5" s="332">
        <v>12</v>
      </c>
      <c r="AB5" s="332">
        <v>12.1</v>
      </c>
      <c r="AC5" s="332">
        <v>12.1</v>
      </c>
      <c r="AD5" s="332">
        <v>12.2</v>
      </c>
      <c r="AE5" s="332">
        <v>12.2</v>
      </c>
      <c r="AF5" s="332">
        <v>12.2</v>
      </c>
      <c r="AG5" s="332">
        <v>12.2</v>
      </c>
      <c r="AH5" s="332">
        <v>12.1</v>
      </c>
      <c r="AI5" s="119" t="s">
        <v>12</v>
      </c>
      <c r="AJ5" s="332">
        <v>65.8</v>
      </c>
      <c r="AK5" s="332">
        <v>66.7</v>
      </c>
      <c r="AL5" s="332">
        <v>67.2</v>
      </c>
      <c r="AM5" s="332">
        <v>67</v>
      </c>
      <c r="AN5" s="332">
        <v>66.8</v>
      </c>
      <c r="AO5" s="332">
        <v>67.8</v>
      </c>
      <c r="AP5" s="332">
        <v>68.2</v>
      </c>
      <c r="AQ5" s="332">
        <v>68.099999999999994</v>
      </c>
      <c r="AR5" s="332">
        <v>67.900000000000006</v>
      </c>
      <c r="AS5" s="332">
        <v>68.7</v>
      </c>
    </row>
    <row r="6" spans="1:72" ht="18">
      <c r="A6">
        <v>3</v>
      </c>
      <c r="B6" s="163" t="s">
        <v>13</v>
      </c>
      <c r="C6" s="332">
        <v>172461.5</v>
      </c>
      <c r="D6" s="332">
        <v>174189.1</v>
      </c>
      <c r="E6" s="332">
        <v>175486.7</v>
      </c>
      <c r="F6" s="332">
        <v>175196.9</v>
      </c>
      <c r="G6" s="332">
        <v>174424.7</v>
      </c>
      <c r="H6" s="332">
        <v>176409</v>
      </c>
      <c r="I6" s="332">
        <v>177873.5</v>
      </c>
      <c r="J6" s="332">
        <v>177617.7</v>
      </c>
      <c r="K6" s="332">
        <v>176846.7</v>
      </c>
      <c r="L6" s="332">
        <v>178536</v>
      </c>
      <c r="M6" s="153" t="s">
        <v>13</v>
      </c>
      <c r="N6" s="332">
        <v>23.2</v>
      </c>
      <c r="O6" s="332">
        <v>23</v>
      </c>
      <c r="P6" s="332">
        <v>22.6</v>
      </c>
      <c r="Q6" s="332">
        <v>22.9</v>
      </c>
      <c r="R6" s="332">
        <v>23</v>
      </c>
      <c r="S6" s="332">
        <v>22.9</v>
      </c>
      <c r="T6" s="332">
        <v>22.4</v>
      </c>
      <c r="U6" s="332">
        <v>22.7</v>
      </c>
      <c r="V6" s="332">
        <v>22.8</v>
      </c>
      <c r="W6" s="332">
        <v>22.7</v>
      </c>
      <c r="X6" s="154" t="s">
        <v>13</v>
      </c>
      <c r="Y6" s="332">
        <v>12</v>
      </c>
      <c r="Z6" s="332">
        <v>12.1</v>
      </c>
      <c r="AA6" s="332">
        <v>12.1</v>
      </c>
      <c r="AB6" s="332">
        <v>12.3</v>
      </c>
      <c r="AC6" s="332">
        <v>12.3</v>
      </c>
      <c r="AD6" s="332">
        <v>12.4</v>
      </c>
      <c r="AE6" s="332">
        <v>12.5</v>
      </c>
      <c r="AF6" s="332">
        <v>12.6</v>
      </c>
      <c r="AG6" s="332">
        <v>12.6</v>
      </c>
      <c r="AH6" s="332">
        <v>12.6</v>
      </c>
      <c r="AI6" s="119" t="s">
        <v>13</v>
      </c>
      <c r="AJ6" s="332">
        <v>66.3</v>
      </c>
      <c r="AK6" s="332">
        <v>67</v>
      </c>
      <c r="AL6" s="332">
        <v>67.5</v>
      </c>
      <c r="AM6" s="332">
        <v>67.400000000000006</v>
      </c>
      <c r="AN6" s="332">
        <v>67</v>
      </c>
      <c r="AO6" s="332">
        <v>67.900000000000006</v>
      </c>
      <c r="AP6" s="332">
        <v>68.3</v>
      </c>
      <c r="AQ6" s="332">
        <v>68.3</v>
      </c>
      <c r="AR6" s="332">
        <v>68</v>
      </c>
      <c r="AS6" s="332">
        <v>68.7</v>
      </c>
      <c r="AT6" s="13"/>
    </row>
    <row r="7" spans="1:72" ht="18">
      <c r="A7">
        <v>4</v>
      </c>
      <c r="B7" s="163" t="s">
        <v>14</v>
      </c>
      <c r="C7" s="332">
        <v>141512.5</v>
      </c>
      <c r="D7" s="332">
        <v>143076.20000000001</v>
      </c>
      <c r="E7" s="332">
        <v>144164.5</v>
      </c>
      <c r="F7" s="332">
        <v>143852.9</v>
      </c>
      <c r="G7" s="332">
        <v>143130.20000000001</v>
      </c>
      <c r="H7" s="332">
        <v>144908.79999999999</v>
      </c>
      <c r="I7" s="332">
        <v>146236.20000000001</v>
      </c>
      <c r="J7" s="332">
        <v>145946.9</v>
      </c>
      <c r="K7" s="332">
        <v>145100.1</v>
      </c>
      <c r="L7" s="332">
        <v>146724.79999999999</v>
      </c>
      <c r="M7" s="153" t="s">
        <v>14</v>
      </c>
      <c r="N7" s="332">
        <v>21.9</v>
      </c>
      <c r="O7" s="332">
        <v>21.6</v>
      </c>
      <c r="P7" s="332">
        <v>21.3</v>
      </c>
      <c r="Q7" s="332">
        <v>21.6</v>
      </c>
      <c r="R7" s="332">
        <v>21.8</v>
      </c>
      <c r="S7" s="332">
        <v>21.7</v>
      </c>
      <c r="T7" s="332">
        <v>21.2</v>
      </c>
      <c r="U7" s="332">
        <v>21.5</v>
      </c>
      <c r="V7" s="332">
        <v>21.5</v>
      </c>
      <c r="W7" s="332">
        <v>21.5</v>
      </c>
      <c r="X7" s="154" t="s">
        <v>14</v>
      </c>
      <c r="Y7" s="332">
        <v>13.2</v>
      </c>
      <c r="Z7" s="332">
        <v>13.3</v>
      </c>
      <c r="AA7" s="332">
        <v>13.3</v>
      </c>
      <c r="AB7" s="332">
        <v>13.5</v>
      </c>
      <c r="AC7" s="332">
        <v>13.5</v>
      </c>
      <c r="AD7" s="332">
        <v>13.7</v>
      </c>
      <c r="AE7" s="332">
        <v>13.8</v>
      </c>
      <c r="AF7" s="332">
        <v>13.9</v>
      </c>
      <c r="AG7" s="332">
        <v>13.9</v>
      </c>
      <c r="AH7" s="332">
        <v>14</v>
      </c>
      <c r="AI7" s="119" t="s">
        <v>14</v>
      </c>
      <c r="AJ7" s="332">
        <v>64.599999999999994</v>
      </c>
      <c r="AK7" s="332">
        <v>65.400000000000006</v>
      </c>
      <c r="AL7" s="332">
        <v>65.900000000000006</v>
      </c>
      <c r="AM7" s="332">
        <v>65.8</v>
      </c>
      <c r="AN7" s="332">
        <v>65.400000000000006</v>
      </c>
      <c r="AO7" s="332">
        <v>66.3</v>
      </c>
      <c r="AP7" s="332">
        <v>66.8</v>
      </c>
      <c r="AQ7" s="332">
        <v>66.8</v>
      </c>
      <c r="AR7" s="332">
        <v>66.5</v>
      </c>
      <c r="AS7" s="332">
        <v>67.3</v>
      </c>
    </row>
    <row r="8" spans="1:72" ht="18">
      <c r="A8">
        <v>5</v>
      </c>
      <c r="B8" s="163" t="s">
        <v>15</v>
      </c>
      <c r="C8" s="332">
        <v>140204.70000000001</v>
      </c>
      <c r="D8" s="332">
        <v>141753.70000000001</v>
      </c>
      <c r="E8" s="332">
        <v>142837.70000000001</v>
      </c>
      <c r="F8" s="332">
        <v>142539.20000000001</v>
      </c>
      <c r="G8" s="332">
        <v>141835.70000000001</v>
      </c>
      <c r="H8" s="332">
        <v>143597.20000000001</v>
      </c>
      <c r="I8" s="332">
        <v>144924.79999999999</v>
      </c>
      <c r="J8" s="332">
        <v>144641.9</v>
      </c>
      <c r="K8" s="332">
        <v>143804.1</v>
      </c>
      <c r="L8" s="332">
        <v>145406.20000000001</v>
      </c>
      <c r="M8" s="153" t="s">
        <v>15</v>
      </c>
      <c r="N8" s="332">
        <v>22</v>
      </c>
      <c r="O8" s="332">
        <v>21.8</v>
      </c>
      <c r="P8" s="332">
        <v>21.4</v>
      </c>
      <c r="Q8" s="332">
        <v>21.7</v>
      </c>
      <c r="R8" s="332">
        <v>22</v>
      </c>
      <c r="S8" s="332">
        <v>21.8</v>
      </c>
      <c r="T8" s="332">
        <v>21.3</v>
      </c>
      <c r="U8" s="332">
        <v>21.6</v>
      </c>
      <c r="V8" s="332">
        <v>21.7</v>
      </c>
      <c r="W8" s="332">
        <v>21.7</v>
      </c>
      <c r="X8" s="154" t="s">
        <v>15</v>
      </c>
      <c r="Y8" s="332">
        <v>13.3</v>
      </c>
      <c r="Z8" s="332">
        <v>13.4</v>
      </c>
      <c r="AA8" s="332">
        <v>13.4</v>
      </c>
      <c r="AB8" s="332">
        <v>13.6</v>
      </c>
      <c r="AC8" s="332">
        <v>13.6</v>
      </c>
      <c r="AD8" s="332">
        <v>13.8</v>
      </c>
      <c r="AE8" s="332">
        <v>14</v>
      </c>
      <c r="AF8" s="332">
        <v>14</v>
      </c>
      <c r="AG8" s="332">
        <v>14</v>
      </c>
      <c r="AH8" s="332">
        <v>14.1</v>
      </c>
      <c r="AI8" s="119" t="s">
        <v>15</v>
      </c>
      <c r="AJ8" s="332">
        <v>64.599999999999994</v>
      </c>
      <c r="AK8" s="332">
        <v>65.400000000000006</v>
      </c>
      <c r="AL8" s="332">
        <v>65.900000000000006</v>
      </c>
      <c r="AM8" s="332">
        <v>65.7</v>
      </c>
      <c r="AN8" s="332">
        <v>65.400000000000006</v>
      </c>
      <c r="AO8" s="332">
        <v>66.3</v>
      </c>
      <c r="AP8" s="332">
        <v>66.8</v>
      </c>
      <c r="AQ8" s="332">
        <v>66.8</v>
      </c>
      <c r="AR8" s="332">
        <v>66.400000000000006</v>
      </c>
      <c r="AS8" s="332">
        <v>67.2</v>
      </c>
    </row>
    <row r="9" spans="1:72" ht="18">
      <c r="A9">
        <v>6</v>
      </c>
      <c r="B9" s="163" t="s">
        <v>16</v>
      </c>
      <c r="C9" s="332">
        <v>139344.4</v>
      </c>
      <c r="D9" s="332">
        <v>140886.29999999999</v>
      </c>
      <c r="E9" s="332">
        <v>141974.70000000001</v>
      </c>
      <c r="F9" s="332">
        <v>141680.5</v>
      </c>
      <c r="G9" s="332">
        <v>140985.5</v>
      </c>
      <c r="H9" s="332">
        <v>142737</v>
      </c>
      <c r="I9" s="332">
        <v>144055.70000000001</v>
      </c>
      <c r="J9" s="332">
        <v>143773.9</v>
      </c>
      <c r="K9" s="332">
        <v>142940</v>
      </c>
      <c r="L9" s="332">
        <v>144531.6</v>
      </c>
      <c r="M9" s="153" t="s">
        <v>16</v>
      </c>
      <c r="N9" s="332">
        <v>22.1</v>
      </c>
      <c r="O9" s="332">
        <v>21.9</v>
      </c>
      <c r="P9" s="332">
        <v>21.5</v>
      </c>
      <c r="Q9" s="332">
        <v>21.8</v>
      </c>
      <c r="R9" s="332">
        <v>22</v>
      </c>
      <c r="S9" s="332">
        <v>21.9</v>
      </c>
      <c r="T9" s="332">
        <v>21.4</v>
      </c>
      <c r="U9" s="332">
        <v>21.7</v>
      </c>
      <c r="V9" s="332">
        <v>21.7</v>
      </c>
      <c r="W9" s="332">
        <v>21.8</v>
      </c>
      <c r="X9" s="154" t="s">
        <v>16</v>
      </c>
      <c r="Y9" s="332">
        <v>13.3</v>
      </c>
      <c r="Z9" s="332">
        <v>13.4</v>
      </c>
      <c r="AA9" s="332">
        <v>13.5</v>
      </c>
      <c r="AB9" s="332">
        <v>13.7</v>
      </c>
      <c r="AC9" s="332">
        <v>13.7</v>
      </c>
      <c r="AD9" s="332">
        <v>13.9</v>
      </c>
      <c r="AE9" s="332">
        <v>14</v>
      </c>
      <c r="AF9" s="332">
        <v>14.1</v>
      </c>
      <c r="AG9" s="332">
        <v>14.1</v>
      </c>
      <c r="AH9" s="332">
        <v>14.2</v>
      </c>
      <c r="AI9" s="119" t="s">
        <v>16</v>
      </c>
      <c r="AJ9" s="332">
        <v>64.599999999999994</v>
      </c>
      <c r="AK9" s="332">
        <v>65.400000000000006</v>
      </c>
      <c r="AL9" s="332">
        <v>65.900000000000006</v>
      </c>
      <c r="AM9" s="332">
        <v>65.7</v>
      </c>
      <c r="AN9" s="332">
        <v>65.400000000000006</v>
      </c>
      <c r="AO9" s="332">
        <v>66.3</v>
      </c>
      <c r="AP9" s="332">
        <v>66.8</v>
      </c>
      <c r="AQ9" s="332">
        <v>66.8</v>
      </c>
      <c r="AR9" s="332">
        <v>66.400000000000006</v>
      </c>
      <c r="AS9" s="332">
        <v>67.2</v>
      </c>
      <c r="BL9" s="187" t="s">
        <v>533</v>
      </c>
      <c r="BO9" s="187"/>
      <c r="BR9" s="187"/>
    </row>
    <row r="10" spans="1:72" ht="18">
      <c r="A10">
        <v>7</v>
      </c>
      <c r="B10" s="163" t="s">
        <v>35</v>
      </c>
      <c r="C10" s="332">
        <v>4066.3</v>
      </c>
      <c r="D10" s="332">
        <v>4135.3999999999996</v>
      </c>
      <c r="E10" s="332">
        <v>4206.2</v>
      </c>
      <c r="F10" s="332">
        <v>4162.8</v>
      </c>
      <c r="G10" s="332">
        <v>4110.8</v>
      </c>
      <c r="H10" s="332">
        <v>4188</v>
      </c>
      <c r="I10" s="332">
        <v>4227.8</v>
      </c>
      <c r="J10" s="332">
        <v>4214.6000000000004</v>
      </c>
      <c r="K10" s="332">
        <v>4175.8</v>
      </c>
      <c r="L10" s="332">
        <v>4240.1000000000004</v>
      </c>
      <c r="M10" s="153" t="s">
        <v>35</v>
      </c>
      <c r="N10" s="332">
        <v>28.1</v>
      </c>
      <c r="O10" s="332">
        <v>27.9</v>
      </c>
      <c r="P10" s="332">
        <v>27.2</v>
      </c>
      <c r="Q10" s="332">
        <v>28</v>
      </c>
      <c r="R10" s="332">
        <v>28.5</v>
      </c>
      <c r="S10" s="332">
        <v>28.1</v>
      </c>
      <c r="T10" s="332">
        <v>27.1</v>
      </c>
      <c r="U10" s="332">
        <v>27.8</v>
      </c>
      <c r="V10" s="332">
        <v>28.4</v>
      </c>
      <c r="W10" s="332">
        <v>27.3</v>
      </c>
      <c r="X10" s="154" t="s">
        <v>35</v>
      </c>
      <c r="Y10" s="332">
        <v>7.9</v>
      </c>
      <c r="Z10" s="332">
        <v>7.8</v>
      </c>
      <c r="AA10" s="332">
        <v>7.9</v>
      </c>
      <c r="AB10" s="332">
        <v>8</v>
      </c>
      <c r="AC10" s="332">
        <v>8.1</v>
      </c>
      <c r="AD10" s="332">
        <v>8.3000000000000007</v>
      </c>
      <c r="AE10" s="332">
        <v>8.1</v>
      </c>
      <c r="AF10" s="332">
        <v>8</v>
      </c>
      <c r="AG10" s="332">
        <v>7.9</v>
      </c>
      <c r="AH10" s="332">
        <v>8</v>
      </c>
      <c r="AI10" s="119" t="s">
        <v>35</v>
      </c>
      <c r="AJ10" s="332">
        <v>70.400000000000006</v>
      </c>
      <c r="AK10" s="332">
        <v>71.400000000000006</v>
      </c>
      <c r="AL10" s="332">
        <v>72.599999999999994</v>
      </c>
      <c r="AM10" s="332">
        <v>71.8</v>
      </c>
      <c r="AN10" s="332">
        <v>71</v>
      </c>
      <c r="AO10" s="332">
        <v>72.2</v>
      </c>
      <c r="AP10" s="332">
        <v>72.900000000000006</v>
      </c>
      <c r="AQ10" s="332">
        <v>72.7</v>
      </c>
      <c r="AR10" s="332">
        <v>72</v>
      </c>
      <c r="AS10" s="332">
        <v>73</v>
      </c>
      <c r="AT10" s="2" t="s">
        <v>35</v>
      </c>
      <c r="AU10" s="260">
        <v>68</v>
      </c>
      <c r="AV10" s="260">
        <v>56</v>
      </c>
      <c r="AW10" s="260">
        <v>69</v>
      </c>
      <c r="AX10" s="260">
        <v>73</v>
      </c>
      <c r="AY10" s="260">
        <v>73</v>
      </c>
      <c r="AZ10" s="260">
        <v>50</v>
      </c>
      <c r="BA10" s="260">
        <v>76</v>
      </c>
      <c r="BB10" s="260">
        <v>55</v>
      </c>
      <c r="BC10" s="260">
        <v>67</v>
      </c>
      <c r="BD10" s="260">
        <v>65</v>
      </c>
      <c r="BF10" s="186">
        <f>E10-'[1]Data-total_employment'!F10</f>
        <v>82</v>
      </c>
      <c r="BG10" s="186">
        <f>F10-'[1]Data-total_employment'!G10</f>
        <v>64.100000000000364</v>
      </c>
      <c r="BH10" s="186">
        <f>G10-'[1]Data-total_employment'!H10</f>
        <v>44.5</v>
      </c>
      <c r="BI10" s="186">
        <f>S10-'[1]Data-total_employment'!T10</f>
        <v>0.20000000000000284</v>
      </c>
      <c r="BJ10" s="186">
        <f>T10-'[1]Data-total_employment'!U10</f>
        <v>-9.9999999999997868E-2</v>
      </c>
      <c r="BK10" s="186">
        <f>U10-'[1]Data-total_employment'!V10</f>
        <v>-0.19999999999999929</v>
      </c>
      <c r="BL10" s="194">
        <f>AD10-'[1]Data-total_employment'!AE10</f>
        <v>0.40000000000000036</v>
      </c>
      <c r="BM10" s="194">
        <f>AE10-'[1]Data-total_employment'!AF10</f>
        <v>9.9999999999999645E-2</v>
      </c>
      <c r="BN10" s="194">
        <f>AF10-'[1]Data-total_employment'!AG10</f>
        <v>9.9999999999999645E-2</v>
      </c>
      <c r="BO10" s="203">
        <f>AK10-'[1]Data-total_employment'!AL10</f>
        <v>0.60000000000000853</v>
      </c>
      <c r="BP10" s="203">
        <f>AL10-'[1]Data-total_employment'!AM10</f>
        <v>0.5</v>
      </c>
      <c r="BQ10" s="203">
        <f>AM10-'[1]Data-total_employment'!AN10</f>
        <v>0.5</v>
      </c>
      <c r="BR10" s="203">
        <f>AZ10-'[1]Data-total_employment'!BA10</f>
        <v>-19</v>
      </c>
      <c r="BS10" s="203">
        <f>BA10-'[1]Data-total_employment'!BB10</f>
        <v>3</v>
      </c>
      <c r="BT10" s="203">
        <f>BB10-'[1]Data-total_employment'!BC10</f>
        <v>-18</v>
      </c>
    </row>
    <row r="11" spans="1:72" ht="18">
      <c r="A11">
        <v>8</v>
      </c>
      <c r="B11" s="163" t="s">
        <v>17</v>
      </c>
      <c r="C11" s="332">
        <v>4489.6000000000004</v>
      </c>
      <c r="D11" s="332">
        <v>4517</v>
      </c>
      <c r="E11" s="332">
        <v>4528.8999999999996</v>
      </c>
      <c r="F11" s="332">
        <v>4626.8</v>
      </c>
      <c r="G11" s="332">
        <v>4520</v>
      </c>
      <c r="H11" s="332">
        <v>4563.5</v>
      </c>
      <c r="I11" s="332">
        <v>4601.8999999999996</v>
      </c>
      <c r="J11" s="332">
        <v>4663.6000000000004</v>
      </c>
      <c r="K11" s="332">
        <v>4658.1000000000004</v>
      </c>
      <c r="L11" s="332">
        <v>4643.3</v>
      </c>
      <c r="M11" s="153" t="s">
        <v>17</v>
      </c>
      <c r="N11" s="332">
        <v>24.4</v>
      </c>
      <c r="O11" s="332">
        <v>24.8</v>
      </c>
      <c r="P11" s="332">
        <v>24.5</v>
      </c>
      <c r="Q11" s="332">
        <v>25</v>
      </c>
      <c r="R11" s="332">
        <v>23.5</v>
      </c>
      <c r="S11" s="332">
        <v>25.3</v>
      </c>
      <c r="T11" s="332">
        <v>24.7</v>
      </c>
      <c r="U11" s="332">
        <v>24.6</v>
      </c>
      <c r="V11" s="332">
        <v>24.5</v>
      </c>
      <c r="W11" s="332">
        <v>24.6</v>
      </c>
      <c r="X11" s="154" t="s">
        <v>17</v>
      </c>
      <c r="Y11" s="332">
        <v>7.7</v>
      </c>
      <c r="Z11" s="332">
        <v>8</v>
      </c>
      <c r="AA11" s="332">
        <v>7.4</v>
      </c>
      <c r="AB11" s="332">
        <v>8.1999999999999993</v>
      </c>
      <c r="AC11" s="332">
        <v>8.1</v>
      </c>
      <c r="AD11" s="332">
        <v>8.5</v>
      </c>
      <c r="AE11" s="332">
        <v>9.9</v>
      </c>
      <c r="AF11" s="332">
        <v>9.3000000000000007</v>
      </c>
      <c r="AG11" s="332">
        <v>8.9</v>
      </c>
      <c r="AH11" s="332">
        <v>9.1</v>
      </c>
      <c r="AI11" s="119" t="s">
        <v>17</v>
      </c>
      <c r="AJ11" s="332">
        <v>61.6</v>
      </c>
      <c r="AK11" s="332">
        <v>62</v>
      </c>
      <c r="AL11" s="332">
        <v>62.2</v>
      </c>
      <c r="AM11" s="332">
        <v>63.4</v>
      </c>
      <c r="AN11" s="332">
        <v>62.2</v>
      </c>
      <c r="AO11" s="332">
        <v>62.8</v>
      </c>
      <c r="AP11" s="332">
        <v>63.4</v>
      </c>
      <c r="AQ11" s="332">
        <v>64.099999999999994</v>
      </c>
      <c r="AR11" s="332">
        <v>63.9</v>
      </c>
      <c r="AS11" s="332">
        <v>63.7</v>
      </c>
      <c r="AT11" s="136" t="s">
        <v>546</v>
      </c>
      <c r="AU11" s="281"/>
      <c r="AV11" s="281"/>
      <c r="AW11" s="281"/>
      <c r="AX11" s="281"/>
      <c r="AY11" s="281"/>
      <c r="AZ11" s="281"/>
      <c r="BA11" s="260">
        <v>75</v>
      </c>
      <c r="BB11" s="260">
        <v>79</v>
      </c>
      <c r="BC11" s="260">
        <v>84</v>
      </c>
      <c r="BD11" s="260">
        <v>54</v>
      </c>
      <c r="BF11" s="186">
        <f>E11-'[1]Data-total_employment'!F11</f>
        <v>12.799999999999272</v>
      </c>
      <c r="BG11" s="186">
        <f>F11-'[1]Data-total_employment'!G11</f>
        <v>118.40000000000055</v>
      </c>
      <c r="BH11" s="186">
        <f>G11-'[1]Data-total_employment'!H11</f>
        <v>30.399999999999636</v>
      </c>
      <c r="BI11" s="186">
        <f>S11-'[1]Data-total_employment'!T11</f>
        <v>0.5</v>
      </c>
      <c r="BJ11" s="186">
        <f>T11-'[1]Data-total_employment'!U11</f>
        <v>0.19999999999999929</v>
      </c>
      <c r="BK11" s="186">
        <f>U11-'[1]Data-total_employment'!V11</f>
        <v>-0.39999999999999858</v>
      </c>
      <c r="BL11" s="194">
        <f>AD11-'[1]Data-total_employment'!AE11</f>
        <v>0.5</v>
      </c>
      <c r="BM11" s="194">
        <f>AE11-'[1]Data-total_employment'!AF11</f>
        <v>2.4000000000000004</v>
      </c>
      <c r="BN11" s="194">
        <f>AF11-'[1]Data-total_employment'!AG11</f>
        <v>1.1000000000000014</v>
      </c>
      <c r="BO11" s="203">
        <f>AK11-'[1]Data-total_employment'!AL11</f>
        <v>0.60000000000000142</v>
      </c>
      <c r="BP11" s="203">
        <f>AL11-'[1]Data-total_employment'!AM11</f>
        <v>0.10000000000000142</v>
      </c>
      <c r="BQ11" s="203">
        <f>AM11-'[1]Data-total_employment'!AN11</f>
        <v>1.6000000000000014</v>
      </c>
      <c r="BR11" s="203">
        <f>AZ11-'[1]Data-total_employment'!BA11</f>
        <v>0</v>
      </c>
      <c r="BS11" s="203">
        <f>BA11-'[1]Data-total_employment'!BB11</f>
        <v>75</v>
      </c>
      <c r="BT11" s="203">
        <f>BB11-'[1]Data-total_employment'!BC11</f>
        <v>79</v>
      </c>
    </row>
    <row r="12" spans="1:72" ht="18">
      <c r="A12">
        <v>9</v>
      </c>
      <c r="B12" s="163" t="s">
        <v>18</v>
      </c>
      <c r="C12" s="332">
        <v>2915.3</v>
      </c>
      <c r="D12" s="332">
        <v>2972.1</v>
      </c>
      <c r="E12" s="332">
        <v>2988.1</v>
      </c>
      <c r="F12" s="332">
        <v>2941.9</v>
      </c>
      <c r="G12" s="332">
        <v>2967.3</v>
      </c>
      <c r="H12" s="332">
        <v>3092.9</v>
      </c>
      <c r="I12" s="332">
        <v>3142</v>
      </c>
      <c r="J12" s="332">
        <v>3091.3</v>
      </c>
      <c r="K12" s="332">
        <v>3023.8</v>
      </c>
      <c r="L12" s="332">
        <v>3078.2</v>
      </c>
      <c r="M12" s="153" t="s">
        <v>18</v>
      </c>
      <c r="N12" s="332">
        <v>2.1</v>
      </c>
      <c r="O12" s="332">
        <v>2.1</v>
      </c>
      <c r="P12" s="332">
        <v>1.8</v>
      </c>
      <c r="Q12" s="332">
        <v>2</v>
      </c>
      <c r="R12" s="332">
        <v>2.2000000000000002</v>
      </c>
      <c r="S12" s="332">
        <v>2.4</v>
      </c>
      <c r="T12" s="332">
        <v>2.2000000000000002</v>
      </c>
      <c r="U12" s="332">
        <v>2</v>
      </c>
      <c r="V12" s="332">
        <v>2</v>
      </c>
      <c r="W12" s="332">
        <v>1.9</v>
      </c>
      <c r="X12" s="154" t="s">
        <v>18</v>
      </c>
      <c r="Y12" s="332">
        <v>3.7</v>
      </c>
      <c r="Z12" s="332">
        <v>3.6</v>
      </c>
      <c r="AA12" s="332">
        <v>3.6</v>
      </c>
      <c r="AB12" s="332">
        <v>3.5</v>
      </c>
      <c r="AC12" s="332">
        <v>3.9</v>
      </c>
      <c r="AD12" s="332">
        <v>4.0999999999999996</v>
      </c>
      <c r="AE12" s="332">
        <v>3.8</v>
      </c>
      <c r="AF12" s="332">
        <v>3.8</v>
      </c>
      <c r="AG12" s="332">
        <v>3.9</v>
      </c>
      <c r="AH12" s="332">
        <v>3.5</v>
      </c>
      <c r="AI12" s="119" t="s">
        <v>18</v>
      </c>
      <c r="AJ12" s="332">
        <v>62.3</v>
      </c>
      <c r="AK12" s="332">
        <v>63.7</v>
      </c>
      <c r="AL12" s="332">
        <v>64.2</v>
      </c>
      <c r="AM12" s="332">
        <v>63.4</v>
      </c>
      <c r="AN12" s="332">
        <v>64.3</v>
      </c>
      <c r="AO12" s="332">
        <v>67.2</v>
      </c>
      <c r="AP12" s="332">
        <v>68.5</v>
      </c>
      <c r="AQ12" s="332">
        <v>67.5</v>
      </c>
      <c r="AR12" s="332">
        <v>66.5</v>
      </c>
      <c r="AS12" s="332">
        <v>67.900000000000006</v>
      </c>
      <c r="AT12" s="2" t="s">
        <v>18</v>
      </c>
      <c r="AU12" s="260">
        <v>22</v>
      </c>
      <c r="AV12" s="260">
        <v>8</v>
      </c>
      <c r="AW12" s="260">
        <v>33</v>
      </c>
      <c r="AX12" s="260">
        <v>36</v>
      </c>
      <c r="AY12" s="260">
        <v>20</v>
      </c>
      <c r="AZ12" s="260">
        <v>25</v>
      </c>
      <c r="BA12" s="260">
        <v>46</v>
      </c>
      <c r="BB12" s="260">
        <v>31</v>
      </c>
      <c r="BC12" s="260">
        <v>17</v>
      </c>
      <c r="BD12" s="260">
        <v>10</v>
      </c>
      <c r="BF12" s="186">
        <f>E12-'[1]Data-total_employment'!F12</f>
        <v>-56</v>
      </c>
      <c r="BG12" s="186">
        <f>F12-'[1]Data-total_employment'!G12</f>
        <v>-57.699999999999818</v>
      </c>
      <c r="BH12" s="186">
        <f>G12-'[1]Data-total_employment'!H12</f>
        <v>52</v>
      </c>
      <c r="BI12" s="186">
        <f>S12-'[1]Data-total_employment'!T12</f>
        <v>0.29999999999999982</v>
      </c>
      <c r="BJ12" s="186">
        <f>T12-'[1]Data-total_employment'!U12</f>
        <v>0.40000000000000013</v>
      </c>
      <c r="BK12" s="186">
        <f>U12-'[1]Data-total_employment'!V12</f>
        <v>0</v>
      </c>
      <c r="BL12" s="194">
        <f>AD12-'[1]Data-total_employment'!AE12</f>
        <v>0.49999999999999956</v>
      </c>
      <c r="BM12" s="194">
        <f>AE12-'[1]Data-total_employment'!AF12</f>
        <v>0.19999999999999973</v>
      </c>
      <c r="BN12" s="194">
        <f>AF12-'[1]Data-total_employment'!AG12</f>
        <v>0.19999999999999973</v>
      </c>
      <c r="BO12" s="203">
        <f>AK12-'[1]Data-total_employment'!AL12</f>
        <v>1.3000000000000043</v>
      </c>
      <c r="BP12" s="203">
        <f>AL12-'[1]Data-total_employment'!AM12</f>
        <v>-0.29999999999999716</v>
      </c>
      <c r="BQ12" s="203">
        <f>AM12-'[1]Data-total_employment'!AN12</f>
        <v>-0.30000000000000426</v>
      </c>
      <c r="BR12" s="203">
        <f>AZ12-'[1]Data-total_employment'!BA12</f>
        <v>-8</v>
      </c>
      <c r="BS12" s="203">
        <f>BA12-'[1]Data-total_employment'!BB12</f>
        <v>10</v>
      </c>
      <c r="BT12" s="203">
        <f>BB12-'[1]Data-total_employment'!BC12</f>
        <v>11</v>
      </c>
    </row>
    <row r="13" spans="1:72" ht="18">
      <c r="A13">
        <v>10</v>
      </c>
      <c r="B13" s="163" t="s">
        <v>26</v>
      </c>
      <c r="C13" s="332">
        <v>1520</v>
      </c>
      <c r="D13" s="332">
        <v>1582</v>
      </c>
      <c r="E13" s="332">
        <v>1606.5</v>
      </c>
      <c r="F13" s="332">
        <v>1557.8</v>
      </c>
      <c r="G13" s="332">
        <v>1528.7</v>
      </c>
      <c r="H13" s="332">
        <v>1612.8</v>
      </c>
      <c r="I13" s="332">
        <v>1656.5</v>
      </c>
      <c r="J13" s="332">
        <v>1614</v>
      </c>
      <c r="K13" s="332">
        <v>1592.9</v>
      </c>
      <c r="L13" s="332">
        <v>1644.2</v>
      </c>
      <c r="M13" s="153" t="s">
        <v>26</v>
      </c>
      <c r="N13" s="332">
        <v>5.8</v>
      </c>
      <c r="O13" s="332">
        <v>6</v>
      </c>
      <c r="P13" s="332">
        <v>5.9</v>
      </c>
      <c r="Q13" s="332">
        <v>4.9000000000000004</v>
      </c>
      <c r="R13" s="332">
        <v>4.5</v>
      </c>
      <c r="S13" s="332">
        <v>4.4000000000000004</v>
      </c>
      <c r="T13" s="332">
        <v>5.2</v>
      </c>
      <c r="U13" s="332">
        <v>5.2</v>
      </c>
      <c r="V13" s="332">
        <v>5</v>
      </c>
      <c r="W13" s="332">
        <v>4.5</v>
      </c>
      <c r="X13" s="154" t="s">
        <v>26</v>
      </c>
      <c r="Y13" s="332">
        <v>18.8</v>
      </c>
      <c r="Z13" s="332">
        <v>19.8</v>
      </c>
      <c r="AA13" s="332">
        <v>19.8</v>
      </c>
      <c r="AB13" s="332">
        <v>18.600000000000001</v>
      </c>
      <c r="AC13" s="332">
        <v>17.8</v>
      </c>
      <c r="AD13" s="332">
        <v>18.5</v>
      </c>
      <c r="AE13" s="332">
        <v>18.5</v>
      </c>
      <c r="AF13" s="332">
        <v>18</v>
      </c>
      <c r="AG13" s="332">
        <v>18.3</v>
      </c>
      <c r="AH13" s="332">
        <v>17.5</v>
      </c>
      <c r="AI13" s="119" t="s">
        <v>26</v>
      </c>
      <c r="AJ13" s="332">
        <v>55</v>
      </c>
      <c r="AK13" s="332">
        <v>57.4</v>
      </c>
      <c r="AL13" s="332">
        <v>58.4</v>
      </c>
      <c r="AM13" s="332">
        <v>56.8</v>
      </c>
      <c r="AN13" s="332">
        <v>55.9</v>
      </c>
      <c r="AO13" s="332">
        <v>59.2</v>
      </c>
      <c r="AP13" s="332">
        <v>61</v>
      </c>
      <c r="AQ13" s="332">
        <v>59.6</v>
      </c>
      <c r="AR13" s="332">
        <v>59</v>
      </c>
      <c r="AS13" s="332">
        <v>61.1</v>
      </c>
      <c r="AT13" s="2" t="s">
        <v>26</v>
      </c>
      <c r="AU13" s="260">
        <v>29</v>
      </c>
      <c r="AV13" s="260">
        <v>39</v>
      </c>
      <c r="AW13" s="260">
        <v>60</v>
      </c>
      <c r="AX13" s="260">
        <v>44</v>
      </c>
      <c r="AY13" s="260">
        <v>35</v>
      </c>
      <c r="AZ13" s="260">
        <v>30</v>
      </c>
      <c r="BA13" s="260">
        <v>56</v>
      </c>
      <c r="BB13" s="260">
        <v>52</v>
      </c>
      <c r="BC13" s="260">
        <v>24</v>
      </c>
      <c r="BD13" s="260">
        <v>21</v>
      </c>
      <c r="BF13" s="186">
        <f>E13-'[1]Data-total_employment'!F13</f>
        <v>8.2999999999999545</v>
      </c>
      <c r="BG13" s="186">
        <f>F13-'[1]Data-total_employment'!G13</f>
        <v>8.7000000000000455</v>
      </c>
      <c r="BH13" s="186">
        <f>G13-'[1]Data-total_employment'!H13</f>
        <v>8.7000000000000455</v>
      </c>
      <c r="BI13" s="186">
        <f>S13-'[1]Data-total_employment'!T13</f>
        <v>-1.5999999999999996</v>
      </c>
      <c r="BJ13" s="186">
        <f>T13-'[1]Data-total_employment'!U13</f>
        <v>-0.70000000000000018</v>
      </c>
      <c r="BK13" s="186">
        <f>U13-'[1]Data-total_employment'!V13</f>
        <v>0.29999999999999982</v>
      </c>
      <c r="BL13" s="194">
        <f>AD13-'[1]Data-total_employment'!AE13</f>
        <v>-1.5</v>
      </c>
      <c r="BM13" s="194">
        <f>AE13-'[1]Data-total_employment'!AF13</f>
        <v>-0.89999999999999858</v>
      </c>
      <c r="BN13" s="194">
        <f>AF13-'[1]Data-total_employment'!AG13</f>
        <v>-0.19999999999999929</v>
      </c>
      <c r="BO13" s="203">
        <f>AK13-'[1]Data-total_employment'!AL13</f>
        <v>1.1999999999999957</v>
      </c>
      <c r="BP13" s="203">
        <f>AL13-'[1]Data-total_employment'!AM13</f>
        <v>0.89999999999999858</v>
      </c>
      <c r="BQ13" s="203">
        <f>AM13-'[1]Data-total_employment'!AN13</f>
        <v>1</v>
      </c>
      <c r="BR13" s="203">
        <f>AZ13-'[1]Data-total_employment'!BA13</f>
        <v>-30</v>
      </c>
      <c r="BS13" s="203">
        <f>BA13-'[1]Data-total_employment'!BB13</f>
        <v>12</v>
      </c>
      <c r="BT13" s="203">
        <f>BB13-'[1]Data-total_employment'!BC13</f>
        <v>17</v>
      </c>
    </row>
    <row r="14" spans="1:72" ht="18">
      <c r="A14">
        <v>11</v>
      </c>
      <c r="B14" s="163" t="s">
        <v>28</v>
      </c>
      <c r="C14" s="332">
        <v>341</v>
      </c>
      <c r="D14" s="332">
        <v>358</v>
      </c>
      <c r="E14" s="332">
        <v>357.6</v>
      </c>
      <c r="F14" s="332">
        <v>359</v>
      </c>
      <c r="G14" s="332">
        <v>356.5</v>
      </c>
      <c r="H14" s="332">
        <v>371.5</v>
      </c>
      <c r="I14" s="332">
        <v>376.3</v>
      </c>
      <c r="J14" s="332">
        <v>375</v>
      </c>
      <c r="K14" s="332">
        <v>376.1</v>
      </c>
      <c r="L14" s="332">
        <v>392.1</v>
      </c>
      <c r="M14" s="153" t="s">
        <v>28</v>
      </c>
      <c r="N14" s="332">
        <v>13.6</v>
      </c>
      <c r="O14" s="332">
        <v>13.3</v>
      </c>
      <c r="P14" s="332">
        <v>13</v>
      </c>
      <c r="Q14" s="332">
        <v>13.8</v>
      </c>
      <c r="R14" s="332">
        <v>13.6</v>
      </c>
      <c r="S14" s="332">
        <v>12.2</v>
      </c>
      <c r="T14" s="332">
        <v>11.2</v>
      </c>
      <c r="U14" s="332">
        <v>12</v>
      </c>
      <c r="V14" s="332">
        <v>12.1</v>
      </c>
      <c r="W14" s="332">
        <v>11.4</v>
      </c>
      <c r="X14" s="154" t="s">
        <v>28</v>
      </c>
      <c r="Y14" s="332">
        <v>14.9</v>
      </c>
      <c r="Z14" s="332">
        <v>15.5</v>
      </c>
      <c r="AA14" s="332">
        <v>14.2</v>
      </c>
      <c r="AB14" s="332">
        <v>12.9</v>
      </c>
      <c r="AC14" s="332">
        <v>13</v>
      </c>
      <c r="AD14" s="332">
        <v>13.6</v>
      </c>
      <c r="AE14" s="332">
        <v>14</v>
      </c>
      <c r="AF14" s="332">
        <v>13.2</v>
      </c>
      <c r="AG14" s="332">
        <v>12.9</v>
      </c>
      <c r="AH14" s="332">
        <v>12.8</v>
      </c>
      <c r="AI14" s="119" t="s">
        <v>28</v>
      </c>
      <c r="AJ14" s="332">
        <v>61.6</v>
      </c>
      <c r="AK14" s="332">
        <v>64.5</v>
      </c>
      <c r="AL14" s="332">
        <v>64.400000000000006</v>
      </c>
      <c r="AM14" s="332">
        <v>64.400000000000006</v>
      </c>
      <c r="AN14" s="332">
        <v>63.4</v>
      </c>
      <c r="AO14" s="332">
        <v>65.7</v>
      </c>
      <c r="AP14" s="332">
        <v>66.8</v>
      </c>
      <c r="AQ14" s="332">
        <v>66.3</v>
      </c>
      <c r="AR14" s="332">
        <v>66.2</v>
      </c>
      <c r="AS14" s="332">
        <v>69.400000000000006</v>
      </c>
      <c r="AT14" s="2" t="s">
        <v>28</v>
      </c>
      <c r="AU14" s="260">
        <v>12</v>
      </c>
      <c r="AV14" s="260">
        <v>7</v>
      </c>
      <c r="AW14" s="260">
        <v>15</v>
      </c>
      <c r="AX14" s="260">
        <v>7</v>
      </c>
      <c r="AY14" s="260">
        <v>11</v>
      </c>
      <c r="AZ14" s="260">
        <v>9</v>
      </c>
      <c r="BA14" s="260">
        <v>16</v>
      </c>
      <c r="BB14" s="260">
        <v>10</v>
      </c>
      <c r="BC14" s="260">
        <v>12</v>
      </c>
      <c r="BD14" s="260">
        <v>7</v>
      </c>
      <c r="BF14" s="186">
        <f>E14-'[1]Data-total_employment'!F14</f>
        <v>8.3000000000000114</v>
      </c>
      <c r="BG14" s="186">
        <f>F14-'[1]Data-total_employment'!G14</f>
        <v>5.6999999999999886</v>
      </c>
      <c r="BH14" s="186">
        <f>G14-'[1]Data-total_employment'!H14</f>
        <v>15.5</v>
      </c>
      <c r="BI14" s="186">
        <f>S14-'[1]Data-total_employment'!T14</f>
        <v>-1.1000000000000014</v>
      </c>
      <c r="BJ14" s="186">
        <f>T14-'[1]Data-total_employment'!U14</f>
        <v>-1.8000000000000007</v>
      </c>
      <c r="BK14" s="186">
        <f>U14-'[1]Data-total_employment'!V14</f>
        <v>-1.8000000000000007</v>
      </c>
      <c r="BL14" s="194">
        <f>AD14-'[1]Data-total_employment'!AE14</f>
        <v>-2.0999999999999996</v>
      </c>
      <c r="BM14" s="194">
        <f>AE14-'[1]Data-total_employment'!AF14</f>
        <v>-0.30000000000000071</v>
      </c>
      <c r="BN14" s="194">
        <f>AF14-'[1]Data-total_employment'!AG14</f>
        <v>0.39999999999999858</v>
      </c>
      <c r="BO14" s="203">
        <f>AK14-'[1]Data-total_employment'!AL14</f>
        <v>1.2999999999999972</v>
      </c>
      <c r="BP14" s="203">
        <f>AL14-'[1]Data-total_employment'!AM14</f>
        <v>1.9000000000000057</v>
      </c>
      <c r="BQ14" s="203">
        <f>AM14-'[1]Data-total_employment'!AN14</f>
        <v>1.3000000000000043</v>
      </c>
      <c r="BR14" s="203">
        <f>AZ14-'[1]Data-total_employment'!BA14</f>
        <v>-7</v>
      </c>
      <c r="BS14" s="203">
        <f>BA14-'[1]Data-total_employment'!BB14</f>
        <v>9</v>
      </c>
      <c r="BT14" s="203">
        <f>BB14-'[1]Data-total_employment'!BC14</f>
        <v>-2</v>
      </c>
    </row>
    <row r="15" spans="1:72" ht="18">
      <c r="A15">
        <v>12</v>
      </c>
      <c r="B15" s="163" t="s">
        <v>19</v>
      </c>
      <c r="C15" s="332">
        <v>4965.6000000000004</v>
      </c>
      <c r="D15" s="332">
        <v>5002.6000000000004</v>
      </c>
      <c r="E15" s="332">
        <v>5028.3</v>
      </c>
      <c r="F15" s="332">
        <v>5067</v>
      </c>
      <c r="G15" s="332">
        <v>5049.8999999999996</v>
      </c>
      <c r="H15" s="332">
        <v>5072.2</v>
      </c>
      <c r="I15" s="332">
        <v>5124.2</v>
      </c>
      <c r="J15" s="332">
        <v>5129.2</v>
      </c>
      <c r="K15" s="332">
        <v>5114.6000000000004</v>
      </c>
      <c r="L15" s="332">
        <v>5141.2</v>
      </c>
      <c r="M15" s="153" t="s">
        <v>19</v>
      </c>
      <c r="N15" s="332">
        <v>5.5</v>
      </c>
      <c r="O15" s="332">
        <v>5.6</v>
      </c>
      <c r="P15" s="332">
        <v>5.7</v>
      </c>
      <c r="Q15" s="332">
        <v>5.8</v>
      </c>
      <c r="R15" s="332">
        <v>6</v>
      </c>
      <c r="S15" s="332">
        <v>6.2</v>
      </c>
      <c r="T15" s="332">
        <v>6.2</v>
      </c>
      <c r="U15" s="332">
        <v>6.2</v>
      </c>
      <c r="V15" s="332">
        <v>6.3</v>
      </c>
      <c r="W15" s="332">
        <v>6.3</v>
      </c>
      <c r="X15" s="154" t="s">
        <v>19</v>
      </c>
      <c r="Y15" s="332">
        <v>8.1</v>
      </c>
      <c r="Z15" s="332">
        <v>8.1</v>
      </c>
      <c r="AA15" s="332">
        <v>8.1</v>
      </c>
      <c r="AB15" s="332">
        <v>8.1</v>
      </c>
      <c r="AC15" s="332">
        <v>8.1999999999999993</v>
      </c>
      <c r="AD15" s="332">
        <v>8</v>
      </c>
      <c r="AE15" s="332">
        <v>8</v>
      </c>
      <c r="AF15" s="332">
        <v>7.7</v>
      </c>
      <c r="AG15" s="332">
        <v>7.6</v>
      </c>
      <c r="AH15" s="332">
        <v>7.2</v>
      </c>
      <c r="AI15" s="119" t="s">
        <v>19</v>
      </c>
      <c r="AJ15" s="332">
        <v>71</v>
      </c>
      <c r="AK15" s="332">
        <v>71.7</v>
      </c>
      <c r="AL15" s="332">
        <v>72.2</v>
      </c>
      <c r="AM15" s="332">
        <v>72.900000000000006</v>
      </c>
      <c r="AN15" s="332">
        <v>72.8</v>
      </c>
      <c r="AO15" s="332">
        <v>73.3</v>
      </c>
      <c r="AP15" s="332">
        <v>74.099999999999994</v>
      </c>
      <c r="AQ15" s="332">
        <v>74.3</v>
      </c>
      <c r="AR15" s="332">
        <v>74.2</v>
      </c>
      <c r="AS15" s="332">
        <v>74.7</v>
      </c>
      <c r="AT15" s="2" t="s">
        <v>19</v>
      </c>
      <c r="AU15" s="260">
        <v>44</v>
      </c>
      <c r="AV15" s="260">
        <v>44</v>
      </c>
      <c r="AW15" s="260">
        <v>51</v>
      </c>
      <c r="AX15" s="260">
        <v>40</v>
      </c>
      <c r="AY15" s="260">
        <v>51</v>
      </c>
      <c r="AZ15" s="260">
        <v>39</v>
      </c>
      <c r="BA15" s="260">
        <v>45</v>
      </c>
      <c r="BB15" s="260">
        <v>47</v>
      </c>
      <c r="BC15" s="260">
        <v>38</v>
      </c>
      <c r="BD15" s="260">
        <v>31</v>
      </c>
      <c r="BF15" s="186">
        <f>E15-'[1]Data-total_employment'!F15</f>
        <v>79.900000000000546</v>
      </c>
      <c r="BG15" s="186">
        <f>F15-'[1]Data-total_employment'!G15</f>
        <v>108.5</v>
      </c>
      <c r="BH15" s="186">
        <f>G15-'[1]Data-total_employment'!H15</f>
        <v>84.299999999999272</v>
      </c>
      <c r="BI15" s="186">
        <f>S15-'[1]Data-total_employment'!T15</f>
        <v>0.60000000000000053</v>
      </c>
      <c r="BJ15" s="186">
        <f>T15-'[1]Data-total_employment'!U15</f>
        <v>0.5</v>
      </c>
      <c r="BK15" s="186">
        <f>U15-'[1]Data-total_employment'!V15</f>
        <v>0.40000000000000036</v>
      </c>
      <c r="BL15" s="194">
        <f>AD15-'[1]Data-total_employment'!AE15</f>
        <v>-9.9999999999999645E-2</v>
      </c>
      <c r="BM15" s="194">
        <f>AE15-'[1]Data-total_employment'!AF15</f>
        <v>-9.9999999999999645E-2</v>
      </c>
      <c r="BN15" s="194">
        <f>AF15-'[1]Data-total_employment'!AG15</f>
        <v>-0.39999999999999947</v>
      </c>
      <c r="BO15" s="203">
        <f>AK15-'[1]Data-total_employment'!AL15</f>
        <v>1.5</v>
      </c>
      <c r="BP15" s="203">
        <f>AL15-'[1]Data-total_employment'!AM15</f>
        <v>1.7000000000000028</v>
      </c>
      <c r="BQ15" s="203">
        <f>AM15-'[1]Data-total_employment'!AN15</f>
        <v>2.1000000000000085</v>
      </c>
      <c r="BR15" s="203">
        <f>AZ15-'[1]Data-total_employment'!BA15</f>
        <v>-12</v>
      </c>
      <c r="BS15" s="203">
        <f>BA15-'[1]Data-total_employment'!BB15</f>
        <v>5</v>
      </c>
      <c r="BT15" s="203">
        <f>BB15-'[1]Data-total_employment'!BC15</f>
        <v>-4</v>
      </c>
    </row>
    <row r="16" spans="1:72" ht="18">
      <c r="A16">
        <v>13</v>
      </c>
      <c r="B16" s="163" t="s">
        <v>20</v>
      </c>
      <c r="C16" s="332">
        <v>2724.5</v>
      </c>
      <c r="D16" s="332">
        <v>2761.2</v>
      </c>
      <c r="E16" s="332">
        <v>2760</v>
      </c>
      <c r="F16" s="332">
        <v>2745</v>
      </c>
      <c r="G16" s="332">
        <v>2694.8</v>
      </c>
      <c r="H16" s="332">
        <v>2729</v>
      </c>
      <c r="I16" s="332">
        <v>2758</v>
      </c>
      <c r="J16" s="332">
        <v>2754.4</v>
      </c>
      <c r="K16" s="332">
        <v>2748.4</v>
      </c>
      <c r="L16" s="332">
        <v>2793.9</v>
      </c>
      <c r="M16" s="153" t="s">
        <v>20</v>
      </c>
      <c r="N16" s="332">
        <v>26</v>
      </c>
      <c r="O16" s="332">
        <v>27.1</v>
      </c>
      <c r="P16" s="332">
        <v>26.2</v>
      </c>
      <c r="Q16" s="332">
        <v>26.1</v>
      </c>
      <c r="R16" s="332">
        <v>26</v>
      </c>
      <c r="S16" s="332">
        <v>26</v>
      </c>
      <c r="T16" s="332">
        <v>24.3</v>
      </c>
      <c r="U16" s="332">
        <v>24.9</v>
      </c>
      <c r="V16" s="332">
        <v>25.5</v>
      </c>
      <c r="W16" s="332">
        <v>25</v>
      </c>
      <c r="X16" s="154" t="s">
        <v>20</v>
      </c>
      <c r="Y16" s="332">
        <v>12.8</v>
      </c>
      <c r="Z16" s="332">
        <v>12.6</v>
      </c>
      <c r="AA16" s="332">
        <v>11.9</v>
      </c>
      <c r="AB16" s="332">
        <v>12.4</v>
      </c>
      <c r="AC16" s="332">
        <v>12.6</v>
      </c>
      <c r="AD16" s="332">
        <v>11.9</v>
      </c>
      <c r="AE16" s="332">
        <v>11.5</v>
      </c>
      <c r="AF16" s="332">
        <v>11.5</v>
      </c>
      <c r="AG16" s="332">
        <v>10.5</v>
      </c>
      <c r="AH16" s="332">
        <v>10.5</v>
      </c>
      <c r="AI16" s="119" t="s">
        <v>20</v>
      </c>
      <c r="AJ16" s="332">
        <v>74.400000000000006</v>
      </c>
      <c r="AK16" s="332">
        <v>75.3</v>
      </c>
      <c r="AL16" s="332">
        <v>75.2</v>
      </c>
      <c r="AM16" s="332">
        <v>74.5</v>
      </c>
      <c r="AN16" s="332">
        <v>73.2</v>
      </c>
      <c r="AO16" s="332">
        <v>74.099999999999994</v>
      </c>
      <c r="AP16" s="332">
        <v>74.900000000000006</v>
      </c>
      <c r="AQ16" s="332">
        <v>74.599999999999994</v>
      </c>
      <c r="AR16" s="332">
        <v>74.400000000000006</v>
      </c>
      <c r="AS16" s="332">
        <v>75.7</v>
      </c>
      <c r="AT16" s="2" t="s">
        <v>20</v>
      </c>
      <c r="AU16" s="260">
        <v>60</v>
      </c>
      <c r="AV16" s="260">
        <v>52</v>
      </c>
      <c r="AW16" s="260">
        <v>69</v>
      </c>
      <c r="AX16" s="260">
        <v>68</v>
      </c>
      <c r="AY16" s="260">
        <v>66</v>
      </c>
      <c r="AZ16" s="260">
        <v>64</v>
      </c>
      <c r="BA16" s="260">
        <v>72</v>
      </c>
      <c r="BB16" s="260">
        <v>66</v>
      </c>
      <c r="BC16" s="260">
        <v>70</v>
      </c>
      <c r="BD16" s="260">
        <v>46</v>
      </c>
      <c r="BF16" s="186">
        <f>E16-'[1]Data-total_employment'!F16</f>
        <v>73.5</v>
      </c>
      <c r="BG16" s="186">
        <f>F16-'[1]Data-total_employment'!G16</f>
        <v>42.900000000000091</v>
      </c>
      <c r="BH16" s="186">
        <f>G16-'[1]Data-total_employment'!H16</f>
        <v>-29.699999999999818</v>
      </c>
      <c r="BI16" s="186">
        <f>S16-'[1]Data-total_employment'!T16</f>
        <v>-1.1000000000000014</v>
      </c>
      <c r="BJ16" s="186">
        <f>T16-'[1]Data-total_employment'!U16</f>
        <v>-1.8999999999999986</v>
      </c>
      <c r="BK16" s="186">
        <f>U16-'[1]Data-total_employment'!V16</f>
        <v>-1.2000000000000028</v>
      </c>
      <c r="BL16" s="194">
        <f>AD16-'[1]Data-total_employment'!AE16</f>
        <v>-0.59999999999999964</v>
      </c>
      <c r="BM16" s="194">
        <f>AE16-'[1]Data-total_employment'!AF16</f>
        <v>-0.40000000000000036</v>
      </c>
      <c r="BN16" s="194">
        <f>AF16-'[1]Data-total_employment'!AG16</f>
        <v>-0.69999999999999929</v>
      </c>
      <c r="BO16" s="203">
        <f>AK16-'[1]Data-total_employment'!AL16</f>
        <v>1.7999999999999972</v>
      </c>
      <c r="BP16" s="203">
        <f>AL16-'[1]Data-total_employment'!AM16</f>
        <v>1.5</v>
      </c>
      <c r="BQ16" s="203">
        <f>AM16-'[1]Data-total_employment'!AN16</f>
        <v>0.70000000000000284</v>
      </c>
      <c r="BR16" s="203">
        <f>AZ16-'[1]Data-total_employment'!BA16</f>
        <v>-5</v>
      </c>
      <c r="BS16" s="203">
        <f>BA16-'[1]Data-total_employment'!BB16</f>
        <v>4</v>
      </c>
      <c r="BT16" s="203">
        <f>BB16-'[1]Data-total_employment'!BC16</f>
        <v>0</v>
      </c>
    </row>
    <row r="17" spans="1:72" ht="18">
      <c r="A17">
        <v>14</v>
      </c>
      <c r="B17" s="163" t="s">
        <v>21</v>
      </c>
      <c r="C17" s="332">
        <v>597.79999999999995</v>
      </c>
      <c r="D17" s="332">
        <v>622.6</v>
      </c>
      <c r="E17" s="332">
        <v>620.4</v>
      </c>
      <c r="F17" s="332">
        <v>608.4</v>
      </c>
      <c r="G17" s="332">
        <v>616.5</v>
      </c>
      <c r="H17" s="332">
        <v>619</v>
      </c>
      <c r="I17" s="332">
        <v>631.4</v>
      </c>
      <c r="J17" s="332">
        <v>635.6</v>
      </c>
      <c r="K17" s="332">
        <v>619.20000000000005</v>
      </c>
      <c r="L17" s="332">
        <v>630.70000000000005</v>
      </c>
      <c r="M17" s="153" t="s">
        <v>21</v>
      </c>
      <c r="N17" s="332">
        <v>10.5</v>
      </c>
      <c r="O17" s="332">
        <v>10</v>
      </c>
      <c r="P17" s="332">
        <v>9.1</v>
      </c>
      <c r="Q17" s="332">
        <v>10</v>
      </c>
      <c r="R17" s="332">
        <v>9.5</v>
      </c>
      <c r="S17" s="332">
        <v>9.6999999999999993</v>
      </c>
      <c r="T17" s="332">
        <v>9.3000000000000007</v>
      </c>
      <c r="U17" s="332">
        <v>9.6999999999999993</v>
      </c>
      <c r="V17" s="332">
        <v>11</v>
      </c>
      <c r="W17" s="332">
        <v>11.1</v>
      </c>
      <c r="X17" s="154" t="s">
        <v>21</v>
      </c>
      <c r="Y17" s="332">
        <v>3.3</v>
      </c>
      <c r="Z17" s="332">
        <v>3.5</v>
      </c>
      <c r="AA17" s="332">
        <v>3.9</v>
      </c>
      <c r="AB17" s="332">
        <v>2.7</v>
      </c>
      <c r="AC17" s="332">
        <v>3</v>
      </c>
      <c r="AD17" s="332">
        <v>2.7</v>
      </c>
      <c r="AE17" s="332">
        <v>2.4</v>
      </c>
      <c r="AF17" s="332">
        <v>3</v>
      </c>
      <c r="AG17" s="332">
        <v>2.6</v>
      </c>
      <c r="AH17" s="332">
        <v>3</v>
      </c>
      <c r="AI17" s="119" t="s">
        <v>21</v>
      </c>
      <c r="AJ17" s="332">
        <v>70.3</v>
      </c>
      <c r="AK17" s="332">
        <v>73.3</v>
      </c>
      <c r="AL17" s="332">
        <v>73.2</v>
      </c>
      <c r="AM17" s="332">
        <v>71.599999999999994</v>
      </c>
      <c r="AN17" s="332">
        <v>73.099999999999994</v>
      </c>
      <c r="AO17" s="332">
        <v>73.2</v>
      </c>
      <c r="AP17" s="332">
        <v>74.8</v>
      </c>
      <c r="AQ17" s="332">
        <v>75.400000000000006</v>
      </c>
      <c r="AR17" s="332">
        <v>73.599999999999994</v>
      </c>
      <c r="AS17" s="332">
        <v>74.8</v>
      </c>
      <c r="AT17" s="2" t="s">
        <v>21</v>
      </c>
      <c r="AU17" s="260">
        <v>8</v>
      </c>
      <c r="AV17" s="260">
        <v>11</v>
      </c>
      <c r="AW17" s="260">
        <v>16</v>
      </c>
      <c r="AX17" s="260">
        <v>13</v>
      </c>
      <c r="AY17" s="260">
        <v>14</v>
      </c>
      <c r="AZ17" s="260">
        <v>10</v>
      </c>
      <c r="BA17" s="260">
        <v>9</v>
      </c>
      <c r="BB17" s="260">
        <v>15</v>
      </c>
      <c r="BC17" s="260">
        <v>12</v>
      </c>
      <c r="BD17" s="260">
        <v>8</v>
      </c>
      <c r="BF17" s="186">
        <f>E17-'[1]Data-total_employment'!F17</f>
        <v>-11.899999999999977</v>
      </c>
      <c r="BG17" s="186">
        <f>F17-'[1]Data-total_employment'!G17</f>
        <v>-3.6000000000000227</v>
      </c>
      <c r="BH17" s="186">
        <f>G17-'[1]Data-total_employment'!H17</f>
        <v>18.700000000000045</v>
      </c>
      <c r="BI17" s="186">
        <f>S17-'[1]Data-total_employment'!T17</f>
        <v>-0.30000000000000071</v>
      </c>
      <c r="BJ17" s="186">
        <f>T17-'[1]Data-total_employment'!U17</f>
        <v>0.20000000000000107</v>
      </c>
      <c r="BK17" s="186">
        <f>U17-'[1]Data-total_employment'!V17</f>
        <v>-0.30000000000000071</v>
      </c>
      <c r="BL17" s="194">
        <f>AD17-'[1]Data-total_employment'!AE17</f>
        <v>-0.89999999999999991</v>
      </c>
      <c r="BM17" s="194">
        <f>AE17-'[1]Data-total_employment'!AF17</f>
        <v>-1.9</v>
      </c>
      <c r="BN17" s="194">
        <f>AF17-'[1]Data-total_employment'!AG17</f>
        <v>0.39999999999999991</v>
      </c>
      <c r="BO17" s="203">
        <f>AK17-'[1]Data-total_employment'!AL17</f>
        <v>1.5999999999999943</v>
      </c>
      <c r="BP17" s="203">
        <f>AL17-'[1]Data-total_employment'!AM17</f>
        <v>-0.79999999999999716</v>
      </c>
      <c r="BQ17" s="203">
        <f>AM17-'[1]Data-total_employment'!AN17</f>
        <v>-0.30000000000001137</v>
      </c>
      <c r="BR17" s="203">
        <f>AZ17-'[1]Data-total_employment'!BA17</f>
        <v>-6</v>
      </c>
      <c r="BS17" s="203">
        <f>BA17-'[1]Data-total_employment'!BB17</f>
        <v>-4</v>
      </c>
      <c r="BT17" s="203">
        <f>BB17-'[1]Data-total_employment'!BC17</f>
        <v>1</v>
      </c>
    </row>
    <row r="18" spans="1:72" ht="18">
      <c r="A18">
        <v>15</v>
      </c>
      <c r="B18" s="163" t="s">
        <v>41</v>
      </c>
      <c r="C18" s="332">
        <v>2327.9</v>
      </c>
      <c r="D18" s="332">
        <v>2407.8000000000002</v>
      </c>
      <c r="E18" s="332">
        <v>2425.5</v>
      </c>
      <c r="F18" s="332">
        <v>2356.9</v>
      </c>
      <c r="G18" s="332">
        <v>2340.3000000000002</v>
      </c>
      <c r="H18" s="332">
        <v>2423.5</v>
      </c>
      <c r="I18" s="332">
        <v>2435.1</v>
      </c>
      <c r="J18" s="332">
        <v>2411.5</v>
      </c>
      <c r="K18" s="332">
        <v>2400.5</v>
      </c>
      <c r="L18" s="332">
        <v>2497.5</v>
      </c>
      <c r="M18" s="153" t="s">
        <v>41</v>
      </c>
      <c r="N18" s="332">
        <v>15.3</v>
      </c>
      <c r="O18" s="332">
        <v>14.9</v>
      </c>
      <c r="P18" s="332">
        <v>14.2</v>
      </c>
      <c r="Q18" s="332">
        <v>15.4</v>
      </c>
      <c r="R18" s="332">
        <v>15.8</v>
      </c>
      <c r="S18" s="332">
        <v>15</v>
      </c>
      <c r="T18" s="332">
        <v>13.8</v>
      </c>
      <c r="U18" s="332">
        <v>15.6</v>
      </c>
      <c r="V18" s="332">
        <v>15.9</v>
      </c>
      <c r="W18" s="332">
        <v>14.7</v>
      </c>
      <c r="X18" s="154" t="s">
        <v>41</v>
      </c>
      <c r="Y18" s="332">
        <v>13.2</v>
      </c>
      <c r="Z18" s="332">
        <v>13.4</v>
      </c>
      <c r="AA18" s="332">
        <v>13.9</v>
      </c>
      <c r="AB18" s="332">
        <v>13.7</v>
      </c>
      <c r="AC18" s="332">
        <v>13.7</v>
      </c>
      <c r="AD18" s="332">
        <v>14.1</v>
      </c>
      <c r="AE18" s="332">
        <v>13.7</v>
      </c>
      <c r="AF18" s="332">
        <v>14.1</v>
      </c>
      <c r="AG18" s="332">
        <v>14.1</v>
      </c>
      <c r="AH18" s="332">
        <v>14.6</v>
      </c>
      <c r="AI18" s="119" t="s">
        <v>41</v>
      </c>
      <c r="AJ18" s="332">
        <v>67.5</v>
      </c>
      <c r="AK18" s="332">
        <v>69.900000000000006</v>
      </c>
      <c r="AL18" s="332">
        <v>70.5</v>
      </c>
      <c r="AM18" s="332">
        <v>68.400000000000006</v>
      </c>
      <c r="AN18" s="332">
        <v>68</v>
      </c>
      <c r="AO18" s="332">
        <v>70.5</v>
      </c>
      <c r="AP18" s="332">
        <v>71</v>
      </c>
      <c r="AQ18" s="332">
        <v>70.400000000000006</v>
      </c>
      <c r="AR18" s="332">
        <v>70.099999999999994</v>
      </c>
      <c r="AS18" s="332">
        <v>73</v>
      </c>
      <c r="AT18" s="2" t="s">
        <v>41</v>
      </c>
      <c r="AU18" s="260">
        <v>51</v>
      </c>
      <c r="AV18" s="260">
        <v>42</v>
      </c>
      <c r="AW18" s="260">
        <v>73</v>
      </c>
      <c r="AX18" s="260">
        <v>75</v>
      </c>
      <c r="AY18" s="260">
        <v>48</v>
      </c>
      <c r="AZ18" s="260">
        <v>47</v>
      </c>
      <c r="BA18" s="260">
        <v>76</v>
      </c>
      <c r="BB18" s="260">
        <v>78</v>
      </c>
      <c r="BC18" s="260">
        <v>57</v>
      </c>
      <c r="BD18" s="260">
        <v>49</v>
      </c>
      <c r="BF18" s="186">
        <f>E18-'[1]Data-total_employment'!F18</f>
        <v>13.699999999999818</v>
      </c>
      <c r="BG18" s="186">
        <f>F18-'[1]Data-total_employment'!G18</f>
        <v>17.5</v>
      </c>
      <c r="BH18" s="186">
        <f>G18-'[1]Data-total_employment'!H18</f>
        <v>12.400000000000091</v>
      </c>
      <c r="BI18" s="186">
        <f>S18-'[1]Data-total_employment'!T18</f>
        <v>9.9999999999999645E-2</v>
      </c>
      <c r="BJ18" s="186">
        <f>T18-'[1]Data-total_employment'!U18</f>
        <v>-0.39999999999999858</v>
      </c>
      <c r="BK18" s="186">
        <f>U18-'[1]Data-total_employment'!V18</f>
        <v>0.19999999999999929</v>
      </c>
      <c r="BL18" s="194">
        <f>AD18-'[1]Data-total_employment'!AE18</f>
        <v>0.5</v>
      </c>
      <c r="BM18" s="194">
        <f>AE18-'[1]Data-total_employment'!AF18</f>
        <v>-0.10000000000000142</v>
      </c>
      <c r="BN18" s="194">
        <f>AF18-'[1]Data-total_employment'!AG18</f>
        <v>0.29999999999999893</v>
      </c>
      <c r="BO18" s="203">
        <f>AK18-'[1]Data-total_employment'!AL18</f>
        <v>0.60000000000000853</v>
      </c>
      <c r="BP18" s="203">
        <f>AL18-'[1]Data-total_employment'!AM18</f>
        <v>0.59999999999999432</v>
      </c>
      <c r="BQ18" s="203">
        <f>AM18-'[1]Data-total_employment'!AN18</f>
        <v>0.60000000000000853</v>
      </c>
      <c r="BR18" s="203">
        <f>AZ18-'[1]Data-total_employment'!BA18</f>
        <v>-26</v>
      </c>
      <c r="BS18" s="203">
        <f>BA18-'[1]Data-total_employment'!BB18</f>
        <v>1</v>
      </c>
      <c r="BT18" s="203">
        <f>BB18-'[1]Data-total_employment'!BC18</f>
        <v>30</v>
      </c>
    </row>
    <row r="19" spans="1:72" ht="18">
      <c r="A19">
        <v>16</v>
      </c>
      <c r="B19" s="163" t="s">
        <v>25</v>
      </c>
      <c r="C19" s="332">
        <v>26053.599999999999</v>
      </c>
      <c r="D19" s="332">
        <v>26320.2</v>
      </c>
      <c r="E19" s="332">
        <v>26405.200000000001</v>
      </c>
      <c r="F19" s="332">
        <v>26194.9</v>
      </c>
      <c r="G19" s="332">
        <v>26150.9</v>
      </c>
      <c r="H19" s="332">
        <v>26633</v>
      </c>
      <c r="I19" s="332">
        <v>26628.3</v>
      </c>
      <c r="J19" s="332">
        <v>26635.200000000001</v>
      </c>
      <c r="K19" s="332">
        <v>26520.400000000001</v>
      </c>
      <c r="L19" s="332">
        <v>26797.9</v>
      </c>
      <c r="M19" s="153" t="s">
        <v>25</v>
      </c>
      <c r="N19" s="332">
        <v>18.7</v>
      </c>
      <c r="O19" s="332">
        <v>18.5</v>
      </c>
      <c r="P19" s="332">
        <v>17.8</v>
      </c>
      <c r="Q19" s="332">
        <v>18.2</v>
      </c>
      <c r="R19" s="332">
        <v>18.399999999999999</v>
      </c>
      <c r="S19" s="332">
        <v>18.600000000000001</v>
      </c>
      <c r="T19" s="332">
        <v>18</v>
      </c>
      <c r="U19" s="332">
        <v>17.899999999999999</v>
      </c>
      <c r="V19" s="332">
        <v>18.2</v>
      </c>
      <c r="W19" s="332">
        <v>18.5</v>
      </c>
      <c r="X19" s="154" t="s">
        <v>25</v>
      </c>
      <c r="Y19" s="332">
        <v>14.1</v>
      </c>
      <c r="Z19" s="332">
        <v>14.3</v>
      </c>
      <c r="AA19" s="332">
        <v>14.4</v>
      </c>
      <c r="AB19" s="332">
        <v>14.5</v>
      </c>
      <c r="AC19" s="332">
        <v>14.7</v>
      </c>
      <c r="AD19" s="332">
        <v>14.8</v>
      </c>
      <c r="AE19" s="332">
        <v>14.9</v>
      </c>
      <c r="AF19" s="332">
        <v>15.3</v>
      </c>
      <c r="AG19" s="332">
        <v>15.1</v>
      </c>
      <c r="AH19" s="332">
        <v>14.8</v>
      </c>
      <c r="AI19" s="119" t="s">
        <v>25</v>
      </c>
      <c r="AJ19" s="332">
        <v>63.7</v>
      </c>
      <c r="AK19" s="332">
        <v>64.400000000000006</v>
      </c>
      <c r="AL19" s="332">
        <v>64.599999999999994</v>
      </c>
      <c r="AM19" s="332">
        <v>64.099999999999994</v>
      </c>
      <c r="AN19" s="332">
        <v>63.8</v>
      </c>
      <c r="AO19" s="332">
        <v>65.099999999999994</v>
      </c>
      <c r="AP19" s="332">
        <v>65</v>
      </c>
      <c r="AQ19" s="332">
        <v>65</v>
      </c>
      <c r="AR19" s="332">
        <v>64.8</v>
      </c>
      <c r="AS19" s="332">
        <v>65.5</v>
      </c>
      <c r="AT19" s="2" t="s">
        <v>25</v>
      </c>
      <c r="AU19" s="260">
        <v>687</v>
      </c>
      <c r="AV19" s="260">
        <v>606</v>
      </c>
      <c r="AW19" s="260">
        <v>719</v>
      </c>
      <c r="AX19" s="260">
        <v>582</v>
      </c>
      <c r="AY19" s="260">
        <v>595</v>
      </c>
      <c r="AZ19" s="260">
        <v>618</v>
      </c>
      <c r="BA19" s="260">
        <v>719</v>
      </c>
      <c r="BB19" s="260">
        <v>582</v>
      </c>
      <c r="BC19" s="260">
        <v>680</v>
      </c>
      <c r="BD19" s="260">
        <v>610</v>
      </c>
      <c r="BF19" s="186">
        <f>E19-'[1]Data-total_employment'!F19</f>
        <v>97.700000000000728</v>
      </c>
      <c r="BG19" s="186">
        <f>F19-'[1]Data-total_employment'!G19</f>
        <v>101.70000000000073</v>
      </c>
      <c r="BH19" s="186">
        <f>G19-'[1]Data-total_employment'!H19</f>
        <v>97.30000000000291</v>
      </c>
      <c r="BI19" s="186">
        <f>S19-'[1]Data-total_employment'!T19</f>
        <v>0.10000000000000142</v>
      </c>
      <c r="BJ19" s="186">
        <f>T19-'[1]Data-total_employment'!U19</f>
        <v>0.19999999999999929</v>
      </c>
      <c r="BK19" s="186">
        <f>U19-'[1]Data-total_employment'!V19</f>
        <v>-0.30000000000000071</v>
      </c>
      <c r="BL19" s="194">
        <f>AD19-'[1]Data-total_employment'!AE19</f>
        <v>0.60000000000000142</v>
      </c>
      <c r="BM19" s="194">
        <f>AE19-'[1]Data-total_employment'!AF19</f>
        <v>0.80000000000000071</v>
      </c>
      <c r="BN19" s="194">
        <f>AF19-'[1]Data-total_employment'!AG19</f>
        <v>1</v>
      </c>
      <c r="BO19" s="203">
        <f>AK19-'[1]Data-total_employment'!AL19</f>
        <v>0.50000000000000711</v>
      </c>
      <c r="BP19" s="203">
        <f>AL19-'[1]Data-total_employment'!AM19</f>
        <v>0.29999999999999716</v>
      </c>
      <c r="BQ19" s="203">
        <f>AM19-'[1]Data-total_employment'!AN19</f>
        <v>0.29999999999999716</v>
      </c>
      <c r="BR19" s="203">
        <f>AZ19-'[1]Data-total_employment'!BA19</f>
        <v>-101</v>
      </c>
      <c r="BS19" s="203">
        <f>BA19-'[1]Data-total_employment'!BB19</f>
        <v>137</v>
      </c>
      <c r="BT19" s="203">
        <f>BB19-'[1]Data-total_employment'!BC19</f>
        <v>-13</v>
      </c>
    </row>
    <row r="20" spans="1:72" ht="18">
      <c r="A20">
        <v>17</v>
      </c>
      <c r="B20" s="163" t="s">
        <v>49</v>
      </c>
      <c r="C20" s="332">
        <v>39923.5</v>
      </c>
      <c r="D20" s="332">
        <v>39835.4</v>
      </c>
      <c r="E20" s="332">
        <v>40379.800000000003</v>
      </c>
      <c r="F20" s="332">
        <v>40521.599999999999</v>
      </c>
      <c r="G20" s="332">
        <v>40160.300000000003</v>
      </c>
      <c r="H20" s="332">
        <v>40168.199999999997</v>
      </c>
      <c r="I20" s="332">
        <v>40862.5</v>
      </c>
      <c r="J20" s="332">
        <v>40735.5</v>
      </c>
      <c r="K20" s="332">
        <v>40466.300000000003</v>
      </c>
      <c r="L20" s="332">
        <v>40280.9</v>
      </c>
      <c r="M20" s="153" t="s">
        <v>49</v>
      </c>
      <c r="N20" s="332">
        <v>27</v>
      </c>
      <c r="O20" s="332">
        <v>26.8</v>
      </c>
      <c r="P20" s="332">
        <v>26.5</v>
      </c>
      <c r="Q20" s="332">
        <v>26.5</v>
      </c>
      <c r="R20" s="332">
        <v>27</v>
      </c>
      <c r="S20" s="332">
        <v>26.9</v>
      </c>
      <c r="T20" s="332">
        <v>26.5</v>
      </c>
      <c r="U20" s="332">
        <v>27</v>
      </c>
      <c r="V20" s="332">
        <v>26.8</v>
      </c>
      <c r="W20" s="332">
        <v>27.1</v>
      </c>
      <c r="X20" s="154" t="s">
        <v>49</v>
      </c>
      <c r="Y20" s="332">
        <v>11.9</v>
      </c>
      <c r="Z20" s="332">
        <v>12</v>
      </c>
      <c r="AA20" s="332">
        <v>11.8</v>
      </c>
      <c r="AB20" s="332">
        <v>12.1</v>
      </c>
      <c r="AC20" s="332">
        <v>11.7</v>
      </c>
      <c r="AD20" s="332">
        <v>11.7</v>
      </c>
      <c r="AE20" s="332">
        <v>11.6</v>
      </c>
      <c r="AF20" s="332">
        <v>11.7</v>
      </c>
      <c r="AG20" s="332">
        <v>11.5</v>
      </c>
      <c r="AH20" s="332">
        <v>11.6</v>
      </c>
      <c r="AI20" s="119" t="s">
        <v>49</v>
      </c>
      <c r="AJ20" s="332">
        <v>74</v>
      </c>
      <c r="AK20" s="332">
        <v>74.2</v>
      </c>
      <c r="AL20" s="332">
        <v>75.099999999999994</v>
      </c>
      <c r="AM20" s="332">
        <v>75.3</v>
      </c>
      <c r="AN20" s="332">
        <v>74.599999999999994</v>
      </c>
      <c r="AO20" s="332">
        <v>74.8</v>
      </c>
      <c r="AP20" s="332">
        <v>75.599999999999994</v>
      </c>
      <c r="AQ20" s="332">
        <v>76</v>
      </c>
      <c r="AR20" s="332">
        <v>75.400000000000006</v>
      </c>
      <c r="AS20" s="332">
        <v>75.400000000000006</v>
      </c>
      <c r="AT20" s="155" t="s">
        <v>547</v>
      </c>
      <c r="AU20" s="157"/>
      <c r="AV20" s="157"/>
      <c r="AW20" s="157"/>
      <c r="AX20" s="157"/>
      <c r="AY20" s="157"/>
      <c r="AZ20" s="157"/>
      <c r="BA20" s="157"/>
      <c r="BB20" s="157"/>
      <c r="BC20" s="157"/>
      <c r="BD20" s="157"/>
      <c r="BF20" s="186">
        <f>E20-'[1]Data-total_employment'!F20</f>
        <v>1154.1000000000058</v>
      </c>
      <c r="BG20" s="186">
        <f>F20-'[1]Data-total_employment'!G20</f>
        <v>918.79999999999563</v>
      </c>
      <c r="BH20" s="186">
        <f>G20-'[1]Data-total_employment'!H20</f>
        <v>236.80000000000291</v>
      </c>
      <c r="BI20" s="186">
        <f>S20-'[1]Data-total_employment'!T20</f>
        <v>9.9999999999997868E-2</v>
      </c>
      <c r="BJ20" s="186">
        <f>T20-'[1]Data-total_employment'!U20</f>
        <v>0</v>
      </c>
      <c r="BK20" s="186">
        <f>U20-'[1]Data-total_employment'!V20</f>
        <v>0.5</v>
      </c>
      <c r="BL20" s="194">
        <f>AD20-'[1]Data-total_employment'!AE20</f>
        <v>-0.20000000000000107</v>
      </c>
      <c r="BM20" s="194">
        <f>AE20-'[1]Data-total_employment'!AF20</f>
        <v>-0.30000000000000071</v>
      </c>
      <c r="BN20" s="194">
        <f>AF20-'[1]Data-total_employment'!AG20</f>
        <v>-0.30000000000000071</v>
      </c>
      <c r="BO20" s="203">
        <f>AK20-'[1]Data-total_employment'!AL20</f>
        <v>0.60000000000000853</v>
      </c>
      <c r="BP20" s="203">
        <f>AL20-'[1]Data-total_employment'!AM20</f>
        <v>0.89999999999999147</v>
      </c>
      <c r="BQ20" s="203">
        <f>AM20-'[1]Data-total_employment'!AN20</f>
        <v>0.89999999999999147</v>
      </c>
      <c r="BR20" s="203">
        <f>AZ20-'[1]Data-total_employment'!BA20</f>
        <v>0</v>
      </c>
      <c r="BS20" s="203">
        <f>BA20-'[1]Data-total_employment'!BB20</f>
        <v>0</v>
      </c>
      <c r="BT20" s="203">
        <f>BB20-'[1]Data-total_employment'!BC20</f>
        <v>0</v>
      </c>
    </row>
    <row r="21" spans="1:72" ht="18">
      <c r="A21">
        <v>18</v>
      </c>
      <c r="B21" s="163" t="s">
        <v>23</v>
      </c>
      <c r="C21" s="332">
        <v>3543.7</v>
      </c>
      <c r="D21" s="332">
        <v>3638.7</v>
      </c>
      <c r="E21" s="332">
        <v>3673.7</v>
      </c>
      <c r="F21" s="332">
        <v>3585.1</v>
      </c>
      <c r="G21" s="332">
        <v>3592.4</v>
      </c>
      <c r="H21" s="332">
        <v>3721.3</v>
      </c>
      <c r="I21" s="332">
        <v>3753</v>
      </c>
      <c r="J21" s="332">
        <v>3664.2</v>
      </c>
      <c r="K21" s="332">
        <v>3649.8</v>
      </c>
      <c r="L21" s="332">
        <v>3783.9</v>
      </c>
      <c r="M21" s="153" t="s">
        <v>23</v>
      </c>
      <c r="N21" s="332">
        <v>9.6999999999999993</v>
      </c>
      <c r="O21" s="332">
        <v>9.8000000000000007</v>
      </c>
      <c r="P21" s="332">
        <v>9.6</v>
      </c>
      <c r="Q21" s="332">
        <v>10.1</v>
      </c>
      <c r="R21" s="332">
        <v>10.4</v>
      </c>
      <c r="S21" s="332">
        <v>9.8000000000000007</v>
      </c>
      <c r="T21" s="332">
        <v>9.3000000000000007</v>
      </c>
      <c r="U21" s="332">
        <v>9.5</v>
      </c>
      <c r="V21" s="332">
        <v>9.5</v>
      </c>
      <c r="W21" s="332">
        <v>9.3000000000000007</v>
      </c>
      <c r="X21" s="154" t="s">
        <v>23</v>
      </c>
      <c r="Y21" s="332">
        <v>7.9</v>
      </c>
      <c r="Z21" s="332">
        <v>7.6</v>
      </c>
      <c r="AA21" s="332">
        <v>7.4</v>
      </c>
      <c r="AB21" s="332">
        <v>7</v>
      </c>
      <c r="AC21" s="332">
        <v>7.2</v>
      </c>
      <c r="AD21" s="332">
        <v>7.9</v>
      </c>
      <c r="AE21" s="332">
        <v>8</v>
      </c>
      <c r="AF21" s="332">
        <v>7.4</v>
      </c>
      <c r="AG21" s="332">
        <v>7.2</v>
      </c>
      <c r="AH21" s="332">
        <v>7.9</v>
      </c>
      <c r="AI21" s="119" t="s">
        <v>23</v>
      </c>
      <c r="AJ21" s="332">
        <v>50.9</v>
      </c>
      <c r="AK21" s="332">
        <v>52.4</v>
      </c>
      <c r="AL21" s="332">
        <v>53</v>
      </c>
      <c r="AM21" s="332">
        <v>51.8</v>
      </c>
      <c r="AN21" s="332">
        <v>52</v>
      </c>
      <c r="AO21" s="332">
        <v>54</v>
      </c>
      <c r="AP21" s="332">
        <v>54.6</v>
      </c>
      <c r="AQ21" s="332">
        <v>53.4</v>
      </c>
      <c r="AR21" s="332">
        <v>53.3</v>
      </c>
      <c r="AS21" s="332">
        <v>55.3</v>
      </c>
      <c r="AT21" s="2" t="s">
        <v>23</v>
      </c>
      <c r="AU21" s="260">
        <v>47</v>
      </c>
      <c r="AV21" s="260">
        <v>51</v>
      </c>
      <c r="AW21" s="260">
        <v>103</v>
      </c>
      <c r="AX21" s="260">
        <v>63</v>
      </c>
      <c r="AY21" s="260">
        <v>40</v>
      </c>
      <c r="AZ21" s="260">
        <v>57</v>
      </c>
      <c r="BA21" s="260">
        <v>118</v>
      </c>
      <c r="BB21" s="260">
        <v>69</v>
      </c>
      <c r="BC21" s="260">
        <v>40</v>
      </c>
      <c r="BD21" s="260">
        <v>41</v>
      </c>
      <c r="BF21" s="186">
        <f>E21-'[1]Data-total_employment'!F21</f>
        <v>67.5</v>
      </c>
      <c r="BG21" s="186">
        <f>F21-'[1]Data-total_employment'!G21</f>
        <v>9.1999999999998181</v>
      </c>
      <c r="BH21" s="186">
        <f>G21-'[1]Data-total_employment'!H21</f>
        <v>48.700000000000273</v>
      </c>
      <c r="BI21" s="186">
        <f>S21-'[1]Data-total_employment'!T21</f>
        <v>0</v>
      </c>
      <c r="BJ21" s="186">
        <f>T21-'[1]Data-total_employment'!U21</f>
        <v>-0.29999999999999893</v>
      </c>
      <c r="BK21" s="186">
        <f>U21-'[1]Data-total_employment'!V21</f>
        <v>-0.59999999999999964</v>
      </c>
      <c r="BL21" s="194">
        <f>AD21-'[1]Data-total_employment'!AE21</f>
        <v>0</v>
      </c>
      <c r="BM21" s="194">
        <f>AE21-'[1]Data-total_employment'!AF21</f>
        <v>0.5</v>
      </c>
      <c r="BN21" s="194">
        <f>AF21-'[1]Data-total_employment'!AG21</f>
        <v>0.60000000000000053</v>
      </c>
      <c r="BO21" s="203">
        <f>AK21-'[1]Data-total_employment'!AL21</f>
        <v>1.3999999999999986</v>
      </c>
      <c r="BP21" s="203">
        <f>AL21-'[1]Data-total_employment'!AM21</f>
        <v>1.2999999999999972</v>
      </c>
      <c r="BQ21" s="203">
        <f>AM21-'[1]Data-total_employment'!AN21</f>
        <v>0.5</v>
      </c>
      <c r="BR21" s="203">
        <f>AZ21-'[1]Data-total_employment'!BA21</f>
        <v>-46</v>
      </c>
      <c r="BS21" s="203">
        <f>BA21-'[1]Data-total_employment'!BB21</f>
        <v>55</v>
      </c>
      <c r="BT21" s="203">
        <f>BB21-'[1]Data-total_employment'!BC21</f>
        <v>29</v>
      </c>
    </row>
    <row r="22" spans="1:72" ht="18">
      <c r="A22">
        <v>19</v>
      </c>
      <c r="B22" s="163" t="s">
        <v>32</v>
      </c>
      <c r="C22" s="332">
        <v>4224.6000000000004</v>
      </c>
      <c r="D22" s="332">
        <v>4304.5</v>
      </c>
      <c r="E22" s="332">
        <v>4345.7</v>
      </c>
      <c r="F22" s="332">
        <v>4362.7</v>
      </c>
      <c r="G22" s="332">
        <v>4322.6000000000004</v>
      </c>
      <c r="H22" s="332">
        <v>4370.8999999999996</v>
      </c>
      <c r="I22" s="332">
        <v>4402.3999999999996</v>
      </c>
      <c r="J22" s="332">
        <v>4397.7</v>
      </c>
      <c r="K22" s="332">
        <v>4382.3</v>
      </c>
      <c r="L22" s="332">
        <v>4418.3</v>
      </c>
      <c r="M22" s="153" t="s">
        <v>32</v>
      </c>
      <c r="N22" s="332">
        <v>4.9000000000000004</v>
      </c>
      <c r="O22" s="332">
        <v>4.9000000000000004</v>
      </c>
      <c r="P22" s="332">
        <v>4.8</v>
      </c>
      <c r="Q22" s="332">
        <v>4.5999999999999996</v>
      </c>
      <c r="R22" s="332">
        <v>4.5</v>
      </c>
      <c r="S22" s="332">
        <v>4.4000000000000004</v>
      </c>
      <c r="T22" s="332">
        <v>4.0999999999999996</v>
      </c>
      <c r="U22" s="332">
        <v>4.3</v>
      </c>
      <c r="V22" s="332">
        <v>4.0999999999999996</v>
      </c>
      <c r="W22" s="332">
        <v>4.2</v>
      </c>
      <c r="X22" s="154" t="s">
        <v>32</v>
      </c>
      <c r="Y22" s="332">
        <v>9.1999999999999993</v>
      </c>
      <c r="Z22" s="332">
        <v>8.9</v>
      </c>
      <c r="AA22" s="332">
        <v>8.6999999999999993</v>
      </c>
      <c r="AB22" s="332">
        <v>8.1999999999999993</v>
      </c>
      <c r="AC22" s="332">
        <v>8.5</v>
      </c>
      <c r="AD22" s="332">
        <v>8.3000000000000007</v>
      </c>
      <c r="AE22" s="332">
        <v>7.8</v>
      </c>
      <c r="AF22" s="332">
        <v>7.3</v>
      </c>
      <c r="AG22" s="332">
        <v>7.4</v>
      </c>
      <c r="AH22" s="332">
        <v>6.8</v>
      </c>
      <c r="AI22" s="119" t="s">
        <v>32</v>
      </c>
      <c r="AJ22" s="332">
        <v>65.099999999999994</v>
      </c>
      <c r="AK22" s="332">
        <v>66.400000000000006</v>
      </c>
      <c r="AL22" s="332">
        <v>67.099999999999994</v>
      </c>
      <c r="AM22" s="332">
        <v>67.5</v>
      </c>
      <c r="AN22" s="332">
        <v>67.099999999999994</v>
      </c>
      <c r="AO22" s="332">
        <v>68.099999999999994</v>
      </c>
      <c r="AP22" s="332">
        <v>68.7</v>
      </c>
      <c r="AQ22" s="332">
        <v>68.8</v>
      </c>
      <c r="AR22" s="332">
        <v>68.7</v>
      </c>
      <c r="AS22" s="332">
        <v>69.3</v>
      </c>
      <c r="AT22" s="2" t="s">
        <v>32</v>
      </c>
      <c r="AU22" s="260">
        <v>52</v>
      </c>
      <c r="AV22" s="260">
        <v>51</v>
      </c>
      <c r="AW22" s="260">
        <v>67</v>
      </c>
      <c r="AX22" s="260">
        <v>49</v>
      </c>
      <c r="AY22" s="260">
        <v>46</v>
      </c>
      <c r="AZ22" s="260">
        <v>37</v>
      </c>
      <c r="BA22" s="260">
        <v>47</v>
      </c>
      <c r="BB22" s="260">
        <v>45</v>
      </c>
      <c r="BC22" s="260">
        <v>43</v>
      </c>
      <c r="BD22" s="260">
        <v>35</v>
      </c>
      <c r="BF22" s="186">
        <f>E22-'[1]Data-total_employment'!F22</f>
        <v>117.59999999999945</v>
      </c>
      <c r="BG22" s="186">
        <f>F22-'[1]Data-total_employment'!G22</f>
        <v>141.39999999999964</v>
      </c>
      <c r="BH22" s="186">
        <f>G22-'[1]Data-total_employment'!H22</f>
        <v>98</v>
      </c>
      <c r="BI22" s="186">
        <f>S22-'[1]Data-total_employment'!T22</f>
        <v>-0.5</v>
      </c>
      <c r="BJ22" s="186">
        <f>T22-'[1]Data-total_employment'!U22</f>
        <v>-0.70000000000000018</v>
      </c>
      <c r="BK22" s="186">
        <f>U22-'[1]Data-total_employment'!V22</f>
        <v>-0.29999999999999982</v>
      </c>
      <c r="BL22" s="194">
        <f>AD22-'[1]Data-total_employment'!AE22</f>
        <v>-0.59999999999999964</v>
      </c>
      <c r="BM22" s="194">
        <f>AE22-'[1]Data-total_employment'!AF22</f>
        <v>-0.79999999999999982</v>
      </c>
      <c r="BN22" s="194">
        <f>AF22-'[1]Data-total_employment'!AG22</f>
        <v>-0.79999999999999982</v>
      </c>
      <c r="BO22" s="203">
        <f>AK22-'[1]Data-total_employment'!AL22</f>
        <v>2.6000000000000085</v>
      </c>
      <c r="BP22" s="203">
        <f>AL22-'[1]Data-total_employment'!AM22</f>
        <v>2.2999999999999972</v>
      </c>
      <c r="BQ22" s="203">
        <f>AM22-'[1]Data-total_employment'!AN22</f>
        <v>2.7000000000000028</v>
      </c>
      <c r="BR22" s="203">
        <f>AZ22-'[1]Data-total_employment'!BA22</f>
        <v>-30</v>
      </c>
      <c r="BS22" s="203">
        <f>BA22-'[1]Data-total_employment'!BB22</f>
        <v>-2</v>
      </c>
      <c r="BT22" s="203">
        <f>BB22-'[1]Data-total_employment'!BC22</f>
        <v>-1</v>
      </c>
    </row>
    <row r="23" spans="1:72" ht="18">
      <c r="A23">
        <v>20</v>
      </c>
      <c r="B23" s="163" t="s">
        <v>44</v>
      </c>
      <c r="C23" s="332">
        <v>173.9</v>
      </c>
      <c r="D23" s="332">
        <v>181.2</v>
      </c>
      <c r="E23" s="332">
        <v>183.5</v>
      </c>
      <c r="F23" s="332">
        <v>180.2</v>
      </c>
      <c r="G23" s="332">
        <v>179.8</v>
      </c>
      <c r="H23" s="332">
        <v>185.9</v>
      </c>
      <c r="I23" s="332">
        <v>184.2</v>
      </c>
      <c r="J23" s="332">
        <v>183.2</v>
      </c>
      <c r="K23" s="332">
        <v>183.4</v>
      </c>
      <c r="L23" s="332">
        <v>186.6</v>
      </c>
      <c r="M23" s="153" t="s">
        <v>44</v>
      </c>
      <c r="N23" s="332">
        <v>27.3</v>
      </c>
      <c r="O23" s="332">
        <v>21.7</v>
      </c>
      <c r="P23" s="332">
        <v>21.7</v>
      </c>
      <c r="Q23" s="332">
        <v>25.3</v>
      </c>
      <c r="R23" s="332">
        <v>26.3</v>
      </c>
      <c r="S23" s="332">
        <v>20.3</v>
      </c>
      <c r="T23" s="332">
        <v>21.2</v>
      </c>
      <c r="U23" s="332">
        <v>24.6</v>
      </c>
      <c r="V23" s="332">
        <v>24</v>
      </c>
      <c r="W23" s="332">
        <v>19.600000000000001</v>
      </c>
      <c r="X23" s="154" t="s">
        <v>44</v>
      </c>
      <c r="Y23" s="332">
        <v>10.4</v>
      </c>
      <c r="Z23" s="332">
        <v>10.9</v>
      </c>
      <c r="AA23" s="332">
        <v>10.199999999999999</v>
      </c>
      <c r="AB23" s="332">
        <v>10.7</v>
      </c>
      <c r="AC23" s="332">
        <v>9.6</v>
      </c>
      <c r="AD23" s="332">
        <v>9.8000000000000007</v>
      </c>
      <c r="AE23" s="332">
        <v>9.5</v>
      </c>
      <c r="AF23" s="332">
        <v>9</v>
      </c>
      <c r="AG23" s="332">
        <v>9.1999999999999993</v>
      </c>
      <c r="AH23" s="332">
        <v>8.8000000000000007</v>
      </c>
      <c r="AI23" s="119" t="s">
        <v>44</v>
      </c>
      <c r="AJ23" s="332">
        <v>84.6</v>
      </c>
      <c r="AK23" s="332">
        <v>87.4</v>
      </c>
      <c r="AL23" s="332">
        <v>88</v>
      </c>
      <c r="AM23" s="332">
        <v>86.1</v>
      </c>
      <c r="AN23" s="332">
        <v>85.7</v>
      </c>
      <c r="AO23" s="332">
        <v>87.8</v>
      </c>
      <c r="AP23" s="332">
        <v>86.2</v>
      </c>
      <c r="AQ23" s="332">
        <v>84.7</v>
      </c>
      <c r="AR23" s="332">
        <v>83.8</v>
      </c>
      <c r="AS23" s="332">
        <v>85.3</v>
      </c>
      <c r="AT23" s="2" t="s">
        <v>44</v>
      </c>
      <c r="AU23" s="260">
        <v>3</v>
      </c>
      <c r="AV23" s="260">
        <v>3</v>
      </c>
      <c r="AW23" s="260">
        <v>4</v>
      </c>
      <c r="AX23" s="260">
        <v>4</v>
      </c>
      <c r="AY23" s="260">
        <v>4</v>
      </c>
      <c r="AZ23" s="260">
        <v>2</v>
      </c>
      <c r="BA23" s="260">
        <v>2</v>
      </c>
      <c r="BB23" s="260">
        <v>5</v>
      </c>
      <c r="BC23" s="260">
        <v>3</v>
      </c>
      <c r="BD23" s="260">
        <v>2</v>
      </c>
      <c r="BF23" s="186">
        <f>E23-'[1]Data-total_employment'!F23</f>
        <v>7.5</v>
      </c>
      <c r="BG23" s="186">
        <f>F23-'[1]Data-total_employment'!G23</f>
        <v>7.5</v>
      </c>
      <c r="BH23" s="186">
        <f>G23-'[1]Data-total_employment'!H23</f>
        <v>5.9000000000000057</v>
      </c>
      <c r="BI23" s="186">
        <f>S23-'[1]Data-total_employment'!T23</f>
        <v>-1.3999999999999986</v>
      </c>
      <c r="BJ23" s="186">
        <f>T23-'[1]Data-total_employment'!U23</f>
        <v>-0.5</v>
      </c>
      <c r="BK23" s="186">
        <f>U23-'[1]Data-total_employment'!V23</f>
        <v>-0.69999999999999929</v>
      </c>
      <c r="BL23" s="194">
        <f>AD23-'[1]Data-total_employment'!AE23</f>
        <v>-0.79999999999999893</v>
      </c>
      <c r="BM23" s="194">
        <f>AE23-'[1]Data-total_employment'!AF23</f>
        <v>-0.59999999999999964</v>
      </c>
      <c r="BN23" s="194">
        <f>AF23-'[1]Data-total_employment'!AG23</f>
        <v>-1.6999999999999993</v>
      </c>
      <c r="BO23" s="203">
        <f>AK23-'[1]Data-total_employment'!AL23</f>
        <v>1.8000000000000114</v>
      </c>
      <c r="BP23" s="203">
        <f>AL23-'[1]Data-total_employment'!AM23</f>
        <v>1.9000000000000057</v>
      </c>
      <c r="BQ23" s="203">
        <f>AM23-'[1]Data-total_employment'!AN23</f>
        <v>1.7999999999999972</v>
      </c>
      <c r="BR23" s="203">
        <f>AZ23-'[1]Data-total_employment'!BA23</f>
        <v>-2</v>
      </c>
      <c r="BS23" s="203">
        <f>BA23-'[1]Data-total_employment'!BB23</f>
        <v>-2</v>
      </c>
      <c r="BT23" s="203">
        <f>BB23-'[1]Data-total_employment'!BC23</f>
        <v>1</v>
      </c>
    </row>
    <row r="24" spans="1:72" ht="18">
      <c r="A24">
        <v>21</v>
      </c>
      <c r="B24" s="322" t="s">
        <v>22</v>
      </c>
      <c r="C24" s="332">
        <v>2017.5</v>
      </c>
      <c r="D24" s="332">
        <v>2060.3000000000002</v>
      </c>
      <c r="E24" s="332">
        <v>2093.1999999999998</v>
      </c>
      <c r="F24" s="332">
        <v>2097</v>
      </c>
      <c r="G24" s="332">
        <v>2093.4</v>
      </c>
      <c r="H24" s="332">
        <v>2114.4</v>
      </c>
      <c r="I24" s="332">
        <v>2137.6</v>
      </c>
      <c r="J24" s="332">
        <v>2154.3000000000002</v>
      </c>
      <c r="K24" s="332">
        <v>2142.1</v>
      </c>
      <c r="L24" s="332">
        <v>2176.1999999999998</v>
      </c>
      <c r="M24" s="153" t="s">
        <v>22</v>
      </c>
      <c r="N24" s="332">
        <v>22.9</v>
      </c>
      <c r="O24" s="332">
        <v>23</v>
      </c>
      <c r="P24" s="332">
        <v>22.7</v>
      </c>
      <c r="Q24" s="332">
        <v>21.7</v>
      </c>
      <c r="R24" s="332">
        <v>21.5</v>
      </c>
      <c r="S24" s="332">
        <v>20.9</v>
      </c>
      <c r="T24" s="332">
        <v>19.3</v>
      </c>
      <c r="U24" s="332">
        <v>20.100000000000001</v>
      </c>
      <c r="V24" s="332">
        <v>19.8</v>
      </c>
      <c r="W24" s="332">
        <v>19.399999999999999</v>
      </c>
      <c r="X24" s="154" t="s">
        <v>22</v>
      </c>
      <c r="Y24" s="332">
        <v>7.6</v>
      </c>
      <c r="Z24" s="332">
        <v>7.8</v>
      </c>
      <c r="AA24" s="332">
        <v>7.4</v>
      </c>
      <c r="AB24" s="332">
        <v>7.4</v>
      </c>
      <c r="AC24" s="332">
        <v>7.2</v>
      </c>
      <c r="AD24" s="332">
        <v>6.8</v>
      </c>
      <c r="AE24" s="332">
        <v>8.6</v>
      </c>
      <c r="AF24" s="332">
        <v>8.5</v>
      </c>
      <c r="AG24" s="332">
        <v>8.4</v>
      </c>
      <c r="AH24" s="332">
        <v>8.6999999999999993</v>
      </c>
      <c r="AI24" s="119" t="s">
        <v>22</v>
      </c>
      <c r="AJ24" s="332">
        <v>65.099999999999994</v>
      </c>
      <c r="AK24" s="332">
        <v>66.400000000000006</v>
      </c>
      <c r="AL24" s="332">
        <v>67.2</v>
      </c>
      <c r="AM24" s="332">
        <v>67.099999999999994</v>
      </c>
      <c r="AN24" s="332">
        <v>66.900000000000006</v>
      </c>
      <c r="AO24" s="332">
        <v>67.400000000000006</v>
      </c>
      <c r="AP24" s="332">
        <v>68</v>
      </c>
      <c r="AQ24" s="332">
        <v>68.3</v>
      </c>
      <c r="AR24" s="332">
        <v>67.900000000000006</v>
      </c>
      <c r="AS24" s="332">
        <v>68.5</v>
      </c>
      <c r="AT24" s="2" t="s">
        <v>22</v>
      </c>
      <c r="AU24" s="260">
        <v>37</v>
      </c>
      <c r="AV24" s="260">
        <v>26</v>
      </c>
      <c r="AW24" s="260">
        <v>30</v>
      </c>
      <c r="AX24" s="260">
        <v>34</v>
      </c>
      <c r="AY24" s="260">
        <v>33</v>
      </c>
      <c r="AZ24" s="260">
        <v>18</v>
      </c>
      <c r="BA24" s="260">
        <v>24</v>
      </c>
      <c r="BB24" s="281"/>
      <c r="BC24" s="281"/>
      <c r="BD24" s="281"/>
      <c r="BF24" s="186">
        <f>E24-'[1]Data-total_employment'!F24</f>
        <v>177.29999999999973</v>
      </c>
      <c r="BG24" s="186">
        <f>F24-'[1]Data-total_employment'!G24</f>
        <v>177.70000000000005</v>
      </c>
      <c r="BH24" s="186">
        <f>G24-'[1]Data-total_employment'!H24</f>
        <v>181.90000000000009</v>
      </c>
      <c r="BI24" s="186">
        <f>S24-'[1]Data-total_employment'!T24</f>
        <v>-1.3000000000000007</v>
      </c>
      <c r="BJ24" s="186">
        <f>T24-'[1]Data-total_employment'!U24</f>
        <v>-2.6999999999999993</v>
      </c>
      <c r="BK24" s="186">
        <f>U24-'[1]Data-total_employment'!V24</f>
        <v>-0.89999999999999858</v>
      </c>
      <c r="BL24" s="194">
        <f>AD24-'[1]Data-total_employment'!AE24</f>
        <v>-0.20000000000000018</v>
      </c>
      <c r="BM24" s="194">
        <f>AE24-'[1]Data-total_employment'!AF24</f>
        <v>1.6999999999999993</v>
      </c>
      <c r="BN24" s="194">
        <f>AF24-'[1]Data-total_employment'!AG24</f>
        <v>1.7999999999999998</v>
      </c>
      <c r="BO24" s="203">
        <f>AK24-'[1]Data-total_employment'!AL24</f>
        <v>3.3000000000000043</v>
      </c>
      <c r="BP24" s="203">
        <f>AL24-'[1]Data-total_employment'!AM24</f>
        <v>3.4000000000000057</v>
      </c>
      <c r="BQ24" s="203">
        <f>AM24-'[1]Data-total_employment'!AN24</f>
        <v>3.1999999999999957</v>
      </c>
      <c r="BR24" s="203">
        <f>AZ24-'[1]Data-total_employment'!BA24</f>
        <v>-9</v>
      </c>
      <c r="BS24" s="203">
        <f>BA24-'[1]Data-total_employment'!BB24</f>
        <v>-6</v>
      </c>
      <c r="BT24" s="203">
        <f>BB24-'[1]Data-total_employment'!BC24</f>
        <v>-29</v>
      </c>
    </row>
    <row r="25" spans="1:72" ht="18">
      <c r="A25">
        <v>22</v>
      </c>
      <c r="B25" s="163" t="s">
        <v>27</v>
      </c>
      <c r="C25" s="332">
        <v>21908.400000000001</v>
      </c>
      <c r="D25" s="332">
        <v>22428.9</v>
      </c>
      <c r="E25" s="332">
        <v>22364.5</v>
      </c>
      <c r="F25" s="332">
        <v>22262.799999999999</v>
      </c>
      <c r="G25" s="332">
        <v>22181.5</v>
      </c>
      <c r="H25" s="332">
        <v>22512.799999999999</v>
      </c>
      <c r="I25" s="332">
        <v>22588.799999999999</v>
      </c>
      <c r="J25" s="332">
        <v>22491.4</v>
      </c>
      <c r="K25" s="332">
        <v>22275</v>
      </c>
      <c r="L25" s="332">
        <v>22807.9</v>
      </c>
      <c r="M25" s="153" t="s">
        <v>27</v>
      </c>
      <c r="N25" s="332">
        <v>18.7</v>
      </c>
      <c r="O25" s="332">
        <v>18.399999999999999</v>
      </c>
      <c r="P25" s="332">
        <v>18.3</v>
      </c>
      <c r="Q25" s="332">
        <v>18.8</v>
      </c>
      <c r="R25" s="332">
        <v>18.8</v>
      </c>
      <c r="S25" s="332">
        <v>18.600000000000001</v>
      </c>
      <c r="T25" s="332">
        <v>18.399999999999999</v>
      </c>
      <c r="U25" s="332">
        <v>18.399999999999999</v>
      </c>
      <c r="V25" s="332">
        <v>18.5</v>
      </c>
      <c r="W25" s="332">
        <v>18.5</v>
      </c>
      <c r="X25" s="154" t="s">
        <v>27</v>
      </c>
      <c r="Y25" s="332">
        <v>10.5</v>
      </c>
      <c r="Z25" s="332">
        <v>10.8</v>
      </c>
      <c r="AA25" s="332">
        <v>10.9</v>
      </c>
      <c r="AB25" s="332">
        <v>11.2</v>
      </c>
      <c r="AC25" s="332">
        <v>11.4</v>
      </c>
      <c r="AD25" s="332">
        <v>11.9</v>
      </c>
      <c r="AE25" s="332">
        <v>12.4</v>
      </c>
      <c r="AF25" s="332">
        <v>12.6</v>
      </c>
      <c r="AG25" s="332">
        <v>13.1</v>
      </c>
      <c r="AH25" s="332">
        <v>13.4</v>
      </c>
      <c r="AI25" s="119" t="s">
        <v>27</v>
      </c>
      <c r="AJ25" s="332">
        <v>56.3</v>
      </c>
      <c r="AK25" s="332">
        <v>57.7</v>
      </c>
      <c r="AL25" s="332">
        <v>57.6</v>
      </c>
      <c r="AM25" s="332">
        <v>57.4</v>
      </c>
      <c r="AN25" s="332">
        <v>57.2</v>
      </c>
      <c r="AO25" s="332">
        <v>58.1</v>
      </c>
      <c r="AP25" s="332">
        <v>58.4</v>
      </c>
      <c r="AQ25" s="332">
        <v>58.2</v>
      </c>
      <c r="AR25" s="332">
        <v>57.6</v>
      </c>
      <c r="AS25" s="332">
        <v>59.1</v>
      </c>
      <c r="AT25" s="2" t="s">
        <v>27</v>
      </c>
      <c r="AU25" s="260">
        <v>366</v>
      </c>
      <c r="AV25" s="260">
        <v>392</v>
      </c>
      <c r="AW25" s="260">
        <v>536</v>
      </c>
      <c r="AX25" s="260">
        <v>391</v>
      </c>
      <c r="AY25" s="260">
        <v>383</v>
      </c>
      <c r="AZ25" s="260">
        <v>425</v>
      </c>
      <c r="BA25" s="260">
        <v>499</v>
      </c>
      <c r="BB25" s="260">
        <v>434</v>
      </c>
      <c r="BC25" s="260">
        <v>366</v>
      </c>
      <c r="BD25" s="260">
        <v>343</v>
      </c>
      <c r="BF25" s="186">
        <f>E25-'[1]Data-total_employment'!F25</f>
        <v>217.70000000000073</v>
      </c>
      <c r="BG25" s="186">
        <f>F25-'[1]Data-total_employment'!G25</f>
        <v>184.79999999999927</v>
      </c>
      <c r="BH25" s="186">
        <f>G25-'[1]Data-total_employment'!H25</f>
        <v>273.09999999999854</v>
      </c>
      <c r="BI25" s="186">
        <f>S25-'[1]Data-total_employment'!T25</f>
        <v>0.20000000000000284</v>
      </c>
      <c r="BJ25" s="186">
        <f>T25-'[1]Data-total_employment'!U25</f>
        <v>9.9999999999997868E-2</v>
      </c>
      <c r="BK25" s="186">
        <f>U25-'[1]Data-total_employment'!V25</f>
        <v>-0.40000000000000213</v>
      </c>
      <c r="BL25" s="194">
        <f>AD25-'[1]Data-total_employment'!AE25</f>
        <v>1.0999999999999996</v>
      </c>
      <c r="BM25" s="194">
        <f>AE25-'[1]Data-total_employment'!AF25</f>
        <v>1.4000000000000004</v>
      </c>
      <c r="BN25" s="194">
        <f>AF25-'[1]Data-total_employment'!AG25</f>
        <v>1.5</v>
      </c>
      <c r="BO25" s="203">
        <f>AK25-'[1]Data-total_employment'!AL25</f>
        <v>1.4000000000000057</v>
      </c>
      <c r="BP25" s="203">
        <f>AL25-'[1]Data-total_employment'!AM25</f>
        <v>0.89999999999999858</v>
      </c>
      <c r="BQ25" s="203">
        <f>AM25-'[1]Data-total_employment'!AN25</f>
        <v>0.79999999999999716</v>
      </c>
      <c r="BR25" s="203">
        <f>AZ25-'[1]Data-total_employment'!BA25</f>
        <v>-111</v>
      </c>
      <c r="BS25" s="203">
        <f>BA25-'[1]Data-total_employment'!BB25</f>
        <v>108</v>
      </c>
      <c r="BT25" s="203">
        <f>BB25-'[1]Data-total_employment'!BC25</f>
        <v>51</v>
      </c>
    </row>
    <row r="26" spans="1:72" ht="18">
      <c r="A26">
        <v>23</v>
      </c>
      <c r="B26" s="163" t="s">
        <v>29</v>
      </c>
      <c r="C26" s="332">
        <v>860.3</v>
      </c>
      <c r="D26" s="332">
        <v>867.4</v>
      </c>
      <c r="E26" s="332">
        <v>863</v>
      </c>
      <c r="F26" s="332">
        <v>858.7</v>
      </c>
      <c r="G26" s="332">
        <v>850.2</v>
      </c>
      <c r="H26" s="332">
        <v>860.2</v>
      </c>
      <c r="I26" s="332">
        <v>869</v>
      </c>
      <c r="J26" s="332">
        <v>868</v>
      </c>
      <c r="K26" s="332">
        <v>864.1</v>
      </c>
      <c r="L26" s="332">
        <v>874.6</v>
      </c>
      <c r="M26" s="153" t="s">
        <v>29</v>
      </c>
      <c r="N26" s="332">
        <v>8.1999999999999993</v>
      </c>
      <c r="O26" s="332">
        <v>7.8</v>
      </c>
      <c r="P26" s="332">
        <v>8.5</v>
      </c>
      <c r="Q26" s="332">
        <v>9.6</v>
      </c>
      <c r="R26" s="332">
        <v>7.8</v>
      </c>
      <c r="S26" s="332">
        <v>7.5</v>
      </c>
      <c r="T26" s="332">
        <v>7.9</v>
      </c>
      <c r="U26" s="332">
        <v>7.6</v>
      </c>
      <c r="V26" s="332">
        <v>7.2</v>
      </c>
      <c r="W26" s="332">
        <v>6.8</v>
      </c>
      <c r="X26" s="154" t="s">
        <v>29</v>
      </c>
      <c r="Y26" s="332">
        <v>3.8</v>
      </c>
      <c r="Z26" s="332">
        <v>3.4</v>
      </c>
      <c r="AA26" s="332">
        <v>2.8</v>
      </c>
      <c r="AB26" s="332">
        <v>2.9</v>
      </c>
      <c r="AC26" s="332">
        <v>2.8</v>
      </c>
      <c r="AD26" s="332">
        <v>2.6</v>
      </c>
      <c r="AE26" s="332">
        <v>2.4</v>
      </c>
      <c r="AF26" s="332">
        <v>2.6</v>
      </c>
      <c r="AG26" s="332">
        <v>2.7</v>
      </c>
      <c r="AH26" s="332">
        <v>2.7</v>
      </c>
      <c r="AI26" s="119" t="s">
        <v>29</v>
      </c>
      <c r="AJ26" s="332">
        <v>68.2</v>
      </c>
      <c r="AK26" s="332">
        <v>69</v>
      </c>
      <c r="AL26" s="332">
        <v>68.900000000000006</v>
      </c>
      <c r="AM26" s="332">
        <v>68.8</v>
      </c>
      <c r="AN26" s="332">
        <v>68.7</v>
      </c>
      <c r="AO26" s="332">
        <v>69.8</v>
      </c>
      <c r="AP26" s="332">
        <v>70.900000000000006</v>
      </c>
      <c r="AQ26" s="332">
        <v>71</v>
      </c>
      <c r="AR26" s="332">
        <v>70.900000000000006</v>
      </c>
      <c r="AS26" s="332">
        <v>71.7</v>
      </c>
      <c r="AT26" s="2" t="s">
        <v>29</v>
      </c>
      <c r="AU26" s="260">
        <v>15</v>
      </c>
      <c r="AV26" s="260">
        <v>15</v>
      </c>
      <c r="AW26" s="260">
        <v>21</v>
      </c>
      <c r="AX26" s="260">
        <v>14</v>
      </c>
      <c r="AY26" s="260">
        <v>14</v>
      </c>
      <c r="AZ26" s="260">
        <v>16</v>
      </c>
      <c r="BA26" s="260">
        <v>21</v>
      </c>
      <c r="BB26" s="260">
        <v>18</v>
      </c>
      <c r="BC26" s="260">
        <v>17</v>
      </c>
      <c r="BD26" s="260">
        <v>22</v>
      </c>
      <c r="BF26" s="186">
        <f>E26-'[1]Data-total_employment'!F26</f>
        <v>-9.6000000000000227</v>
      </c>
      <c r="BG26" s="186">
        <f>F26-'[1]Data-total_employment'!G26</f>
        <v>-12.399999999999977</v>
      </c>
      <c r="BH26" s="186">
        <f>G26-'[1]Data-total_employment'!H26</f>
        <v>-10.099999999999909</v>
      </c>
      <c r="BI26" s="186">
        <f>S26-'[1]Data-total_employment'!T26</f>
        <v>-0.29999999999999982</v>
      </c>
      <c r="BJ26" s="186">
        <f>T26-'[1]Data-total_employment'!U26</f>
        <v>-0.59999999999999964</v>
      </c>
      <c r="BK26" s="186">
        <f>U26-'[1]Data-total_employment'!V26</f>
        <v>-2</v>
      </c>
      <c r="BL26" s="194">
        <f>AD26-'[1]Data-total_employment'!AE26</f>
        <v>-0.69999999999999973</v>
      </c>
      <c r="BM26" s="194">
        <f>AE26-'[1]Data-total_employment'!AF26</f>
        <v>-0.70000000000000018</v>
      </c>
      <c r="BN26" s="194">
        <f>AF26-'[1]Data-total_employment'!AG26</f>
        <v>-0.19999999999999973</v>
      </c>
      <c r="BO26" s="203">
        <f>AK26-'[1]Data-total_employment'!AL26</f>
        <v>0.79999999999999716</v>
      </c>
      <c r="BP26" s="203">
        <f>AL26-'[1]Data-total_employment'!AM26</f>
        <v>0.30000000000001137</v>
      </c>
      <c r="BQ26" s="203">
        <f>AM26-'[1]Data-total_employment'!AN26</f>
        <v>9.9999999999994316E-2</v>
      </c>
      <c r="BR26" s="203">
        <f>AZ26-'[1]Data-total_employment'!BA26</f>
        <v>-5</v>
      </c>
      <c r="BS26" s="203">
        <f>BA26-'[1]Data-total_employment'!BB26</f>
        <v>7</v>
      </c>
      <c r="BT26" s="203">
        <f>BB26-'[1]Data-total_employment'!BC26</f>
        <v>4</v>
      </c>
    </row>
    <row r="27" spans="1:72" ht="18">
      <c r="A27">
        <v>24</v>
      </c>
      <c r="B27" s="163" t="s">
        <v>30</v>
      </c>
      <c r="C27" s="332">
        <v>1307.7</v>
      </c>
      <c r="D27" s="332">
        <v>1322.5</v>
      </c>
      <c r="E27" s="332">
        <v>1326.8</v>
      </c>
      <c r="F27" s="332">
        <v>1313.7</v>
      </c>
      <c r="G27" s="332">
        <v>1294.5</v>
      </c>
      <c r="H27" s="332">
        <v>1311.6</v>
      </c>
      <c r="I27" s="332">
        <v>1311.4</v>
      </c>
      <c r="J27" s="332">
        <v>1305</v>
      </c>
      <c r="K27" s="332">
        <v>1296</v>
      </c>
      <c r="L27" s="332">
        <v>1318.6</v>
      </c>
      <c r="M27" s="153" t="s">
        <v>30</v>
      </c>
      <c r="N27" s="332">
        <v>7.7</v>
      </c>
      <c r="O27" s="332">
        <v>7.5</v>
      </c>
      <c r="P27" s="332">
        <v>6.4</v>
      </c>
      <c r="Q27" s="332">
        <v>7</v>
      </c>
      <c r="R27" s="332">
        <v>8.5</v>
      </c>
      <c r="S27" s="332">
        <v>8.1</v>
      </c>
      <c r="T27" s="332">
        <v>6.7</v>
      </c>
      <c r="U27" s="332">
        <v>7</v>
      </c>
      <c r="V27" s="332">
        <v>7.4</v>
      </c>
      <c r="W27" s="332">
        <v>7.2</v>
      </c>
      <c r="X27" s="154" t="s">
        <v>30</v>
      </c>
      <c r="Y27" s="332">
        <v>1.9</v>
      </c>
      <c r="Z27" s="332">
        <v>2</v>
      </c>
      <c r="AA27" s="332">
        <v>1.6</v>
      </c>
      <c r="AB27" s="332">
        <v>1.4</v>
      </c>
      <c r="AC27" s="332">
        <v>1.8</v>
      </c>
      <c r="AD27" s="332">
        <v>1.5</v>
      </c>
      <c r="AE27" s="332">
        <v>1.2</v>
      </c>
      <c r="AF27" s="332">
        <v>1.5</v>
      </c>
      <c r="AG27" s="332">
        <v>1.6</v>
      </c>
      <c r="AH27" s="332">
        <v>1.4</v>
      </c>
      <c r="AI27" s="119" t="s">
        <v>30</v>
      </c>
      <c r="AJ27" s="332">
        <v>68.3</v>
      </c>
      <c r="AK27" s="332">
        <v>69.5</v>
      </c>
      <c r="AL27" s="332">
        <v>70</v>
      </c>
      <c r="AM27" s="332">
        <v>69.7</v>
      </c>
      <c r="AN27" s="332">
        <v>69</v>
      </c>
      <c r="AO27" s="332">
        <v>70.599999999999994</v>
      </c>
      <c r="AP27" s="332">
        <v>70.900000000000006</v>
      </c>
      <c r="AQ27" s="332">
        <v>71</v>
      </c>
      <c r="AR27" s="332">
        <v>70.599999999999994</v>
      </c>
      <c r="AS27" s="332">
        <v>72.099999999999994</v>
      </c>
      <c r="AT27" s="2" t="s">
        <v>30</v>
      </c>
      <c r="AU27" s="260">
        <v>20</v>
      </c>
      <c r="AV27" s="260">
        <v>23</v>
      </c>
      <c r="AW27" s="260">
        <v>21</v>
      </c>
      <c r="AX27" s="260">
        <v>20</v>
      </c>
      <c r="AY27" s="260">
        <v>22</v>
      </c>
      <c r="AZ27" s="260">
        <v>19</v>
      </c>
      <c r="BA27" s="260">
        <v>30</v>
      </c>
      <c r="BB27" s="260">
        <v>15</v>
      </c>
      <c r="BC27" s="260">
        <v>14</v>
      </c>
      <c r="BD27" s="260">
        <v>17</v>
      </c>
      <c r="BF27" s="186">
        <f>E27-'[1]Data-total_employment'!F27</f>
        <v>14.099999999999909</v>
      </c>
      <c r="BG27" s="186">
        <f>F27-'[1]Data-total_employment'!G27</f>
        <v>8.9000000000000909</v>
      </c>
      <c r="BH27" s="186">
        <f>G27-'[1]Data-total_employment'!H27</f>
        <v>-13.200000000000045</v>
      </c>
      <c r="BI27" s="186">
        <f>S27-'[1]Data-total_employment'!T27</f>
        <v>0.59999999999999964</v>
      </c>
      <c r="BJ27" s="186">
        <f>T27-'[1]Data-total_employment'!U27</f>
        <v>0.29999999999999982</v>
      </c>
      <c r="BK27" s="186">
        <f>U27-'[1]Data-total_employment'!V27</f>
        <v>0</v>
      </c>
      <c r="BL27" s="194">
        <f>AD27-'[1]Data-total_employment'!AE27</f>
        <v>-0.5</v>
      </c>
      <c r="BM27" s="194">
        <f>AE27-'[1]Data-total_employment'!AF27</f>
        <v>-0.40000000000000013</v>
      </c>
      <c r="BN27" s="194">
        <f>AF27-'[1]Data-total_employment'!AG27</f>
        <v>0.10000000000000009</v>
      </c>
      <c r="BO27" s="203">
        <f>AK27-'[1]Data-total_employment'!AL27</f>
        <v>2.5</v>
      </c>
      <c r="BP27" s="203">
        <f>AL27-'[1]Data-total_employment'!AM27</f>
        <v>2</v>
      </c>
      <c r="BQ27" s="203">
        <f>AM27-'[1]Data-total_employment'!AN27</f>
        <v>1.7000000000000028</v>
      </c>
      <c r="BR27" s="203">
        <f>AZ27-'[1]Data-total_employment'!BA27</f>
        <v>-2</v>
      </c>
      <c r="BS27" s="203">
        <f>BA27-'[1]Data-total_employment'!BB27</f>
        <v>10</v>
      </c>
      <c r="BT27" s="203">
        <f>BB27-'[1]Data-total_employment'!BC27</f>
        <v>-7</v>
      </c>
    </row>
    <row r="28" spans="1:72" ht="18">
      <c r="A28">
        <v>25</v>
      </c>
      <c r="B28" s="163" t="s">
        <v>31</v>
      </c>
      <c r="C28" s="332">
        <v>258.8</v>
      </c>
      <c r="D28" s="332">
        <v>258</v>
      </c>
      <c r="E28" s="332">
        <v>258</v>
      </c>
      <c r="F28" s="332">
        <v>262.89999999999998</v>
      </c>
      <c r="G28" s="332">
        <v>268.89999999999998</v>
      </c>
      <c r="H28" s="332">
        <v>268.2</v>
      </c>
      <c r="I28" s="332">
        <v>272.7</v>
      </c>
      <c r="J28" s="332">
        <v>269.89999999999998</v>
      </c>
      <c r="K28" s="332">
        <v>278.7</v>
      </c>
      <c r="L28" s="332">
        <v>274.60000000000002</v>
      </c>
      <c r="M28" s="153" t="s">
        <v>31</v>
      </c>
      <c r="N28" s="332">
        <v>17.600000000000001</v>
      </c>
      <c r="O28" s="332">
        <v>19.5</v>
      </c>
      <c r="P28" s="332">
        <v>20.399999999999999</v>
      </c>
      <c r="Q28" s="332">
        <v>19.399999999999999</v>
      </c>
      <c r="R28" s="332">
        <v>20.399999999999999</v>
      </c>
      <c r="S28" s="332">
        <v>19.600000000000001</v>
      </c>
      <c r="T28" s="332">
        <v>19.399999999999999</v>
      </c>
      <c r="U28" s="332">
        <v>19.2</v>
      </c>
      <c r="V28" s="332">
        <v>18.3</v>
      </c>
      <c r="W28" s="332">
        <v>17.8</v>
      </c>
      <c r="X28" s="154" t="s">
        <v>31</v>
      </c>
      <c r="Y28" s="332">
        <v>7.8</v>
      </c>
      <c r="Z28" s="332">
        <v>7.1</v>
      </c>
      <c r="AA28" s="332">
        <v>8.4</v>
      </c>
      <c r="AB28" s="332">
        <v>8.4</v>
      </c>
      <c r="AC28" s="332">
        <v>8.1</v>
      </c>
      <c r="AD28" s="332">
        <v>8.5</v>
      </c>
      <c r="AE28" s="332">
        <v>7.8</v>
      </c>
      <c r="AF28" s="332">
        <v>8</v>
      </c>
      <c r="AG28" s="332">
        <v>9.1</v>
      </c>
      <c r="AH28" s="332">
        <v>8.4</v>
      </c>
      <c r="AI28" s="119" t="s">
        <v>31</v>
      </c>
      <c r="AJ28" s="332">
        <v>65.400000000000006</v>
      </c>
      <c r="AK28" s="332">
        <v>65.2</v>
      </c>
      <c r="AL28" s="332">
        <v>65.2</v>
      </c>
      <c r="AM28" s="332">
        <v>66.5</v>
      </c>
      <c r="AN28" s="332">
        <v>65.900000000000006</v>
      </c>
      <c r="AO28" s="332">
        <v>65.900000000000006</v>
      </c>
      <c r="AP28" s="332">
        <v>67</v>
      </c>
      <c r="AQ28" s="332">
        <v>66.3</v>
      </c>
      <c r="AR28" s="332">
        <v>67.2</v>
      </c>
      <c r="AS28" s="332">
        <v>66.2</v>
      </c>
      <c r="AT28" s="2" t="s">
        <v>31</v>
      </c>
      <c r="AU28" s="260">
        <v>4</v>
      </c>
      <c r="AV28" s="260">
        <v>3</v>
      </c>
      <c r="AW28" s="260">
        <v>3</v>
      </c>
      <c r="AX28" s="281"/>
      <c r="AY28" s="260">
        <v>6</v>
      </c>
      <c r="AZ28" s="260">
        <v>4</v>
      </c>
      <c r="BA28" s="260">
        <v>6</v>
      </c>
      <c r="BB28" s="260">
        <v>4</v>
      </c>
      <c r="BC28" s="260">
        <v>7</v>
      </c>
      <c r="BD28" s="260">
        <v>7</v>
      </c>
      <c r="BF28" s="186">
        <f>E28-'[1]Data-total_employment'!F28</f>
        <v>5.4000000000000057</v>
      </c>
      <c r="BG28" s="186">
        <f>F28-'[1]Data-total_employment'!G28</f>
        <v>9.0999999999999659</v>
      </c>
      <c r="BH28" s="186">
        <f>G28-'[1]Data-total_employment'!H28</f>
        <v>10.099999999999966</v>
      </c>
      <c r="BI28" s="186">
        <f>S28-'[1]Data-total_employment'!T28</f>
        <v>0.10000000000000142</v>
      </c>
      <c r="BJ28" s="186">
        <f>T28-'[1]Data-total_employment'!U28</f>
        <v>-1</v>
      </c>
      <c r="BK28" s="186">
        <f>U28-'[1]Data-total_employment'!V28</f>
        <v>-0.19999999999999929</v>
      </c>
      <c r="BL28" s="194">
        <f>AD28-'[1]Data-total_employment'!AE28</f>
        <v>1.2999999999999998</v>
      </c>
      <c r="BM28" s="194">
        <f>AE28-'[1]Data-total_employment'!AF28</f>
        <v>-0.79999999999999982</v>
      </c>
      <c r="BN28" s="194">
        <f>AF28-'[1]Data-total_employment'!AG28</f>
        <v>-0.30000000000000071</v>
      </c>
      <c r="BO28" s="203">
        <f>AK28-'[1]Data-total_employment'!AL28</f>
        <v>-1.8999999999999915</v>
      </c>
      <c r="BP28" s="203">
        <f>AL28-'[1]Data-total_employment'!AM28</f>
        <v>-0.29999999999999716</v>
      </c>
      <c r="BQ28" s="203">
        <f>AM28-'[1]Data-total_employment'!AN28</f>
        <v>0.70000000000000284</v>
      </c>
      <c r="BR28" s="203">
        <f>AZ28-'[1]Data-total_employment'!BA28</f>
        <v>1</v>
      </c>
      <c r="BS28" s="203">
        <f>BA28-'[1]Data-total_employment'!BB28</f>
        <v>6</v>
      </c>
      <c r="BT28" s="203">
        <f>BB28-'[1]Data-total_employment'!BC28</f>
        <v>-2</v>
      </c>
    </row>
    <row r="29" spans="1:72" ht="18">
      <c r="A29">
        <v>26</v>
      </c>
      <c r="B29" s="163" t="s">
        <v>56</v>
      </c>
      <c r="C29" s="332">
        <v>705</v>
      </c>
      <c r="D29" s="332">
        <v>709.5</v>
      </c>
      <c r="E29" s="332">
        <v>718.2</v>
      </c>
      <c r="F29" s="332">
        <v>723.2</v>
      </c>
      <c r="G29" s="332">
        <v>728.6</v>
      </c>
      <c r="H29" s="332">
        <v>733.1</v>
      </c>
      <c r="I29" s="332">
        <v>735.7</v>
      </c>
      <c r="J29" s="332">
        <v>736</v>
      </c>
      <c r="K29" s="332">
        <v>736.8</v>
      </c>
      <c r="L29" s="332">
        <v>743</v>
      </c>
      <c r="M29" s="153" t="s">
        <v>56</v>
      </c>
      <c r="N29" s="332">
        <v>3.1</v>
      </c>
      <c r="O29" s="332">
        <v>4.3</v>
      </c>
      <c r="P29" s="332">
        <v>5.6</v>
      </c>
      <c r="Q29" s="332">
        <v>5.7</v>
      </c>
      <c r="R29" s="332">
        <v>5.0999999999999996</v>
      </c>
      <c r="S29" s="332">
        <v>4</v>
      </c>
      <c r="T29" s="332">
        <v>3.3</v>
      </c>
      <c r="U29" s="332">
        <v>4.0999999999999996</v>
      </c>
      <c r="V29" s="332">
        <v>3.5</v>
      </c>
      <c r="W29" s="332">
        <v>3.6</v>
      </c>
      <c r="X29" s="154" t="s">
        <v>56</v>
      </c>
      <c r="Y29" s="332">
        <v>9.1999999999999993</v>
      </c>
      <c r="Z29" s="332">
        <v>10.5</v>
      </c>
      <c r="AA29" s="332">
        <v>10.6</v>
      </c>
      <c r="AB29" s="332">
        <v>11.2</v>
      </c>
      <c r="AC29" s="332">
        <v>11.1</v>
      </c>
      <c r="AD29" s="332">
        <v>10.4</v>
      </c>
      <c r="AE29" s="332">
        <v>10.7</v>
      </c>
      <c r="AF29" s="332">
        <v>10.9</v>
      </c>
      <c r="AG29" s="332">
        <v>11.1</v>
      </c>
      <c r="AH29" s="332">
        <v>11.8</v>
      </c>
      <c r="AI29" s="119" t="s">
        <v>56</v>
      </c>
      <c r="AJ29" s="332">
        <v>48.4</v>
      </c>
      <c r="AK29" s="332">
        <v>48.7</v>
      </c>
      <c r="AL29" s="332">
        <v>49.4</v>
      </c>
      <c r="AM29" s="332">
        <v>49.7</v>
      </c>
      <c r="AN29" s="332">
        <v>50.1</v>
      </c>
      <c r="AO29" s="332">
        <v>50.5</v>
      </c>
      <c r="AP29" s="332">
        <v>50.7</v>
      </c>
      <c r="AQ29" s="332">
        <v>50.8</v>
      </c>
      <c r="AR29" s="332">
        <v>50.9</v>
      </c>
      <c r="AS29" s="332">
        <v>51.3</v>
      </c>
      <c r="AT29" s="2" t="s">
        <v>56</v>
      </c>
      <c r="AU29" s="260">
        <v>45</v>
      </c>
      <c r="AV29" s="260">
        <v>30</v>
      </c>
      <c r="AW29" s="260">
        <v>39</v>
      </c>
      <c r="AX29" s="260">
        <v>21</v>
      </c>
      <c r="AY29" s="260">
        <v>45</v>
      </c>
      <c r="AZ29" s="260">
        <v>15</v>
      </c>
      <c r="BA29" s="260">
        <v>22</v>
      </c>
      <c r="BB29" s="260">
        <v>14</v>
      </c>
      <c r="BC29" s="260">
        <v>13</v>
      </c>
      <c r="BD29" s="260">
        <v>25</v>
      </c>
      <c r="BF29" s="186">
        <f>E29-'[1]Data-total_employment'!F29</f>
        <v>16.800000000000068</v>
      </c>
      <c r="BG29" s="186">
        <f>F29-'[1]Data-total_employment'!G29</f>
        <v>19.200000000000045</v>
      </c>
      <c r="BH29" s="186">
        <f>G29-'[1]Data-total_employment'!H29</f>
        <v>23.600000000000023</v>
      </c>
      <c r="BI29" s="186">
        <f>S29-'[1]Data-total_employment'!T29</f>
        <v>-0.29999999999999982</v>
      </c>
      <c r="BJ29" s="186">
        <f>T29-'[1]Data-total_employment'!U29</f>
        <v>-2.2999999999999998</v>
      </c>
      <c r="BK29" s="186">
        <f>U29-'[1]Data-total_employment'!V29</f>
        <v>-1.6000000000000005</v>
      </c>
      <c r="BL29" s="194">
        <f>AD29-'[1]Data-total_employment'!AE29</f>
        <v>-0.29999999999999893</v>
      </c>
      <c r="BM29" s="194">
        <f>AE29-'[1]Data-total_employment'!AF29</f>
        <v>0.19999999999999929</v>
      </c>
      <c r="BN29" s="194">
        <f>AF29-'[1]Data-total_employment'!AG29</f>
        <v>-0.5</v>
      </c>
      <c r="BO29" s="203">
        <f>AK29-'[1]Data-total_employment'!AL29</f>
        <v>1</v>
      </c>
      <c r="BP29" s="203">
        <f>AL29-'[1]Data-total_employment'!AM29</f>
        <v>1.2999999999999972</v>
      </c>
      <c r="BQ29" s="203">
        <f>AM29-'[1]Data-total_employment'!AN29</f>
        <v>1.4000000000000057</v>
      </c>
      <c r="BR29" s="203">
        <f>AZ29-'[1]Data-total_employment'!BA29</f>
        <v>-24</v>
      </c>
      <c r="BS29" s="203">
        <f>BA29-'[1]Data-total_employment'!BB29</f>
        <v>1</v>
      </c>
      <c r="BT29" s="203">
        <f>BB29-'[1]Data-total_employment'!BC29</f>
        <v>-31</v>
      </c>
    </row>
    <row r="30" spans="1:72" ht="18">
      <c r="A30">
        <v>27</v>
      </c>
      <c r="B30" s="163" t="s">
        <v>33</v>
      </c>
      <c r="C30" s="332">
        <v>198.6</v>
      </c>
      <c r="D30" s="332">
        <v>203.5</v>
      </c>
      <c r="E30" s="332">
        <v>208.7</v>
      </c>
      <c r="F30" s="332">
        <v>207.5</v>
      </c>
      <c r="G30" s="332">
        <v>208.8</v>
      </c>
      <c r="H30" s="332">
        <v>214.7</v>
      </c>
      <c r="I30" s="332">
        <v>220</v>
      </c>
      <c r="J30" s="332">
        <v>223.6</v>
      </c>
      <c r="K30" s="332">
        <v>222.7</v>
      </c>
      <c r="L30" s="332">
        <v>226.9</v>
      </c>
      <c r="M30" s="153" t="s">
        <v>33</v>
      </c>
      <c r="N30" s="332">
        <v>12.9</v>
      </c>
      <c r="O30" s="332">
        <v>13.2</v>
      </c>
      <c r="P30" s="332">
        <v>14.6</v>
      </c>
      <c r="Q30" s="332">
        <v>14.9</v>
      </c>
      <c r="R30" s="332">
        <v>13.6</v>
      </c>
      <c r="S30" s="332">
        <v>13.3</v>
      </c>
      <c r="T30" s="332">
        <v>13.6</v>
      </c>
      <c r="U30" s="332">
        <v>14.2</v>
      </c>
      <c r="V30" s="332">
        <v>13.2</v>
      </c>
      <c r="W30" s="332">
        <v>13</v>
      </c>
      <c r="X30" s="154" t="s">
        <v>33</v>
      </c>
      <c r="Y30" s="332">
        <v>6.4</v>
      </c>
      <c r="Z30" s="332">
        <v>6.4</v>
      </c>
      <c r="AA30" s="332">
        <v>6.5</v>
      </c>
      <c r="AB30" s="332">
        <v>7</v>
      </c>
      <c r="AC30" s="332">
        <v>5.6</v>
      </c>
      <c r="AD30" s="332">
        <v>5.2</v>
      </c>
      <c r="AE30" s="332">
        <v>4.5999999999999996</v>
      </c>
      <c r="AF30" s="332">
        <v>5.3</v>
      </c>
      <c r="AG30" s="332">
        <v>6.4</v>
      </c>
      <c r="AH30" s="332">
        <v>6.9</v>
      </c>
      <c r="AI30" s="119" t="s">
        <v>33</v>
      </c>
      <c r="AJ30" s="332">
        <v>65.7</v>
      </c>
      <c r="AK30" s="332">
        <v>67</v>
      </c>
      <c r="AL30" s="332">
        <v>68.400000000000006</v>
      </c>
      <c r="AM30" s="332">
        <v>67.8</v>
      </c>
      <c r="AN30" s="332">
        <v>67.599999999999994</v>
      </c>
      <c r="AO30" s="332">
        <v>68.900000000000006</v>
      </c>
      <c r="AP30" s="332">
        <v>69.900000000000006</v>
      </c>
      <c r="AQ30" s="332">
        <v>70.5</v>
      </c>
      <c r="AR30" s="332">
        <v>69.7</v>
      </c>
      <c r="AS30" s="332">
        <v>70.599999999999994</v>
      </c>
      <c r="AT30" s="2" t="s">
        <v>33</v>
      </c>
      <c r="AU30" s="281"/>
      <c r="AV30" s="260">
        <v>2</v>
      </c>
      <c r="AW30" s="260">
        <v>3</v>
      </c>
      <c r="AX30" s="281"/>
      <c r="AY30" s="260">
        <v>2</v>
      </c>
      <c r="AZ30" s="281"/>
      <c r="BA30" s="281"/>
      <c r="BB30" s="281"/>
      <c r="BC30" s="260">
        <v>2</v>
      </c>
      <c r="BD30" s="260">
        <v>3</v>
      </c>
      <c r="BF30" s="186">
        <f>E30-'[1]Data-total_employment'!F30</f>
        <v>22.699999999999989</v>
      </c>
      <c r="BG30" s="186">
        <f>F30-'[1]Data-total_employment'!G30</f>
        <v>25.199999999999989</v>
      </c>
      <c r="BH30" s="186">
        <f>G30-'[1]Data-total_employment'!H30</f>
        <v>25.300000000000011</v>
      </c>
      <c r="BI30" s="186">
        <f>S30-'[1]Data-total_employment'!T30</f>
        <v>-1</v>
      </c>
      <c r="BJ30" s="186">
        <f>T30-'[1]Data-total_employment'!U30</f>
        <v>-0.59999999999999964</v>
      </c>
      <c r="BK30" s="186">
        <f>U30-'[1]Data-total_employment'!V30</f>
        <v>0.39999999999999858</v>
      </c>
      <c r="BL30" s="194">
        <f>AD30-'[1]Data-total_employment'!AE30</f>
        <v>-1.0999999999999996</v>
      </c>
      <c r="BM30" s="194">
        <f>AE30-'[1]Data-total_employment'!AF30</f>
        <v>-1.9000000000000004</v>
      </c>
      <c r="BN30" s="194">
        <f>AF30-'[1]Data-total_employment'!AG30</f>
        <v>-1.4000000000000004</v>
      </c>
      <c r="BO30" s="203">
        <f>AK30-'[1]Data-total_employment'!AL30</f>
        <v>3.1000000000000014</v>
      </c>
      <c r="BP30" s="203">
        <f>AL30-'[1]Data-total_employment'!AM30</f>
        <v>3.2000000000000028</v>
      </c>
      <c r="BQ30" s="203">
        <f>AM30-'[1]Data-total_employment'!AN30</f>
        <v>3.8999999999999986</v>
      </c>
      <c r="BR30" s="203">
        <f>AZ30-'[1]Data-total_employment'!BA30</f>
        <v>0</v>
      </c>
      <c r="BS30" s="203">
        <f>BA30-'[1]Data-total_employment'!BB30</f>
        <v>0</v>
      </c>
      <c r="BT30" s="203">
        <f>BB30-'[1]Data-total_employment'!BC30</f>
        <v>0</v>
      </c>
    </row>
    <row r="31" spans="1:72" ht="18">
      <c r="A31">
        <v>28</v>
      </c>
      <c r="B31" s="163" t="s">
        <v>34</v>
      </c>
      <c r="C31" s="332">
        <v>8113.1</v>
      </c>
      <c r="D31" s="332">
        <v>8212.7000000000007</v>
      </c>
      <c r="E31" s="332">
        <v>8278.9</v>
      </c>
      <c r="F31" s="332">
        <v>8288.9</v>
      </c>
      <c r="G31" s="332">
        <v>8282.6</v>
      </c>
      <c r="H31" s="332">
        <v>8360</v>
      </c>
      <c r="I31" s="332">
        <v>8424.2000000000007</v>
      </c>
      <c r="J31" s="332">
        <v>8438.9</v>
      </c>
      <c r="K31" s="332">
        <v>8433.2999999999993</v>
      </c>
      <c r="L31" s="332">
        <v>8518.4</v>
      </c>
      <c r="M31" s="153" t="s">
        <v>34</v>
      </c>
      <c r="N31" s="332">
        <v>50</v>
      </c>
      <c r="O31" s="332">
        <v>49.8</v>
      </c>
      <c r="P31" s="332">
        <v>49.5</v>
      </c>
      <c r="Q31" s="332">
        <v>49.4</v>
      </c>
      <c r="R31" s="332">
        <v>49.8</v>
      </c>
      <c r="S31" s="332">
        <v>49.9</v>
      </c>
      <c r="T31" s="332">
        <v>49.5</v>
      </c>
      <c r="U31" s="332">
        <v>50.1</v>
      </c>
      <c r="V31" s="332">
        <v>50.1</v>
      </c>
      <c r="W31" s="332">
        <v>50.4</v>
      </c>
      <c r="X31" s="154" t="s">
        <v>34</v>
      </c>
      <c r="Y31" s="332">
        <v>16.8</v>
      </c>
      <c r="Z31" s="332">
        <v>17.100000000000001</v>
      </c>
      <c r="AA31" s="332">
        <v>17.2</v>
      </c>
      <c r="AB31" s="332">
        <v>17.600000000000001</v>
      </c>
      <c r="AC31" s="332">
        <v>18</v>
      </c>
      <c r="AD31" s="332">
        <v>18.100000000000001</v>
      </c>
      <c r="AE31" s="332">
        <v>18.2</v>
      </c>
      <c r="AF31" s="332">
        <v>18.100000000000001</v>
      </c>
      <c r="AG31" s="332">
        <v>17.899999999999999</v>
      </c>
      <c r="AH31" s="332">
        <v>17.899999999999999</v>
      </c>
      <c r="AI31" s="119" t="s">
        <v>34</v>
      </c>
      <c r="AJ31" s="332">
        <v>74</v>
      </c>
      <c r="AK31" s="332">
        <v>74.8</v>
      </c>
      <c r="AL31" s="332">
        <v>75.3</v>
      </c>
      <c r="AM31" s="332">
        <v>75.2</v>
      </c>
      <c r="AN31" s="332">
        <v>75.099999999999994</v>
      </c>
      <c r="AO31" s="332">
        <v>75.7</v>
      </c>
      <c r="AP31" s="332">
        <v>76.3</v>
      </c>
      <c r="AQ31" s="332">
        <v>76.3</v>
      </c>
      <c r="AR31" s="332">
        <v>76.2</v>
      </c>
      <c r="AS31" s="332">
        <v>77</v>
      </c>
      <c r="AT31" s="2" t="s">
        <v>34</v>
      </c>
      <c r="AU31" s="260">
        <v>115</v>
      </c>
      <c r="AV31" s="260">
        <v>105</v>
      </c>
      <c r="AW31" s="260">
        <v>153</v>
      </c>
      <c r="AX31" s="260">
        <v>134</v>
      </c>
      <c r="AY31" s="260">
        <v>126</v>
      </c>
      <c r="AZ31" s="260">
        <v>102</v>
      </c>
      <c r="BA31" s="260">
        <v>133</v>
      </c>
      <c r="BB31" s="260">
        <v>121</v>
      </c>
      <c r="BC31" s="260">
        <v>110</v>
      </c>
      <c r="BD31" s="260">
        <v>95</v>
      </c>
      <c r="BF31" s="186">
        <f>E31-'[1]Data-total_employment'!F31</f>
        <v>125.79999999999927</v>
      </c>
      <c r="BG31" s="186">
        <f>F31-'[1]Data-total_employment'!G31</f>
        <v>155.29999999999927</v>
      </c>
      <c r="BH31" s="186">
        <f>G31-'[1]Data-total_employment'!H31</f>
        <v>169.5</v>
      </c>
      <c r="BI31" s="186">
        <f>S31-'[1]Data-total_employment'!T31</f>
        <v>0.10000000000000142</v>
      </c>
      <c r="BJ31" s="186">
        <f>T31-'[1]Data-total_employment'!U31</f>
        <v>0</v>
      </c>
      <c r="BK31" s="186">
        <f>U31-'[1]Data-total_employment'!V31</f>
        <v>0.70000000000000284</v>
      </c>
      <c r="BL31" s="194">
        <f>AD31-'[1]Data-total_employment'!AE31</f>
        <v>1</v>
      </c>
      <c r="BM31" s="194">
        <f>AE31-'[1]Data-total_employment'!AF31</f>
        <v>1</v>
      </c>
      <c r="BN31" s="194">
        <f>AF31-'[1]Data-total_employment'!AG31</f>
        <v>0.5</v>
      </c>
      <c r="BO31" s="203">
        <f>AK31-'[1]Data-total_employment'!AL31</f>
        <v>0.59999999999999432</v>
      </c>
      <c r="BP31" s="203">
        <f>AL31-'[1]Data-total_employment'!AM31</f>
        <v>0.79999999999999716</v>
      </c>
      <c r="BQ31" s="203">
        <f>AM31-'[1]Data-total_employment'!AN31</f>
        <v>0.90000000000000568</v>
      </c>
      <c r="BR31" s="203">
        <f>AZ31-'[1]Data-total_employment'!BA31</f>
        <v>-51</v>
      </c>
      <c r="BS31" s="203">
        <f>BA31-'[1]Data-total_employment'!BB31</f>
        <v>-1</v>
      </c>
      <c r="BT31" s="203">
        <f>BB31-'[1]Data-total_employment'!BC31</f>
        <v>-5</v>
      </c>
    </row>
    <row r="32" spans="1:72" ht="18">
      <c r="A32">
        <v>29</v>
      </c>
      <c r="B32" s="163" t="s">
        <v>45</v>
      </c>
      <c r="C32" s="332">
        <v>2538</v>
      </c>
      <c r="D32" s="332">
        <v>2542.4</v>
      </c>
      <c r="E32" s="332">
        <v>2561.3000000000002</v>
      </c>
      <c r="F32" s="332">
        <v>2536.8000000000002</v>
      </c>
      <c r="G32" s="332">
        <v>2528.6</v>
      </c>
      <c r="H32" s="332">
        <v>2554.6</v>
      </c>
      <c r="I32" s="332">
        <v>2564.1</v>
      </c>
      <c r="J32" s="332">
        <v>2551.1999999999998</v>
      </c>
      <c r="K32" s="332">
        <v>2559.3000000000002</v>
      </c>
      <c r="L32" s="332">
        <v>2592</v>
      </c>
      <c r="M32" s="153" t="s">
        <v>45</v>
      </c>
      <c r="N32" s="332">
        <v>26.6</v>
      </c>
      <c r="O32" s="332">
        <v>26.6</v>
      </c>
      <c r="P32" s="332">
        <v>25.2</v>
      </c>
      <c r="Q32" s="332">
        <v>25.7</v>
      </c>
      <c r="R32" s="332">
        <v>26</v>
      </c>
      <c r="S32" s="332">
        <v>25.4</v>
      </c>
      <c r="T32" s="332">
        <v>24.9</v>
      </c>
      <c r="U32" s="332">
        <v>25.4</v>
      </c>
      <c r="V32" s="332">
        <v>26</v>
      </c>
      <c r="W32" s="332">
        <v>26</v>
      </c>
      <c r="X32" s="154" t="s">
        <v>45</v>
      </c>
      <c r="Y32" s="332">
        <v>8.3000000000000007</v>
      </c>
      <c r="Z32" s="332">
        <v>8.3000000000000007</v>
      </c>
      <c r="AA32" s="332">
        <v>8.1999999999999993</v>
      </c>
      <c r="AB32" s="332">
        <v>8</v>
      </c>
      <c r="AC32" s="332">
        <v>7.8</v>
      </c>
      <c r="AD32" s="332">
        <v>8.1</v>
      </c>
      <c r="AE32" s="332">
        <v>8.1</v>
      </c>
      <c r="AF32" s="332">
        <v>8</v>
      </c>
      <c r="AG32" s="332">
        <v>7.9</v>
      </c>
      <c r="AH32" s="332">
        <v>7.8</v>
      </c>
      <c r="AI32" s="119" t="s">
        <v>45</v>
      </c>
      <c r="AJ32" s="332">
        <v>74.2</v>
      </c>
      <c r="AK32" s="332">
        <v>74.400000000000006</v>
      </c>
      <c r="AL32" s="332">
        <v>74.7</v>
      </c>
      <c r="AM32" s="332">
        <v>73.900000000000006</v>
      </c>
      <c r="AN32" s="332">
        <v>73.5</v>
      </c>
      <c r="AO32" s="332">
        <v>74.2</v>
      </c>
      <c r="AP32" s="332">
        <v>74.400000000000006</v>
      </c>
      <c r="AQ32" s="332">
        <v>73.900000000000006</v>
      </c>
      <c r="AR32" s="332">
        <v>74.099999999999994</v>
      </c>
      <c r="AS32" s="332">
        <v>75</v>
      </c>
      <c r="AT32" s="2" t="s">
        <v>45</v>
      </c>
      <c r="AU32" s="260">
        <v>38</v>
      </c>
      <c r="AV32" s="260">
        <v>27</v>
      </c>
      <c r="AW32" s="260">
        <v>32</v>
      </c>
      <c r="AX32" s="260">
        <v>36</v>
      </c>
      <c r="AY32" s="260">
        <v>37</v>
      </c>
      <c r="AZ32" s="260">
        <v>25</v>
      </c>
      <c r="BA32" s="260">
        <v>33</v>
      </c>
      <c r="BB32" s="260">
        <v>28</v>
      </c>
      <c r="BC32" s="260">
        <v>34</v>
      </c>
      <c r="BD32" s="260">
        <v>23</v>
      </c>
      <c r="BF32" s="186">
        <f>E32-'[1]Data-total_employment'!F32</f>
        <v>1</v>
      </c>
      <c r="BG32" s="186">
        <f>F32-'[1]Data-total_employment'!G32</f>
        <v>-3.1999999999998181</v>
      </c>
      <c r="BH32" s="186">
        <f>G32-'[1]Data-total_employment'!H32</f>
        <v>-9.4000000000000909</v>
      </c>
      <c r="BI32" s="186">
        <f>S32-'[1]Data-total_employment'!T32</f>
        <v>-1.2000000000000028</v>
      </c>
      <c r="BJ32" s="186">
        <f>T32-'[1]Data-total_employment'!U32</f>
        <v>-0.30000000000000071</v>
      </c>
      <c r="BK32" s="186">
        <f>U32-'[1]Data-total_employment'!V32</f>
        <v>-0.30000000000000071</v>
      </c>
      <c r="BL32" s="194">
        <f>AD32-'[1]Data-total_employment'!AE32</f>
        <v>-0.30000000000000071</v>
      </c>
      <c r="BM32" s="194">
        <f>AE32-'[1]Data-total_employment'!AF32</f>
        <v>-0.80000000000000071</v>
      </c>
      <c r="BN32" s="194">
        <f>AF32-'[1]Data-total_employment'!AG32</f>
        <v>0.29999999999999982</v>
      </c>
      <c r="BO32" s="203">
        <f>AK32-'[1]Data-total_employment'!AL32</f>
        <v>-0.79999999999999716</v>
      </c>
      <c r="BP32" s="203">
        <f>AL32-'[1]Data-total_employment'!AM32</f>
        <v>-0.5</v>
      </c>
      <c r="BQ32" s="203">
        <f>AM32-'[1]Data-total_employment'!AN32</f>
        <v>-0.5</v>
      </c>
      <c r="BR32" s="203">
        <f>AZ32-'[1]Data-total_employment'!BA32</f>
        <v>-7</v>
      </c>
      <c r="BS32" s="203">
        <f>BA32-'[1]Data-total_employment'!BB32</f>
        <v>-3</v>
      </c>
      <c r="BT32" s="203">
        <f>BB32-'[1]Data-total_employment'!BC32</f>
        <v>-9</v>
      </c>
    </row>
    <row r="33" spans="1:72" ht="18">
      <c r="A33">
        <v>30</v>
      </c>
      <c r="B33" s="163" t="s">
        <v>36</v>
      </c>
      <c r="C33" s="332">
        <v>15731.1</v>
      </c>
      <c r="D33" s="332">
        <v>15901.7</v>
      </c>
      <c r="E33" s="332">
        <v>15960.6</v>
      </c>
      <c r="F33" s="332">
        <v>16014</v>
      </c>
      <c r="G33" s="332">
        <v>15950</v>
      </c>
      <c r="H33" s="332">
        <v>16158.3</v>
      </c>
      <c r="I33" s="332">
        <v>16145.9</v>
      </c>
      <c r="J33" s="332">
        <v>16061</v>
      </c>
      <c r="K33" s="332">
        <v>16009.6</v>
      </c>
      <c r="L33" s="332">
        <v>16226.3</v>
      </c>
      <c r="M33" s="153" t="s">
        <v>36</v>
      </c>
      <c r="N33" s="332">
        <v>6.6</v>
      </c>
      <c r="O33" s="332">
        <v>6.3</v>
      </c>
      <c r="P33" s="332">
        <v>6.2</v>
      </c>
      <c r="Q33" s="332">
        <v>6.6</v>
      </c>
      <c r="R33" s="332">
        <v>6.7</v>
      </c>
      <c r="S33" s="332">
        <v>6.7</v>
      </c>
      <c r="T33" s="332">
        <v>6.4</v>
      </c>
      <c r="U33" s="332">
        <v>6.4</v>
      </c>
      <c r="V33" s="332">
        <v>6.5</v>
      </c>
      <c r="W33" s="332">
        <v>6.7</v>
      </c>
      <c r="X33" s="154" t="s">
        <v>36</v>
      </c>
      <c r="Y33" s="332">
        <v>22.3</v>
      </c>
      <c r="Z33" s="332">
        <v>22.2</v>
      </c>
      <c r="AA33" s="332">
        <v>21.8</v>
      </c>
      <c r="AB33" s="332">
        <v>21.5</v>
      </c>
      <c r="AC33" s="332">
        <v>21.1</v>
      </c>
      <c r="AD33" s="332">
        <v>21.3</v>
      </c>
      <c r="AE33" s="332">
        <v>20.8</v>
      </c>
      <c r="AF33" s="332">
        <v>20.5</v>
      </c>
      <c r="AG33" s="332">
        <v>20.399999999999999</v>
      </c>
      <c r="AH33" s="332">
        <v>19.7</v>
      </c>
      <c r="AI33" s="119" t="s">
        <v>36</v>
      </c>
      <c r="AJ33" s="332">
        <v>63.7</v>
      </c>
      <c r="AK33" s="332">
        <v>64.3</v>
      </c>
      <c r="AL33" s="332">
        <v>64.900000000000006</v>
      </c>
      <c r="AM33" s="332">
        <v>65.099999999999994</v>
      </c>
      <c r="AN33" s="332">
        <v>65.400000000000006</v>
      </c>
      <c r="AO33" s="332">
        <v>66.2</v>
      </c>
      <c r="AP33" s="332">
        <v>66.5</v>
      </c>
      <c r="AQ33" s="332">
        <v>66.400000000000006</v>
      </c>
      <c r="AR33" s="332">
        <v>66.599999999999994</v>
      </c>
      <c r="AS33" s="332">
        <v>67.7</v>
      </c>
      <c r="AT33" s="2" t="s">
        <v>36</v>
      </c>
      <c r="AU33" s="260">
        <v>173</v>
      </c>
      <c r="AV33" s="260">
        <v>124</v>
      </c>
      <c r="AW33" s="260">
        <v>247</v>
      </c>
      <c r="AX33" s="260">
        <v>166</v>
      </c>
      <c r="AY33" s="260">
        <v>185</v>
      </c>
      <c r="AZ33" s="260">
        <v>107</v>
      </c>
      <c r="BA33" s="260">
        <v>189</v>
      </c>
      <c r="BB33" s="260">
        <v>168</v>
      </c>
      <c r="BC33" s="260">
        <v>115</v>
      </c>
      <c r="BD33" s="260">
        <v>126</v>
      </c>
      <c r="BF33" s="186">
        <f>E33-'[1]Data-total_employment'!F33</f>
        <v>-1.7999999999992724</v>
      </c>
      <c r="BG33" s="186">
        <f>F33-'[1]Data-total_employment'!G33</f>
        <v>13.299999999999272</v>
      </c>
      <c r="BH33" s="186">
        <f>G33-'[1]Data-total_employment'!H33</f>
        <v>218.89999999999964</v>
      </c>
      <c r="BI33" s="186">
        <f>S33-'[1]Data-total_employment'!T33</f>
        <v>0.40000000000000036</v>
      </c>
      <c r="BJ33" s="186">
        <f>T33-'[1]Data-total_employment'!U33</f>
        <v>0.20000000000000018</v>
      </c>
      <c r="BK33" s="186">
        <f>U33-'[1]Data-total_employment'!V33</f>
        <v>-0.19999999999999929</v>
      </c>
      <c r="BL33" s="194">
        <f>AD33-'[1]Data-total_employment'!AE33</f>
        <v>-0.89999999999999858</v>
      </c>
      <c r="BM33" s="194">
        <f>AE33-'[1]Data-total_employment'!AF33</f>
        <v>-1</v>
      </c>
      <c r="BN33" s="194">
        <f>AF33-'[1]Data-total_employment'!AG33</f>
        <v>-0.89999999999999858</v>
      </c>
      <c r="BO33" s="203">
        <f>AK33-'[1]Data-total_employment'!AL33</f>
        <v>1.6999999999999957</v>
      </c>
      <c r="BP33" s="203">
        <f>AL33-'[1]Data-total_employment'!AM33</f>
        <v>1.4000000000000057</v>
      </c>
      <c r="BQ33" s="203">
        <f>AM33-'[1]Data-total_employment'!AN33</f>
        <v>1.3999999999999915</v>
      </c>
      <c r="BR33" s="203">
        <f>AZ33-'[1]Data-total_employment'!BA33</f>
        <v>-140</v>
      </c>
      <c r="BS33" s="203">
        <f>BA33-'[1]Data-total_employment'!BB33</f>
        <v>23</v>
      </c>
      <c r="BT33" s="203">
        <f>BB33-'[1]Data-total_employment'!BC33</f>
        <v>-17</v>
      </c>
    </row>
    <row r="34" spans="1:72" ht="18">
      <c r="A34">
        <v>31</v>
      </c>
      <c r="B34" s="163" t="s">
        <v>37</v>
      </c>
      <c r="C34" s="332">
        <v>4298.3</v>
      </c>
      <c r="D34" s="332">
        <v>4369.3999999999996</v>
      </c>
      <c r="E34" s="332">
        <v>4416.7</v>
      </c>
      <c r="F34" s="332">
        <v>4400.5</v>
      </c>
      <c r="G34" s="332">
        <v>4426.8999999999996</v>
      </c>
      <c r="H34" s="332">
        <v>4502.8</v>
      </c>
      <c r="I34" s="332">
        <v>4558.3999999999996</v>
      </c>
      <c r="J34" s="332">
        <v>4573.6000000000004</v>
      </c>
      <c r="K34" s="332">
        <v>4570.8999999999996</v>
      </c>
      <c r="L34" s="332">
        <v>4624.8999999999996</v>
      </c>
      <c r="M34" s="153" t="s">
        <v>37</v>
      </c>
      <c r="N34" s="332">
        <v>9.6999999999999993</v>
      </c>
      <c r="O34" s="332">
        <v>9.4</v>
      </c>
      <c r="P34" s="332">
        <v>9.1999999999999993</v>
      </c>
      <c r="Q34" s="332">
        <v>9.5</v>
      </c>
      <c r="R34" s="332">
        <v>9.6</v>
      </c>
      <c r="S34" s="332">
        <v>9</v>
      </c>
      <c r="T34" s="332">
        <v>8</v>
      </c>
      <c r="U34" s="332">
        <v>8.8000000000000007</v>
      </c>
      <c r="V34" s="332">
        <v>8.5</v>
      </c>
      <c r="W34" s="332">
        <v>7.9</v>
      </c>
      <c r="X34" s="154" t="s">
        <v>37</v>
      </c>
      <c r="Y34" s="332">
        <v>19.2</v>
      </c>
      <c r="Z34" s="332">
        <v>19.2</v>
      </c>
      <c r="AA34" s="332">
        <v>18.8</v>
      </c>
      <c r="AB34" s="332">
        <v>19.100000000000001</v>
      </c>
      <c r="AC34" s="332">
        <v>18.5</v>
      </c>
      <c r="AD34" s="332">
        <v>18.899999999999999</v>
      </c>
      <c r="AE34" s="332">
        <v>19.2</v>
      </c>
      <c r="AF34" s="332">
        <v>19.2</v>
      </c>
      <c r="AG34" s="332">
        <v>19.100000000000001</v>
      </c>
      <c r="AH34" s="332">
        <v>19</v>
      </c>
      <c r="AI34" s="119" t="s">
        <v>37</v>
      </c>
      <c r="AJ34" s="332">
        <v>64</v>
      </c>
      <c r="AK34" s="332">
        <v>65.099999999999994</v>
      </c>
      <c r="AL34" s="332">
        <v>66</v>
      </c>
      <c r="AM34" s="332">
        <v>65.900000000000006</v>
      </c>
      <c r="AN34" s="332">
        <v>66.3</v>
      </c>
      <c r="AO34" s="332">
        <v>67.599999999999994</v>
      </c>
      <c r="AP34" s="332">
        <v>68.5</v>
      </c>
      <c r="AQ34" s="332">
        <v>68.900000000000006</v>
      </c>
      <c r="AR34" s="332">
        <v>68.900000000000006</v>
      </c>
      <c r="AS34" s="332">
        <v>69.8</v>
      </c>
      <c r="AT34" s="2" t="s">
        <v>37</v>
      </c>
      <c r="AU34" s="260">
        <v>134</v>
      </c>
      <c r="AV34" s="260">
        <v>128</v>
      </c>
      <c r="AW34" s="260">
        <v>144</v>
      </c>
      <c r="AX34" s="260">
        <v>129</v>
      </c>
      <c r="AY34" s="260">
        <v>118</v>
      </c>
      <c r="AZ34" s="260">
        <v>120</v>
      </c>
      <c r="BA34" s="260">
        <v>134</v>
      </c>
      <c r="BB34" s="260">
        <v>115</v>
      </c>
      <c r="BC34" s="260">
        <v>118</v>
      </c>
      <c r="BD34" s="260">
        <v>98</v>
      </c>
      <c r="BF34" s="186">
        <f>E34-'[1]Data-total_employment'!F34</f>
        <v>80.899999999999636</v>
      </c>
      <c r="BG34" s="186">
        <f>F34-'[1]Data-total_employment'!G34</f>
        <v>81.800000000000182</v>
      </c>
      <c r="BH34" s="186">
        <f>G34-'[1]Data-total_employment'!H34</f>
        <v>128.59999999999945</v>
      </c>
      <c r="BI34" s="186">
        <f>S34-'[1]Data-total_employment'!T34</f>
        <v>-0.40000000000000036</v>
      </c>
      <c r="BJ34" s="186">
        <f>T34-'[1]Data-total_employment'!U34</f>
        <v>-1.1999999999999993</v>
      </c>
      <c r="BK34" s="186">
        <f>U34-'[1]Data-total_employment'!V34</f>
        <v>-0.69999999999999929</v>
      </c>
      <c r="BL34" s="194">
        <f>AD34-'[1]Data-total_employment'!AE34</f>
        <v>-0.30000000000000071</v>
      </c>
      <c r="BM34" s="194">
        <f>AE34-'[1]Data-total_employment'!AF34</f>
        <v>0.39999999999999858</v>
      </c>
      <c r="BN34" s="194">
        <f>AF34-'[1]Data-total_employment'!AG34</f>
        <v>0.19999999999999929</v>
      </c>
      <c r="BO34" s="203">
        <f>AK34-'[1]Data-total_employment'!AL34</f>
        <v>0.89999999999999147</v>
      </c>
      <c r="BP34" s="203">
        <f>AL34-'[1]Data-total_employment'!AM34</f>
        <v>1.5999999999999943</v>
      </c>
      <c r="BQ34" s="203">
        <f>AM34-'[1]Data-total_employment'!AN34</f>
        <v>1.6000000000000085</v>
      </c>
      <c r="BR34" s="203">
        <f>AZ34-'[1]Data-total_employment'!BA34</f>
        <v>-24</v>
      </c>
      <c r="BS34" s="203">
        <f>BA34-'[1]Data-total_employment'!BB34</f>
        <v>5</v>
      </c>
      <c r="BT34" s="203">
        <f>BB34-'[1]Data-total_employment'!BC34</f>
        <v>-3</v>
      </c>
    </row>
    <row r="35" spans="1:72" ht="18">
      <c r="A35">
        <v>32</v>
      </c>
      <c r="B35" s="163" t="s">
        <v>38</v>
      </c>
      <c r="C35" s="332">
        <v>7960.4</v>
      </c>
      <c r="D35" s="332">
        <v>8225.4</v>
      </c>
      <c r="E35" s="332">
        <v>8334.5</v>
      </c>
      <c r="F35" s="332">
        <v>8144</v>
      </c>
      <c r="G35" s="332">
        <v>8055.8</v>
      </c>
      <c r="H35" s="332">
        <v>8615.5</v>
      </c>
      <c r="I35" s="332">
        <v>8514.9</v>
      </c>
      <c r="J35" s="332">
        <v>8266.7000000000007</v>
      </c>
      <c r="K35" s="332">
        <v>8189.9</v>
      </c>
      <c r="L35" s="332">
        <v>8506.7000000000007</v>
      </c>
      <c r="M35" s="153" t="s">
        <v>38</v>
      </c>
      <c r="N35" s="332">
        <v>7.9</v>
      </c>
      <c r="O35" s="332">
        <v>7.6</v>
      </c>
      <c r="P35" s="332">
        <v>7.6</v>
      </c>
      <c r="Q35" s="332">
        <v>6.7</v>
      </c>
      <c r="R35" s="332">
        <v>6.4</v>
      </c>
      <c r="S35" s="332">
        <v>7.8</v>
      </c>
      <c r="T35" s="332">
        <v>6.8</v>
      </c>
      <c r="U35" s="332">
        <v>6.1</v>
      </c>
      <c r="V35" s="332">
        <v>6.8</v>
      </c>
      <c r="W35" s="332">
        <v>7</v>
      </c>
      <c r="X35" s="154" t="s">
        <v>38</v>
      </c>
      <c r="Y35" s="332">
        <v>1</v>
      </c>
      <c r="Z35" s="332">
        <v>1</v>
      </c>
      <c r="AA35" s="332">
        <v>1</v>
      </c>
      <c r="AB35" s="332">
        <v>1.1000000000000001</v>
      </c>
      <c r="AC35" s="332">
        <v>0.9</v>
      </c>
      <c r="AD35" s="332">
        <v>0.8</v>
      </c>
      <c r="AE35" s="332">
        <v>0.9</v>
      </c>
      <c r="AF35" s="332">
        <v>1</v>
      </c>
      <c r="AG35" s="332">
        <v>0.9</v>
      </c>
      <c r="AH35" s="332">
        <v>0.7</v>
      </c>
      <c r="AI35" s="119" t="s">
        <v>38</v>
      </c>
      <c r="AJ35" s="332">
        <v>59.8</v>
      </c>
      <c r="AK35" s="332">
        <v>61.8</v>
      </c>
      <c r="AL35" s="332">
        <v>63.1</v>
      </c>
      <c r="AM35" s="332">
        <v>61.6</v>
      </c>
      <c r="AN35" s="332">
        <v>61.2</v>
      </c>
      <c r="AO35" s="332">
        <v>65.5</v>
      </c>
      <c r="AP35" s="332">
        <v>65.3</v>
      </c>
      <c r="AQ35" s="332">
        <v>63.4</v>
      </c>
      <c r="AR35" s="332">
        <v>63.1</v>
      </c>
      <c r="AS35" s="332">
        <v>65.5</v>
      </c>
      <c r="AT35" s="2" t="s">
        <v>38</v>
      </c>
      <c r="AU35" s="260">
        <v>47</v>
      </c>
      <c r="AV35" s="260">
        <v>32</v>
      </c>
      <c r="AW35" s="260">
        <v>68</v>
      </c>
      <c r="AX35" s="260">
        <v>62</v>
      </c>
      <c r="AY35" s="260">
        <v>46</v>
      </c>
      <c r="AZ35" s="260">
        <v>45</v>
      </c>
      <c r="BA35" s="260">
        <v>87</v>
      </c>
      <c r="BB35" s="260">
        <v>39</v>
      </c>
      <c r="BC35" s="260">
        <v>44</v>
      </c>
      <c r="BD35" s="260">
        <v>30</v>
      </c>
      <c r="BF35" s="186">
        <f>E35-'[1]Data-total_employment'!F35</f>
        <v>-108.20000000000073</v>
      </c>
      <c r="BG35" s="186">
        <f>F35-'[1]Data-total_employment'!G35</f>
        <v>-64</v>
      </c>
      <c r="BH35" s="186">
        <f>G35-'[1]Data-total_employment'!H35</f>
        <v>95.400000000000546</v>
      </c>
      <c r="BI35" s="186">
        <f>S35-'[1]Data-total_employment'!T35</f>
        <v>0.20000000000000018</v>
      </c>
      <c r="BJ35" s="186">
        <f>T35-'[1]Data-total_employment'!U35</f>
        <v>-0.79999999999999982</v>
      </c>
      <c r="BK35" s="186">
        <f>U35-'[1]Data-total_employment'!V35</f>
        <v>-0.60000000000000053</v>
      </c>
      <c r="BL35" s="194">
        <f>AD35-'[1]Data-total_employment'!AE35</f>
        <v>-0.19999999999999996</v>
      </c>
      <c r="BM35" s="194">
        <f>AE35-'[1]Data-total_employment'!AF35</f>
        <v>-9.9999999999999978E-2</v>
      </c>
      <c r="BN35" s="194">
        <f>AF35-'[1]Data-total_employment'!AG35</f>
        <v>0</v>
      </c>
      <c r="BO35" s="203">
        <f>AK35-'[1]Data-total_employment'!AL35</f>
        <v>-0.20000000000000284</v>
      </c>
      <c r="BP35" s="203">
        <f>AL35-'[1]Data-total_employment'!AM35</f>
        <v>-0.10000000000000142</v>
      </c>
      <c r="BQ35" s="203">
        <f>AM35-'[1]Data-total_employment'!AN35</f>
        <v>0.20000000000000284</v>
      </c>
      <c r="BR35" s="203">
        <f>AZ35-'[1]Data-total_employment'!BA35</f>
        <v>-23</v>
      </c>
      <c r="BS35" s="203">
        <f>BA35-'[1]Data-total_employment'!BB35</f>
        <v>25</v>
      </c>
      <c r="BT35" s="203">
        <f>BB35-'[1]Data-total_employment'!BC35</f>
        <v>-7</v>
      </c>
    </row>
    <row r="36" spans="1:72" ht="18">
      <c r="A36">
        <v>33</v>
      </c>
      <c r="B36" s="163" t="s">
        <v>40</v>
      </c>
      <c r="C36" s="332">
        <v>2442.6</v>
      </c>
      <c r="D36" s="332">
        <v>2472.8000000000002</v>
      </c>
      <c r="E36" s="332">
        <v>2482.1999999999998</v>
      </c>
      <c r="F36" s="332">
        <v>2489.3000000000002</v>
      </c>
      <c r="G36" s="332">
        <v>2486.5</v>
      </c>
      <c r="H36" s="332">
        <v>2499.4</v>
      </c>
      <c r="I36" s="332">
        <v>2511.1</v>
      </c>
      <c r="J36" s="332">
        <v>2511.3000000000002</v>
      </c>
      <c r="K36" s="332">
        <v>2514</v>
      </c>
      <c r="L36" s="332">
        <v>2516.6</v>
      </c>
      <c r="M36" s="153" t="s">
        <v>40</v>
      </c>
      <c r="N36" s="332">
        <v>5.6</v>
      </c>
      <c r="O36" s="332">
        <v>5.8</v>
      </c>
      <c r="P36" s="332">
        <v>5.7</v>
      </c>
      <c r="Q36" s="332">
        <v>6</v>
      </c>
      <c r="R36" s="332">
        <v>5.8</v>
      </c>
      <c r="S36" s="332">
        <v>5.8</v>
      </c>
      <c r="T36" s="332">
        <v>5.9</v>
      </c>
      <c r="U36" s="332">
        <v>5.7</v>
      </c>
      <c r="V36" s="332">
        <v>5.6</v>
      </c>
      <c r="W36" s="332">
        <v>5.0999999999999996</v>
      </c>
      <c r="X36" s="154" t="s">
        <v>40</v>
      </c>
      <c r="Y36" s="332">
        <v>8.6</v>
      </c>
      <c r="Z36" s="332">
        <v>8.4</v>
      </c>
      <c r="AA36" s="332">
        <v>8.3000000000000007</v>
      </c>
      <c r="AB36" s="332">
        <v>8.4</v>
      </c>
      <c r="AC36" s="332">
        <v>7.9</v>
      </c>
      <c r="AD36" s="332">
        <v>8</v>
      </c>
      <c r="AE36" s="332">
        <v>8</v>
      </c>
      <c r="AF36" s="332">
        <v>8</v>
      </c>
      <c r="AG36" s="332">
        <v>7.8</v>
      </c>
      <c r="AH36" s="332">
        <v>7</v>
      </c>
      <c r="AI36" s="119" t="s">
        <v>40</v>
      </c>
      <c r="AJ36" s="332">
        <v>64.099999999999994</v>
      </c>
      <c r="AK36" s="332">
        <v>64.900000000000006</v>
      </c>
      <c r="AL36" s="332">
        <v>65.099999999999994</v>
      </c>
      <c r="AM36" s="332">
        <v>65.3</v>
      </c>
      <c r="AN36" s="332">
        <v>65.8</v>
      </c>
      <c r="AO36" s="332">
        <v>66.099999999999994</v>
      </c>
      <c r="AP36" s="332">
        <v>66.400000000000006</v>
      </c>
      <c r="AQ36" s="332">
        <v>66.400000000000006</v>
      </c>
      <c r="AR36" s="332">
        <v>67.099999999999994</v>
      </c>
      <c r="AS36" s="332">
        <v>67.099999999999994</v>
      </c>
      <c r="AT36" s="2" t="s">
        <v>40</v>
      </c>
      <c r="AU36" s="260">
        <v>33</v>
      </c>
      <c r="AV36" s="260">
        <v>44</v>
      </c>
      <c r="AW36" s="260">
        <v>43</v>
      </c>
      <c r="AX36" s="260">
        <v>31</v>
      </c>
      <c r="AY36" s="260">
        <v>31</v>
      </c>
      <c r="AZ36" s="260">
        <v>34</v>
      </c>
      <c r="BA36" s="260">
        <v>33</v>
      </c>
      <c r="BB36" s="260">
        <v>24</v>
      </c>
      <c r="BC36" s="260">
        <v>27</v>
      </c>
      <c r="BD36" s="260">
        <v>31</v>
      </c>
      <c r="BF36" s="186">
        <f>E36-'[1]Data-total_employment'!F36</f>
        <v>66.599999999999909</v>
      </c>
      <c r="BG36" s="186">
        <f>F36-'[1]Data-total_employment'!G36</f>
        <v>56</v>
      </c>
      <c r="BH36" s="186">
        <f>G36-'[1]Data-total_employment'!H36</f>
        <v>43.900000000000091</v>
      </c>
      <c r="BI36" s="186">
        <f>S36-'[1]Data-total_employment'!T36</f>
        <v>0</v>
      </c>
      <c r="BJ36" s="186">
        <f>T36-'[1]Data-total_employment'!U36</f>
        <v>0.20000000000000018</v>
      </c>
      <c r="BK36" s="186">
        <f>U36-'[1]Data-total_employment'!V36</f>
        <v>-0.29999999999999982</v>
      </c>
      <c r="BL36" s="194">
        <f>AD36-'[1]Data-total_employment'!AE36</f>
        <v>-0.40000000000000036</v>
      </c>
      <c r="BM36" s="194">
        <f>AE36-'[1]Data-total_employment'!AF36</f>
        <v>-0.19999999999999929</v>
      </c>
      <c r="BN36" s="194">
        <f>AF36-'[1]Data-total_employment'!AG36</f>
        <v>-0.40000000000000036</v>
      </c>
      <c r="BO36" s="203">
        <f>AK36-'[1]Data-total_employment'!AL36</f>
        <v>2.4000000000000057</v>
      </c>
      <c r="BP36" s="203">
        <f>AL36-'[1]Data-total_employment'!AM36</f>
        <v>2.0999999999999943</v>
      </c>
      <c r="BQ36" s="203">
        <f>AM36-'[1]Data-total_employment'!AN36</f>
        <v>1.7999999999999972</v>
      </c>
      <c r="BR36" s="203">
        <f>AZ36-'[1]Data-total_employment'!BA36</f>
        <v>-9</v>
      </c>
      <c r="BS36" s="203">
        <f>BA36-'[1]Data-total_employment'!BB36</f>
        <v>2</v>
      </c>
      <c r="BT36" s="203">
        <f>BB36-'[1]Data-total_employment'!BC36</f>
        <v>-7</v>
      </c>
    </row>
    <row r="37" spans="1:72" ht="18">
      <c r="A37">
        <v>34</v>
      </c>
      <c r="B37" s="163" t="s">
        <v>39</v>
      </c>
      <c r="C37" s="332">
        <v>883</v>
      </c>
      <c r="D37" s="332">
        <v>907.2</v>
      </c>
      <c r="E37" s="332">
        <v>907.6</v>
      </c>
      <c r="F37" s="332">
        <v>912.1</v>
      </c>
      <c r="G37" s="332">
        <v>919.2</v>
      </c>
      <c r="H37" s="332">
        <v>941</v>
      </c>
      <c r="I37" s="332">
        <v>958.4</v>
      </c>
      <c r="J37" s="332">
        <v>955.3</v>
      </c>
      <c r="K37" s="332">
        <v>944.4</v>
      </c>
      <c r="L37" s="332">
        <v>963.8</v>
      </c>
      <c r="M37" s="153" t="s">
        <v>39</v>
      </c>
      <c r="N37" s="332">
        <v>9.4</v>
      </c>
      <c r="O37" s="332">
        <v>9.3000000000000007</v>
      </c>
      <c r="P37" s="332">
        <v>9.1999999999999993</v>
      </c>
      <c r="Q37" s="332">
        <v>9.3000000000000007</v>
      </c>
      <c r="R37" s="332">
        <v>10.5</v>
      </c>
      <c r="S37" s="332">
        <v>10.199999999999999</v>
      </c>
      <c r="T37" s="332">
        <v>10.4</v>
      </c>
      <c r="U37" s="332">
        <v>10.1</v>
      </c>
      <c r="V37" s="332">
        <v>10.5</v>
      </c>
      <c r="W37" s="332">
        <v>10.4</v>
      </c>
      <c r="X37" s="154" t="s">
        <v>39</v>
      </c>
      <c r="Y37" s="332">
        <v>14.7</v>
      </c>
      <c r="Z37" s="332">
        <v>14.9</v>
      </c>
      <c r="AA37" s="332">
        <v>14.2</v>
      </c>
      <c r="AB37" s="332">
        <v>14.7</v>
      </c>
      <c r="AC37" s="332">
        <v>15.4</v>
      </c>
      <c r="AD37" s="332">
        <v>15.2</v>
      </c>
      <c r="AE37" s="332">
        <v>15.7</v>
      </c>
      <c r="AF37" s="332">
        <v>14.5</v>
      </c>
      <c r="AG37" s="332">
        <v>14.6</v>
      </c>
      <c r="AH37" s="332">
        <v>13.9</v>
      </c>
      <c r="AI37" s="119" t="s">
        <v>39</v>
      </c>
      <c r="AJ37" s="332">
        <v>64.2</v>
      </c>
      <c r="AK37" s="332">
        <v>66.2</v>
      </c>
      <c r="AL37" s="332">
        <v>66.400000000000006</v>
      </c>
      <c r="AM37" s="332">
        <v>66.599999999999994</v>
      </c>
      <c r="AN37" s="332">
        <v>67.3</v>
      </c>
      <c r="AO37" s="332">
        <v>69.099999999999994</v>
      </c>
      <c r="AP37" s="332">
        <v>70.400000000000006</v>
      </c>
      <c r="AQ37" s="332">
        <v>70.3</v>
      </c>
      <c r="AR37" s="332">
        <v>69.7</v>
      </c>
      <c r="AS37" s="332">
        <v>71.099999999999994</v>
      </c>
      <c r="AT37" s="2" t="s">
        <v>39</v>
      </c>
      <c r="AU37" s="260">
        <v>16</v>
      </c>
      <c r="AV37" s="260">
        <v>16</v>
      </c>
      <c r="AW37" s="260">
        <v>22</v>
      </c>
      <c r="AX37" s="260">
        <v>16</v>
      </c>
      <c r="AY37" s="260">
        <v>14</v>
      </c>
      <c r="AZ37" s="260">
        <v>18</v>
      </c>
      <c r="BA37" s="260">
        <v>21</v>
      </c>
      <c r="BB37" s="260">
        <v>18</v>
      </c>
      <c r="BC37" s="260">
        <v>18</v>
      </c>
      <c r="BD37" s="260">
        <v>14</v>
      </c>
      <c r="BF37" s="186">
        <f>E37-'[1]Data-total_employment'!F37</f>
        <v>-10.699999999999932</v>
      </c>
      <c r="BG37" s="186">
        <f>F37-'[1]Data-total_employment'!G37</f>
        <v>11.700000000000045</v>
      </c>
      <c r="BH37" s="186">
        <f>G37-'[1]Data-total_employment'!H37</f>
        <v>36.200000000000045</v>
      </c>
      <c r="BI37" s="186">
        <f>S37-'[1]Data-total_employment'!T37</f>
        <v>0.89999999999999858</v>
      </c>
      <c r="BJ37" s="186">
        <f>T37-'[1]Data-total_employment'!U37</f>
        <v>1.2000000000000011</v>
      </c>
      <c r="BK37" s="186">
        <f>U37-'[1]Data-total_employment'!V37</f>
        <v>0.79999999999999893</v>
      </c>
      <c r="BL37" s="194">
        <f>AD37-'[1]Data-total_employment'!AE37</f>
        <v>0.29999999999999893</v>
      </c>
      <c r="BM37" s="194">
        <f>AE37-'[1]Data-total_employment'!AF37</f>
        <v>1.3999999999999986</v>
      </c>
      <c r="BN37" s="194">
        <f>AF37-'[1]Data-total_employment'!AG37</f>
        <v>-9.9999999999999645E-2</v>
      </c>
      <c r="BO37" s="203">
        <f>AK37-'[1]Data-total_employment'!AL37</f>
        <v>0.70000000000000284</v>
      </c>
      <c r="BP37" s="203">
        <f>AL37-'[1]Data-total_employment'!AM37</f>
        <v>-0.29999999999999716</v>
      </c>
      <c r="BQ37" s="203">
        <f>AM37-'[1]Data-total_employment'!AN37</f>
        <v>1.3999999999999915</v>
      </c>
      <c r="BR37" s="203">
        <f>AZ37-'[1]Data-total_employment'!BA37</f>
        <v>-4</v>
      </c>
      <c r="BS37" s="203">
        <f>BA37-'[1]Data-total_employment'!BB37</f>
        <v>5</v>
      </c>
      <c r="BT37" s="203">
        <f>BB37-'[1]Data-total_employment'!BC37</f>
        <v>4</v>
      </c>
    </row>
    <row r="38" spans="1:72" ht="18">
      <c r="A38">
        <v>35</v>
      </c>
      <c r="B38" s="163" t="s">
        <v>24</v>
      </c>
      <c r="C38" s="332">
        <v>17880.8</v>
      </c>
      <c r="D38" s="332">
        <v>18138.400000000001</v>
      </c>
      <c r="E38" s="332">
        <v>18367.599999999999</v>
      </c>
      <c r="F38" s="332">
        <v>18343.900000000001</v>
      </c>
      <c r="G38" s="332">
        <v>18269.900000000001</v>
      </c>
      <c r="H38" s="332">
        <v>18635.7</v>
      </c>
      <c r="I38" s="332">
        <v>18868.2</v>
      </c>
      <c r="J38" s="332">
        <v>18820.3</v>
      </c>
      <c r="K38" s="332">
        <v>18692.900000000001</v>
      </c>
      <c r="L38" s="332">
        <v>19156.099999999999</v>
      </c>
      <c r="M38" s="153" t="s">
        <v>24</v>
      </c>
      <c r="N38" s="332">
        <v>15.6</v>
      </c>
      <c r="O38" s="332">
        <v>15.2</v>
      </c>
      <c r="P38" s="332">
        <v>14.4</v>
      </c>
      <c r="Q38" s="332">
        <v>15.2</v>
      </c>
      <c r="R38" s="332">
        <v>15.5</v>
      </c>
      <c r="S38" s="332">
        <v>15.2</v>
      </c>
      <c r="T38" s="332">
        <v>14.2</v>
      </c>
      <c r="U38" s="332">
        <v>14.6</v>
      </c>
      <c r="V38" s="332">
        <v>14.8</v>
      </c>
      <c r="W38" s="332">
        <v>14.9</v>
      </c>
      <c r="X38" s="154" t="s">
        <v>24</v>
      </c>
      <c r="Y38" s="332">
        <v>21.5</v>
      </c>
      <c r="Z38" s="332">
        <v>21.5</v>
      </c>
      <c r="AA38" s="332">
        <v>22</v>
      </c>
      <c r="AB38" s="332">
        <v>22.1</v>
      </c>
      <c r="AC38" s="332">
        <v>22.2</v>
      </c>
      <c r="AD38" s="332">
        <v>22.5</v>
      </c>
      <c r="AE38" s="332">
        <v>22.5</v>
      </c>
      <c r="AF38" s="332">
        <v>22.5</v>
      </c>
      <c r="AG38" s="332">
        <v>22.6</v>
      </c>
      <c r="AH38" s="332">
        <v>22.7</v>
      </c>
      <c r="AI38" s="119" t="s">
        <v>24</v>
      </c>
      <c r="AJ38" s="332">
        <v>58.5</v>
      </c>
      <c r="AK38" s="332">
        <v>59.4</v>
      </c>
      <c r="AL38" s="332">
        <v>60.2</v>
      </c>
      <c r="AM38" s="332">
        <v>60.1</v>
      </c>
      <c r="AN38" s="332">
        <v>59.9</v>
      </c>
      <c r="AO38" s="332">
        <v>61.1</v>
      </c>
      <c r="AP38" s="332">
        <v>61.8</v>
      </c>
      <c r="AQ38" s="332">
        <v>61.6</v>
      </c>
      <c r="AR38" s="332">
        <v>61.1</v>
      </c>
      <c r="AS38" s="332">
        <v>62.5</v>
      </c>
      <c r="AT38" s="2" t="s">
        <v>24</v>
      </c>
      <c r="AU38" s="260">
        <v>896</v>
      </c>
      <c r="AV38" s="260">
        <v>768</v>
      </c>
      <c r="AW38" s="260">
        <v>883</v>
      </c>
      <c r="AX38" s="260">
        <v>932</v>
      </c>
      <c r="AY38" s="260">
        <v>870</v>
      </c>
      <c r="AZ38" s="260">
        <v>734</v>
      </c>
      <c r="BA38" s="260">
        <v>953</v>
      </c>
      <c r="BB38" s="260">
        <v>884</v>
      </c>
      <c r="BC38" s="260">
        <v>812</v>
      </c>
      <c r="BD38" s="260">
        <v>681</v>
      </c>
      <c r="BF38" s="186">
        <f>E38-'[1]Data-total_employment'!F38</f>
        <v>469.89999999999782</v>
      </c>
      <c r="BG38" s="186">
        <f>F38-'[1]Data-total_employment'!G38</f>
        <v>411.70000000000073</v>
      </c>
      <c r="BH38" s="186">
        <f>G38-'[1]Data-total_employment'!H38</f>
        <v>389.10000000000218</v>
      </c>
      <c r="BI38" s="186">
        <f>S38-'[1]Data-total_employment'!T38</f>
        <v>0</v>
      </c>
      <c r="BJ38" s="186">
        <f>T38-'[1]Data-total_employment'!U38</f>
        <v>-0.20000000000000107</v>
      </c>
      <c r="BK38" s="186">
        <f>U38-'[1]Data-total_employment'!V38</f>
        <v>-0.59999999999999964</v>
      </c>
      <c r="BL38" s="194">
        <f>AD38-'[1]Data-total_employment'!AE38</f>
        <v>1.1000000000000014</v>
      </c>
      <c r="BM38" s="194">
        <f>AE38-'[1]Data-total_employment'!AF38</f>
        <v>0.5</v>
      </c>
      <c r="BN38" s="194">
        <f>AF38-'[1]Data-total_employment'!AG38</f>
        <v>0.39999999999999858</v>
      </c>
      <c r="BO38" s="203">
        <f>AK38-'[1]Data-total_employment'!AL38</f>
        <v>1.6000000000000014</v>
      </c>
      <c r="BP38" s="203">
        <f>AL38-'[1]Data-total_employment'!AM38</f>
        <v>1.8000000000000043</v>
      </c>
      <c r="BQ38" s="203">
        <f>AM38-'[1]Data-total_employment'!AN38</f>
        <v>1.5</v>
      </c>
      <c r="BR38" s="203">
        <f>AZ38-'[1]Data-total_employment'!BA38</f>
        <v>-149</v>
      </c>
      <c r="BS38" s="203">
        <f>BA38-'[1]Data-total_employment'!BB38</f>
        <v>21</v>
      </c>
      <c r="BT38" s="203">
        <f>BB38-'[1]Data-total_employment'!BC38</f>
        <v>14</v>
      </c>
    </row>
    <row r="39" spans="1:72" ht="18">
      <c r="A39">
        <v>36</v>
      </c>
      <c r="B39" s="163" t="s">
        <v>42</v>
      </c>
      <c r="C39" s="332">
        <v>4638</v>
      </c>
      <c r="D39" s="332">
        <v>4755.3</v>
      </c>
      <c r="E39" s="332">
        <v>4806.3999999999996</v>
      </c>
      <c r="F39" s="332">
        <v>4742.7</v>
      </c>
      <c r="G39" s="332">
        <v>4745.1000000000004</v>
      </c>
      <c r="H39" s="332">
        <v>4842.8</v>
      </c>
      <c r="I39" s="332">
        <v>4912.8</v>
      </c>
      <c r="J39" s="332">
        <v>4834.8999999999996</v>
      </c>
      <c r="K39" s="332">
        <v>4823.5</v>
      </c>
      <c r="L39" s="332">
        <v>4928.8999999999996</v>
      </c>
      <c r="M39" s="153" t="s">
        <v>42</v>
      </c>
      <c r="N39" s="332">
        <v>24.7</v>
      </c>
      <c r="O39" s="332">
        <v>24.1</v>
      </c>
      <c r="P39" s="332">
        <v>22.8</v>
      </c>
      <c r="Q39" s="332">
        <v>23.9</v>
      </c>
      <c r="R39" s="332">
        <v>24.1</v>
      </c>
      <c r="S39" s="332">
        <v>23.4</v>
      </c>
      <c r="T39" s="332">
        <v>22.4</v>
      </c>
      <c r="U39" s="332">
        <v>23.4</v>
      </c>
      <c r="V39" s="332">
        <v>23.5</v>
      </c>
      <c r="W39" s="332">
        <v>23.1</v>
      </c>
      <c r="X39" s="154" t="s">
        <v>42</v>
      </c>
      <c r="Y39" s="332">
        <v>14.8</v>
      </c>
      <c r="Z39" s="332">
        <v>14.8</v>
      </c>
      <c r="AA39" s="332">
        <v>14.5</v>
      </c>
      <c r="AB39" s="332">
        <v>14.7</v>
      </c>
      <c r="AC39" s="332">
        <v>14.9</v>
      </c>
      <c r="AD39" s="332">
        <v>14.6</v>
      </c>
      <c r="AE39" s="332">
        <v>14.7</v>
      </c>
      <c r="AF39" s="332">
        <v>14.7</v>
      </c>
      <c r="AG39" s="332">
        <v>14.5</v>
      </c>
      <c r="AH39" s="332">
        <v>14.1</v>
      </c>
      <c r="AI39" s="119" t="s">
        <v>42</v>
      </c>
      <c r="AJ39" s="332">
        <v>74.900000000000006</v>
      </c>
      <c r="AK39" s="332">
        <v>76.7</v>
      </c>
      <c r="AL39" s="332">
        <v>77.3</v>
      </c>
      <c r="AM39" s="332">
        <v>75.900000000000006</v>
      </c>
      <c r="AN39" s="332">
        <v>75.7</v>
      </c>
      <c r="AO39" s="332">
        <v>77.099999999999994</v>
      </c>
      <c r="AP39" s="332">
        <v>78</v>
      </c>
      <c r="AQ39" s="332">
        <v>76.599999999999994</v>
      </c>
      <c r="AR39" s="332">
        <v>76.2</v>
      </c>
      <c r="AS39" s="332">
        <v>77.8</v>
      </c>
      <c r="AT39" s="2" t="s">
        <v>42</v>
      </c>
      <c r="AU39" s="260">
        <v>101</v>
      </c>
      <c r="AV39" s="260">
        <v>77</v>
      </c>
      <c r="AW39" s="260">
        <v>125</v>
      </c>
      <c r="AX39" s="260">
        <v>104</v>
      </c>
      <c r="AY39" s="260">
        <v>93</v>
      </c>
      <c r="AZ39" s="260">
        <v>77</v>
      </c>
      <c r="BA39" s="260">
        <v>117</v>
      </c>
      <c r="BB39" s="260">
        <v>104</v>
      </c>
      <c r="BC39" s="260">
        <v>89</v>
      </c>
      <c r="BD39" s="260">
        <v>73</v>
      </c>
      <c r="BF39" s="186">
        <f>E39-'[1]Data-total_employment'!F39</f>
        <v>62.199999999999818</v>
      </c>
      <c r="BG39" s="186">
        <f>F39-'[1]Data-total_employment'!G39</f>
        <v>65.800000000000182</v>
      </c>
      <c r="BH39" s="186">
        <f>G39-'[1]Data-total_employment'!H39</f>
        <v>107.10000000000036</v>
      </c>
      <c r="BI39" s="186">
        <f>S39-'[1]Data-total_employment'!T39</f>
        <v>-0.70000000000000284</v>
      </c>
      <c r="BJ39" s="186">
        <f>T39-'[1]Data-total_employment'!U39</f>
        <v>-0.40000000000000213</v>
      </c>
      <c r="BK39" s="186">
        <f>U39-'[1]Data-total_employment'!V39</f>
        <v>-0.5</v>
      </c>
      <c r="BL39" s="194">
        <f>AD39-'[1]Data-total_employment'!AE39</f>
        <v>-0.20000000000000107</v>
      </c>
      <c r="BM39" s="194">
        <f>AE39-'[1]Data-total_employment'!AF39</f>
        <v>0.39999999999999858</v>
      </c>
      <c r="BN39" s="194">
        <f>AF39-'[1]Data-total_employment'!AG39</f>
        <v>0</v>
      </c>
      <c r="BO39" s="203">
        <f>AK39-'[1]Data-total_employment'!AL39</f>
        <v>1.1000000000000085</v>
      </c>
      <c r="BP39" s="203">
        <f>AL39-'[1]Data-total_employment'!AM39</f>
        <v>0.39999999999999147</v>
      </c>
      <c r="BQ39" s="203">
        <f>AM39-'[1]Data-total_employment'!AN39</f>
        <v>0.30000000000001137</v>
      </c>
      <c r="BR39" s="203">
        <f>AZ39-'[1]Data-total_employment'!BA39</f>
        <v>-48</v>
      </c>
      <c r="BS39" s="203">
        <f>BA39-'[1]Data-total_employment'!BB39</f>
        <v>13</v>
      </c>
      <c r="BT39" s="203">
        <f>BB39-'[1]Data-total_employment'!BC39</f>
        <v>11</v>
      </c>
    </row>
    <row r="40" spans="1:72" ht="18">
      <c r="A40">
        <v>37</v>
      </c>
      <c r="B40" s="163" t="s">
        <v>46</v>
      </c>
      <c r="C40" s="332">
        <v>4406.2</v>
      </c>
      <c r="D40" s="332">
        <v>4407.8999999999996</v>
      </c>
      <c r="E40" s="332">
        <v>4411.3999999999996</v>
      </c>
      <c r="F40" s="332">
        <v>4466.8999999999996</v>
      </c>
      <c r="G40" s="332">
        <v>4420.5</v>
      </c>
      <c r="H40" s="332">
        <v>4451.3</v>
      </c>
      <c r="I40" s="332">
        <v>4459.6000000000004</v>
      </c>
      <c r="J40" s="332">
        <v>4486.1000000000004</v>
      </c>
      <c r="K40" s="332">
        <v>4447.8</v>
      </c>
      <c r="L40" s="332">
        <v>4475.8</v>
      </c>
      <c r="M40" s="153" t="s">
        <v>46</v>
      </c>
      <c r="N40" s="332">
        <v>37.1</v>
      </c>
      <c r="O40" s="332">
        <v>37.200000000000003</v>
      </c>
      <c r="P40" s="332">
        <v>36.200000000000003</v>
      </c>
      <c r="Q40" s="332">
        <v>36.9</v>
      </c>
      <c r="R40" s="332">
        <v>37.5</v>
      </c>
      <c r="S40" s="332">
        <v>37.1</v>
      </c>
      <c r="T40" s="332">
        <v>36.299999999999997</v>
      </c>
      <c r="U40" s="332">
        <v>37.1</v>
      </c>
      <c r="V40" s="332">
        <v>37.1</v>
      </c>
      <c r="W40" s="332">
        <v>38</v>
      </c>
      <c r="X40" s="154" t="s">
        <v>46</v>
      </c>
      <c r="Y40" s="332">
        <v>11.7</v>
      </c>
      <c r="Z40" s="332">
        <v>11.6</v>
      </c>
      <c r="AA40" s="332">
        <v>11.1</v>
      </c>
      <c r="AB40" s="332">
        <v>11.5</v>
      </c>
      <c r="AC40" s="332">
        <v>11.5</v>
      </c>
      <c r="AD40" s="332">
        <v>11.5</v>
      </c>
      <c r="AE40" s="332">
        <v>11.6</v>
      </c>
      <c r="AF40" s="332">
        <v>11.5</v>
      </c>
      <c r="AG40" s="332">
        <v>11.4</v>
      </c>
      <c r="AH40" s="332">
        <v>11.5</v>
      </c>
      <c r="AI40" s="119" t="s">
        <v>46</v>
      </c>
      <c r="AJ40" s="332">
        <v>79.400000000000006</v>
      </c>
      <c r="AK40" s="332">
        <v>79.400000000000006</v>
      </c>
      <c r="AL40" s="332">
        <v>79.400000000000006</v>
      </c>
      <c r="AM40" s="332">
        <v>80.2</v>
      </c>
      <c r="AN40" s="332">
        <v>79.3</v>
      </c>
      <c r="AO40" s="332">
        <v>79.8</v>
      </c>
      <c r="AP40" s="332">
        <v>79.900000000000006</v>
      </c>
      <c r="AQ40" s="332">
        <v>80.2</v>
      </c>
      <c r="AR40" s="332">
        <v>79.400000000000006</v>
      </c>
      <c r="AS40" s="332">
        <v>79.900000000000006</v>
      </c>
      <c r="AT40" s="2" t="s">
        <v>46</v>
      </c>
      <c r="AU40" s="260">
        <v>91</v>
      </c>
      <c r="AV40" s="260">
        <v>69</v>
      </c>
      <c r="AW40" s="260">
        <v>82</v>
      </c>
      <c r="AX40" s="260">
        <v>68</v>
      </c>
      <c r="AY40" s="260">
        <v>95</v>
      </c>
      <c r="AZ40" s="260">
        <v>73</v>
      </c>
      <c r="BA40" s="260">
        <v>93</v>
      </c>
      <c r="BB40" s="260">
        <v>69</v>
      </c>
      <c r="BC40" s="260">
        <v>88</v>
      </c>
      <c r="BD40" s="260">
        <v>76</v>
      </c>
      <c r="BF40" s="186">
        <f>E40-'[1]Data-total_employment'!F40</f>
        <v>61.799999999999272</v>
      </c>
      <c r="BG40" s="186">
        <f>F40-'[1]Data-total_employment'!G40</f>
        <v>54</v>
      </c>
      <c r="BH40" s="186">
        <f>G40-'[1]Data-total_employment'!H40</f>
        <v>14.300000000000182</v>
      </c>
      <c r="BI40" s="186">
        <f>S40-'[1]Data-total_employment'!T40</f>
        <v>-0.10000000000000142</v>
      </c>
      <c r="BJ40" s="186">
        <f>T40-'[1]Data-total_employment'!U40</f>
        <v>9.9999999999994316E-2</v>
      </c>
      <c r="BK40" s="186">
        <f>U40-'[1]Data-total_employment'!V40</f>
        <v>0.20000000000000284</v>
      </c>
      <c r="BL40" s="194">
        <f>AD40-'[1]Data-total_employment'!AE40</f>
        <v>9.9999999999999645E-2</v>
      </c>
      <c r="BM40" s="194">
        <f>AE40-'[1]Data-total_employment'!AF40</f>
        <v>0.40000000000000036</v>
      </c>
      <c r="BN40" s="194">
        <f>AF40-'[1]Data-total_employment'!AG40</f>
        <v>-9.9999999999999645E-2</v>
      </c>
      <c r="BO40" s="203">
        <f>AK40-'[1]Data-total_employment'!AL40</f>
        <v>0.30000000000001137</v>
      </c>
      <c r="BP40" s="203">
        <f>AL40-'[1]Data-total_employment'!AM40</f>
        <v>0.60000000000000853</v>
      </c>
      <c r="BQ40" s="203">
        <f>AM40-'[1]Data-total_employment'!AN40</f>
        <v>0.5</v>
      </c>
      <c r="BR40" s="203">
        <f>AZ40-'[1]Data-total_employment'!BA40</f>
        <v>-9</v>
      </c>
      <c r="BS40" s="203">
        <f>BA40-'[1]Data-total_employment'!BB40</f>
        <v>25</v>
      </c>
      <c r="BT40" s="203">
        <f>BB40-'[1]Data-total_employment'!BC40</f>
        <v>-26</v>
      </c>
    </row>
    <row r="41" spans="1:72" ht="18">
      <c r="A41">
        <v>38</v>
      </c>
      <c r="B41" s="163" t="s">
        <v>47</v>
      </c>
      <c r="C41" s="332">
        <v>25717.1</v>
      </c>
      <c r="D41" s="332">
        <v>27103.5</v>
      </c>
      <c r="E41" s="332">
        <v>26737.1</v>
      </c>
      <c r="F41" s="332">
        <v>26329.599999999999</v>
      </c>
      <c r="G41" s="332">
        <v>26168.799999999999</v>
      </c>
      <c r="H41" s="332">
        <v>27683.1</v>
      </c>
      <c r="I41" s="332">
        <v>27992.400000000001</v>
      </c>
      <c r="J41" s="332">
        <v>27727.599999999999</v>
      </c>
      <c r="K41" s="332">
        <v>27329.8</v>
      </c>
      <c r="L41" s="332">
        <v>28275</v>
      </c>
      <c r="M41" s="153" t="s">
        <v>47</v>
      </c>
      <c r="N41" s="332">
        <v>10.9</v>
      </c>
      <c r="O41" s="332">
        <v>10.199999999999999</v>
      </c>
      <c r="P41" s="332">
        <v>8.1999999999999993</v>
      </c>
      <c r="Q41" s="332">
        <v>10.3</v>
      </c>
      <c r="R41" s="332">
        <v>10.7</v>
      </c>
      <c r="S41" s="332">
        <v>10.199999999999999</v>
      </c>
      <c r="T41" s="332">
        <v>8.8000000000000007</v>
      </c>
      <c r="U41" s="332">
        <v>10.199999999999999</v>
      </c>
      <c r="V41" s="332">
        <v>11.3</v>
      </c>
      <c r="W41" s="332">
        <v>10.4</v>
      </c>
      <c r="X41" s="154" t="s">
        <v>47</v>
      </c>
      <c r="Y41" s="332">
        <v>9.3000000000000007</v>
      </c>
      <c r="Z41" s="332">
        <v>9.6999999999999993</v>
      </c>
      <c r="AA41" s="332">
        <v>8.6999999999999993</v>
      </c>
      <c r="AB41" s="332">
        <v>8.6999999999999993</v>
      </c>
      <c r="AC41" s="332">
        <v>8.6999999999999993</v>
      </c>
      <c r="AD41" s="332">
        <v>9</v>
      </c>
      <c r="AE41" s="332">
        <v>9.3000000000000007</v>
      </c>
      <c r="AF41" s="332">
        <v>9.5</v>
      </c>
      <c r="AG41" s="332">
        <v>9.1</v>
      </c>
      <c r="AH41" s="332">
        <v>8.4</v>
      </c>
      <c r="AI41" s="119" t="s">
        <v>47</v>
      </c>
      <c r="AJ41" s="332">
        <v>49.4</v>
      </c>
      <c r="AK41" s="332">
        <v>52</v>
      </c>
      <c r="AL41" s="332">
        <v>51.1</v>
      </c>
      <c r="AM41" s="332">
        <v>50.1</v>
      </c>
      <c r="AN41" s="332">
        <v>49.5</v>
      </c>
      <c r="AO41" s="332">
        <v>52.2</v>
      </c>
      <c r="AP41" s="332">
        <v>52.6</v>
      </c>
      <c r="AQ41" s="332">
        <v>51.9</v>
      </c>
      <c r="AR41" s="332">
        <v>51.1</v>
      </c>
      <c r="AS41" s="332">
        <v>52.7</v>
      </c>
      <c r="AT41" s="2" t="s">
        <v>47</v>
      </c>
      <c r="AU41" s="260">
        <v>1087</v>
      </c>
      <c r="AV41" s="260">
        <v>1004</v>
      </c>
      <c r="AW41" s="260">
        <v>1142</v>
      </c>
      <c r="AX41" s="260">
        <v>874</v>
      </c>
      <c r="AY41" s="260">
        <v>1123</v>
      </c>
      <c r="AZ41" s="260">
        <v>1002</v>
      </c>
      <c r="BA41" s="260">
        <v>1500</v>
      </c>
      <c r="BB41" s="260">
        <v>1037</v>
      </c>
      <c r="BC41" s="260">
        <v>1181</v>
      </c>
      <c r="BD41" s="260">
        <v>973</v>
      </c>
      <c r="BF41" s="186">
        <f>E41-'[1]Data-total_employment'!F41</f>
        <v>310.59999999999854</v>
      </c>
      <c r="BG41" s="186">
        <f>F41-'[1]Data-total_employment'!G41</f>
        <v>386.69999999999709</v>
      </c>
      <c r="BH41" s="186">
        <f>G41-'[1]Data-total_employment'!H41</f>
        <v>451.70000000000073</v>
      </c>
      <c r="BI41" s="186">
        <f>S41-'[1]Data-total_employment'!T41</f>
        <v>0</v>
      </c>
      <c r="BJ41" s="186">
        <f>T41-'[1]Data-total_employment'!U41</f>
        <v>0.60000000000000142</v>
      </c>
      <c r="BK41" s="186">
        <f>U41-'[1]Data-total_employment'!V41</f>
        <v>-0.10000000000000142</v>
      </c>
      <c r="BL41" s="194">
        <f>AD41-'[1]Data-total_employment'!AE41</f>
        <v>-0.59999999999999964</v>
      </c>
      <c r="BM41" s="194">
        <f>AE41-'[1]Data-total_employment'!AF41</f>
        <v>0.60000000000000142</v>
      </c>
      <c r="BN41" s="194">
        <f>AF41-'[1]Data-total_employment'!AG41</f>
        <v>0.59999999999999964</v>
      </c>
      <c r="BO41" s="203">
        <f>AK41-'[1]Data-total_employment'!AL41</f>
        <v>0.89999999999999858</v>
      </c>
      <c r="BP41" s="203">
        <f>AL41-'[1]Data-total_employment'!AM41</f>
        <v>0</v>
      </c>
      <c r="BQ41" s="203">
        <f>AM41-'[1]Data-total_employment'!AN41</f>
        <v>0.10000000000000142</v>
      </c>
      <c r="BR41" s="203">
        <f>AZ41-'[1]Data-total_employment'!BA41</f>
        <v>-140</v>
      </c>
      <c r="BS41" s="203">
        <f>BA41-'[1]Data-total_employment'!BB41</f>
        <v>626</v>
      </c>
      <c r="BT41" s="203">
        <f>BB41-'[1]Data-total_employment'!BC41</f>
        <v>-86</v>
      </c>
    </row>
    <row r="42" spans="1:72" ht="18">
      <c r="A42">
        <v>39</v>
      </c>
      <c r="B42" s="163" t="s">
        <v>43</v>
      </c>
      <c r="C42" s="332">
        <v>30217.599999999999</v>
      </c>
      <c r="D42" s="332">
        <v>30350.400000000001</v>
      </c>
      <c r="E42" s="332">
        <v>30522.1</v>
      </c>
      <c r="F42" s="332">
        <v>30605.1</v>
      </c>
      <c r="G42" s="332">
        <v>30586.9</v>
      </c>
      <c r="H42" s="332">
        <v>30745.8</v>
      </c>
      <c r="I42" s="332">
        <v>30844.2</v>
      </c>
      <c r="J42" s="332">
        <v>30955.4</v>
      </c>
      <c r="K42" s="332">
        <v>31011.200000000001</v>
      </c>
      <c r="L42" s="332">
        <v>31011.599999999999</v>
      </c>
      <c r="M42" s="153" t="s">
        <v>43</v>
      </c>
      <c r="N42" s="332">
        <v>25.3</v>
      </c>
      <c r="O42" s="332">
        <v>25.3</v>
      </c>
      <c r="P42" s="332">
        <v>25.1</v>
      </c>
      <c r="Q42" s="332">
        <v>25.1</v>
      </c>
      <c r="R42" s="332">
        <v>24.9</v>
      </c>
      <c r="S42" s="332">
        <v>24.9</v>
      </c>
      <c r="T42" s="332">
        <v>24.9</v>
      </c>
      <c r="U42" s="332">
        <v>24.8</v>
      </c>
      <c r="V42" s="332">
        <v>24.9</v>
      </c>
      <c r="W42" s="332">
        <v>24.6</v>
      </c>
      <c r="X42" s="154" t="s">
        <v>43</v>
      </c>
      <c r="Y42" s="332">
        <v>5.0999999999999996</v>
      </c>
      <c r="Z42" s="332">
        <v>5.2</v>
      </c>
      <c r="AA42" s="332">
        <v>5</v>
      </c>
      <c r="AB42" s="332">
        <v>5</v>
      </c>
      <c r="AC42" s="332">
        <v>4.9000000000000004</v>
      </c>
      <c r="AD42" s="332">
        <v>4.9000000000000004</v>
      </c>
      <c r="AE42" s="332">
        <v>4.9000000000000004</v>
      </c>
      <c r="AF42" s="332">
        <v>4.7</v>
      </c>
      <c r="AG42" s="332">
        <v>4.8</v>
      </c>
      <c r="AH42" s="332">
        <v>4.7</v>
      </c>
      <c r="AI42" s="119" t="s">
        <v>43</v>
      </c>
      <c r="AJ42" s="332">
        <v>73.099999999999994</v>
      </c>
      <c r="AK42" s="332">
        <v>73.400000000000006</v>
      </c>
      <c r="AL42" s="332">
        <v>73.7</v>
      </c>
      <c r="AM42" s="332">
        <v>73.8</v>
      </c>
      <c r="AN42" s="332">
        <v>73.7</v>
      </c>
      <c r="AO42" s="332">
        <v>74.099999999999994</v>
      </c>
      <c r="AP42" s="332">
        <v>74.2</v>
      </c>
      <c r="AQ42" s="332">
        <v>74.5</v>
      </c>
      <c r="AR42" s="332">
        <v>74.599999999999994</v>
      </c>
      <c r="AS42" s="332">
        <v>74.599999999999994</v>
      </c>
      <c r="AT42" s="2" t="s">
        <v>43</v>
      </c>
      <c r="AU42" s="325">
        <v>434</v>
      </c>
      <c r="AV42" s="325">
        <v>300</v>
      </c>
      <c r="AW42" s="325">
        <v>321</v>
      </c>
      <c r="AX42" s="325">
        <v>286</v>
      </c>
      <c r="AY42" s="325">
        <v>379</v>
      </c>
      <c r="AZ42" s="325">
        <v>310</v>
      </c>
      <c r="BA42" s="325">
        <v>303</v>
      </c>
      <c r="BB42" s="325">
        <v>273</v>
      </c>
      <c r="BC42" s="325">
        <v>319</v>
      </c>
      <c r="BD42" s="325">
        <v>247</v>
      </c>
      <c r="BF42" s="186">
        <f>E42-'[1]Data-total_employment'!F42</f>
        <v>390.79999999999927</v>
      </c>
      <c r="BG42" s="186">
        <f>F42-'[1]Data-total_employment'!G42</f>
        <v>297.39999999999782</v>
      </c>
      <c r="BH42" s="186">
        <f>G42-'[1]Data-total_employment'!H42</f>
        <v>369.30000000000291</v>
      </c>
      <c r="BI42" s="186">
        <f>S42-'[1]Data-total_employment'!T42</f>
        <v>-0.40000000000000213</v>
      </c>
      <c r="BJ42" s="186">
        <f>T42-'[1]Data-total_employment'!U42</f>
        <v>-0.20000000000000284</v>
      </c>
      <c r="BK42" s="186">
        <f>U42-'[1]Data-total_employment'!V42</f>
        <v>-0.30000000000000071</v>
      </c>
      <c r="BL42" s="194">
        <f>AD42-'[1]Data-total_employment'!AE42</f>
        <v>-0.29999999999999982</v>
      </c>
      <c r="BM42" s="194">
        <f>AE42-'[1]Data-total_employment'!AF42</f>
        <v>-9.9999999999999645E-2</v>
      </c>
      <c r="BN42" s="194">
        <f>AF42-'[1]Data-total_employment'!AG42</f>
        <v>-0.29999999999999982</v>
      </c>
      <c r="BO42" s="203">
        <f>AK42-'[1]Data-total_employment'!AL42</f>
        <v>1.1000000000000085</v>
      </c>
      <c r="BP42" s="203">
        <f>AL42-'[1]Data-total_employment'!AM42</f>
        <v>0.79999999999999716</v>
      </c>
      <c r="BQ42" s="203">
        <f>AM42-'[1]Data-total_employment'!AN42</f>
        <v>0.5</v>
      </c>
      <c r="BR42" s="203">
        <f>AZ42-'[1]Data-total_employment'!BA42</f>
        <v>-11</v>
      </c>
      <c r="BS42" s="203">
        <f>BA42-'[1]Data-total_employment'!BB42</f>
        <v>17</v>
      </c>
      <c r="BT42" s="203">
        <f>BB42-'[1]Data-total_employment'!BC42</f>
        <v>-106</v>
      </c>
    </row>
    <row r="43" spans="1:72">
      <c r="M43" s="13"/>
      <c r="Y43" s="13"/>
      <c r="Z43" s="13"/>
      <c r="AA43" s="13"/>
      <c r="AB43" s="13"/>
      <c r="AC43" s="13"/>
      <c r="AD43" s="13"/>
      <c r="AE43" s="13"/>
      <c r="AF43" s="13"/>
      <c r="AG43" s="13"/>
      <c r="AH43" s="13"/>
    </row>
    <row r="44" spans="1:72">
      <c r="M44" s="13"/>
      <c r="Y44" s="13"/>
      <c r="Z44" s="13"/>
      <c r="AA44" s="13"/>
      <c r="AB44" s="13"/>
      <c r="AC44" s="13"/>
      <c r="AD44" s="13"/>
      <c r="AE44" s="13"/>
      <c r="AF44" s="13"/>
      <c r="AG44" s="13"/>
      <c r="AH44" s="13"/>
    </row>
    <row r="45" spans="1:72">
      <c r="M45" s="13"/>
      <c r="Y45" s="13"/>
      <c r="Z45" s="13"/>
      <c r="AA45" s="13"/>
      <c r="AB45" s="13"/>
      <c r="AC45" s="13"/>
      <c r="AD45" s="13"/>
      <c r="AE45" s="13"/>
      <c r="AF45" s="13"/>
      <c r="AG45" s="13"/>
      <c r="AH45" s="13"/>
    </row>
    <row r="46" spans="1:72" ht="18">
      <c r="B46" s="163" t="str">
        <f>B3</f>
        <v>GEO/TIME</v>
      </c>
      <c r="C46" s="132" t="str">
        <f t="shared" ref="C46:L46" si="0">C3</f>
        <v>2016Q1</v>
      </c>
      <c r="D46" s="132" t="str">
        <f t="shared" si="0"/>
        <v>2016Q2</v>
      </c>
      <c r="E46" s="132" t="str">
        <f t="shared" si="0"/>
        <v>2016Q3</v>
      </c>
      <c r="F46" s="132" t="str">
        <f t="shared" si="0"/>
        <v>2016Q4</v>
      </c>
      <c r="G46" s="132" t="str">
        <f t="shared" si="0"/>
        <v>2017Q1</v>
      </c>
      <c r="H46" s="132" t="str">
        <f t="shared" si="0"/>
        <v>2017Q2</v>
      </c>
      <c r="I46" s="132" t="str">
        <f t="shared" si="0"/>
        <v>2017Q3</v>
      </c>
      <c r="J46" s="132" t="str">
        <f t="shared" si="0"/>
        <v>2017Q4</v>
      </c>
      <c r="K46" s="132" t="str">
        <f t="shared" si="0"/>
        <v>2018Q1</v>
      </c>
      <c r="L46" s="132" t="str">
        <f t="shared" si="0"/>
        <v>2018Q2</v>
      </c>
      <c r="M46" s="13"/>
      <c r="Y46" s="13"/>
      <c r="Z46" s="13"/>
      <c r="AA46" s="13"/>
      <c r="AB46" s="13"/>
      <c r="AC46" s="13"/>
      <c r="AD46" s="13"/>
      <c r="AE46" s="13"/>
      <c r="AF46" s="13"/>
      <c r="AG46" s="13"/>
      <c r="AH46" s="13"/>
    </row>
    <row r="47" spans="1:72" ht="18">
      <c r="B47" s="163" t="str">
        <f>B4</f>
        <v>European Union (28 countries)</v>
      </c>
      <c r="G47" s="125">
        <f>G4/C4-1</f>
        <v>1.211453286477715E-2</v>
      </c>
      <c r="H47" s="125">
        <f t="shared" ref="H47:L62" si="1">H4/D4-1</f>
        <v>1.4697304588243032E-2</v>
      </c>
      <c r="I47" s="125">
        <f t="shared" si="1"/>
        <v>1.4604342711614482E-2</v>
      </c>
      <c r="J47" s="125">
        <f t="shared" si="1"/>
        <v>1.3717936074163273E-2</v>
      </c>
      <c r="K47" s="125">
        <f t="shared" si="1"/>
        <v>1.3537797354897352E-2</v>
      </c>
      <c r="L47" s="125">
        <f>L4/H4-1</f>
        <v>1.046639867836463E-2</v>
      </c>
      <c r="M47" s="13"/>
      <c r="Y47" s="13"/>
      <c r="Z47" s="13"/>
      <c r="AA47" s="13"/>
      <c r="AB47" s="13"/>
      <c r="AC47" s="13"/>
      <c r="AD47" s="13"/>
      <c r="AE47" s="13"/>
      <c r="AF47" s="13"/>
      <c r="AG47" s="13"/>
      <c r="AH47" s="13"/>
    </row>
    <row r="48" spans="1:72" ht="18">
      <c r="B48" s="163" t="str">
        <f t="shared" ref="B48:B85" si="2">B5</f>
        <v>European Union (27 countries)</v>
      </c>
      <c r="G48" s="125">
        <f t="shared" ref="G48:L63" si="3">G5/C5-1</f>
        <v>1.2159737911810575E-2</v>
      </c>
      <c r="H48" s="125">
        <f t="shared" si="1"/>
        <v>1.4663039937575117E-2</v>
      </c>
      <c r="I48" s="125">
        <f t="shared" si="1"/>
        <v>1.4483114301258926E-2</v>
      </c>
      <c r="J48" s="125">
        <f t="shared" si="1"/>
        <v>1.355851210640302E-2</v>
      </c>
      <c r="K48" s="125">
        <f t="shared" si="1"/>
        <v>1.3337777726692757E-2</v>
      </c>
      <c r="L48" s="125">
        <f t="shared" si="1"/>
        <v>1.0400560089454558E-2</v>
      </c>
      <c r="M48" s="13"/>
      <c r="Y48" s="13"/>
      <c r="Z48" s="13"/>
      <c r="AA48" s="13"/>
      <c r="AB48" s="13"/>
      <c r="AC48" s="13"/>
      <c r="AD48" s="13"/>
      <c r="AE48" s="13"/>
      <c r="AF48" s="13"/>
      <c r="AG48" s="13"/>
      <c r="AH48" s="13"/>
    </row>
    <row r="49" spans="2:34" ht="18">
      <c r="B49" s="163" t="str">
        <f t="shared" si="2"/>
        <v>European Union (15 countries)</v>
      </c>
      <c r="G49" s="125">
        <f t="shared" si="3"/>
        <v>1.1383410210394906E-2</v>
      </c>
      <c r="H49" s="125">
        <f t="shared" si="1"/>
        <v>1.2744195819371029E-2</v>
      </c>
      <c r="I49" s="125">
        <f t="shared" si="1"/>
        <v>1.3601030733383146E-2</v>
      </c>
      <c r="J49" s="125">
        <f t="shared" si="1"/>
        <v>1.3817596087602135E-2</v>
      </c>
      <c r="K49" s="125">
        <f t="shared" si="1"/>
        <v>1.3885648076218615E-2</v>
      </c>
      <c r="L49" s="125">
        <f t="shared" si="1"/>
        <v>1.2057207965580075E-2</v>
      </c>
      <c r="M49" s="13"/>
      <c r="Y49" s="13"/>
      <c r="Z49" s="13"/>
      <c r="AA49" s="13"/>
      <c r="AB49" s="13"/>
      <c r="AC49" s="13"/>
      <c r="AD49" s="13"/>
      <c r="AE49" s="13"/>
      <c r="AF49" s="13"/>
      <c r="AG49" s="13"/>
      <c r="AH49" s="13"/>
    </row>
    <row r="50" spans="2:34" ht="18">
      <c r="B50" s="163" t="str">
        <f t="shared" si="2"/>
        <v>Euro area (19 countries)</v>
      </c>
      <c r="G50" s="125">
        <f t="shared" si="3"/>
        <v>1.1431498984188826E-2</v>
      </c>
      <c r="H50" s="125">
        <f t="shared" si="1"/>
        <v>1.2808559355084848E-2</v>
      </c>
      <c r="I50" s="125">
        <f t="shared" si="1"/>
        <v>1.4370389381574533E-2</v>
      </c>
      <c r="J50" s="125">
        <f t="shared" si="1"/>
        <v>1.455653657312439E-2</v>
      </c>
      <c r="K50" s="125">
        <f t="shared" si="1"/>
        <v>1.3762993414387692E-2</v>
      </c>
      <c r="L50" s="125">
        <f t="shared" si="1"/>
        <v>1.253202013956356E-2</v>
      </c>
      <c r="X50" s="1" t="s">
        <v>0</v>
      </c>
      <c r="Y50" s="198" t="s">
        <v>536</v>
      </c>
    </row>
    <row r="51" spans="2:34" ht="18">
      <c r="B51" s="163" t="str">
        <f t="shared" si="2"/>
        <v>Euro area (18 countries)</v>
      </c>
      <c r="G51" s="125">
        <f t="shared" si="3"/>
        <v>1.1632990905440455E-2</v>
      </c>
      <c r="H51" s="125">
        <f t="shared" si="1"/>
        <v>1.3004951546238264E-2</v>
      </c>
      <c r="I51" s="125">
        <f t="shared" si="1"/>
        <v>1.4611688650825183E-2</v>
      </c>
      <c r="J51" s="125">
        <f t="shared" si="1"/>
        <v>1.4751731453522821E-2</v>
      </c>
      <c r="K51" s="125">
        <f t="shared" si="1"/>
        <v>1.3878029297278438E-2</v>
      </c>
      <c r="L51" s="125">
        <f t="shared" si="1"/>
        <v>1.2597738674570147E-2</v>
      </c>
      <c r="X51">
        <v>24</v>
      </c>
      <c r="Y51" s="86">
        <v>25</v>
      </c>
      <c r="Z51" s="86">
        <v>26</v>
      </c>
      <c r="AA51" s="86">
        <v>27</v>
      </c>
      <c r="AB51" s="86">
        <v>28</v>
      </c>
      <c r="AC51" s="86">
        <v>29</v>
      </c>
      <c r="AD51" s="86">
        <v>30</v>
      </c>
      <c r="AE51" s="86">
        <v>31</v>
      </c>
      <c r="AF51" s="86">
        <v>32</v>
      </c>
      <c r="AG51" s="86">
        <v>33</v>
      </c>
      <c r="AH51" s="86">
        <v>34</v>
      </c>
    </row>
    <row r="52" spans="2:34" ht="18">
      <c r="B52" s="163" t="str">
        <f t="shared" si="2"/>
        <v>Euro area (17 countries)</v>
      </c>
      <c r="G52" s="125">
        <f t="shared" si="3"/>
        <v>1.1777294243615177E-2</v>
      </c>
      <c r="H52" s="125">
        <f t="shared" si="1"/>
        <v>1.3136124662227688E-2</v>
      </c>
      <c r="I52" s="125">
        <f t="shared" si="1"/>
        <v>1.4657541097111038E-2</v>
      </c>
      <c r="J52" s="125">
        <f t="shared" si="1"/>
        <v>1.4775498392509911E-2</v>
      </c>
      <c r="K52" s="125">
        <f t="shared" si="1"/>
        <v>1.3863127768458439E-2</v>
      </c>
      <c r="L52" s="125">
        <f t="shared" si="1"/>
        <v>1.2572773702683948E-2</v>
      </c>
      <c r="X52" s="2" t="s">
        <v>1</v>
      </c>
      <c r="Y52" s="158" t="s">
        <v>8</v>
      </c>
      <c r="Z52" s="158" t="s">
        <v>9</v>
      </c>
      <c r="AA52" s="158" t="s">
        <v>10</v>
      </c>
      <c r="AB52" s="158" t="s">
        <v>58</v>
      </c>
      <c r="AC52" s="158" t="s">
        <v>325</v>
      </c>
      <c r="AD52" s="158" t="s">
        <v>384</v>
      </c>
      <c r="AE52" s="158" t="s">
        <v>409</v>
      </c>
      <c r="AF52" s="158" t="s">
        <v>436</v>
      </c>
      <c r="AG52" s="158" t="s">
        <v>445</v>
      </c>
      <c r="AH52" s="158" t="s">
        <v>545</v>
      </c>
    </row>
    <row r="53" spans="2:34" ht="18">
      <c r="B53" s="163" t="str">
        <f t="shared" si="2"/>
        <v>Austria</v>
      </c>
      <c r="G53" s="125">
        <f t="shared" si="3"/>
        <v>1.0943609669724408E-2</v>
      </c>
      <c r="H53" s="125">
        <f t="shared" si="1"/>
        <v>1.2719446728248762E-2</v>
      </c>
      <c r="I53" s="125">
        <f t="shared" si="1"/>
        <v>5.1352764966003939E-3</v>
      </c>
      <c r="J53" s="125">
        <f t="shared" si="1"/>
        <v>1.2443547612184247E-2</v>
      </c>
      <c r="K53" s="125">
        <f t="shared" si="1"/>
        <v>1.5812007395154204E-2</v>
      </c>
      <c r="L53" s="125">
        <f t="shared" si="1"/>
        <v>1.2440305635148086E-2</v>
      </c>
      <c r="X53" s="2" t="s">
        <v>11</v>
      </c>
      <c r="Y53" s="158">
        <v>11.8</v>
      </c>
      <c r="Z53" s="158">
        <v>11.9</v>
      </c>
      <c r="AA53" s="158">
        <v>12</v>
      </c>
      <c r="AB53" s="158">
        <v>12</v>
      </c>
      <c r="AC53" s="158">
        <v>12</v>
      </c>
      <c r="AD53" s="158">
        <v>12.1</v>
      </c>
      <c r="AE53" s="158">
        <v>12</v>
      </c>
      <c r="AF53" s="158">
        <v>12.1</v>
      </c>
      <c r="AG53" s="158">
        <v>12.1</v>
      </c>
      <c r="AH53" s="158">
        <v>12.2</v>
      </c>
    </row>
    <row r="54" spans="2:34" ht="18">
      <c r="B54" s="163" t="str">
        <f t="shared" si="2"/>
        <v>Belgium</v>
      </c>
      <c r="G54" s="125">
        <f t="shared" si="3"/>
        <v>6.7712045616534766E-3</v>
      </c>
      <c r="H54" s="125">
        <f t="shared" si="1"/>
        <v>1.0294443214522886E-2</v>
      </c>
      <c r="I54" s="125">
        <f t="shared" si="1"/>
        <v>1.6118704321137489E-2</v>
      </c>
      <c r="J54" s="125">
        <f t="shared" si="1"/>
        <v>7.9536612777730831E-3</v>
      </c>
      <c r="K54" s="138">
        <f t="shared" si="1"/>
        <v>3.0553097345132896E-2</v>
      </c>
      <c r="L54" s="138">
        <f t="shared" si="1"/>
        <v>1.748657828421174E-2</v>
      </c>
      <c r="X54" s="2" t="s">
        <v>12</v>
      </c>
      <c r="Y54" s="158">
        <v>11.8</v>
      </c>
      <c r="Z54" s="158">
        <v>11.9</v>
      </c>
      <c r="AA54" s="158">
        <v>12</v>
      </c>
      <c r="AB54" s="158">
        <v>11.9</v>
      </c>
      <c r="AC54" s="158">
        <v>12</v>
      </c>
      <c r="AD54" s="158">
        <v>12</v>
      </c>
      <c r="AE54" s="158">
        <v>12</v>
      </c>
      <c r="AF54" s="158">
        <v>12</v>
      </c>
      <c r="AG54" s="158">
        <v>12.1</v>
      </c>
      <c r="AH54" s="158">
        <v>12.1</v>
      </c>
    </row>
    <row r="55" spans="2:34" ht="18">
      <c r="B55" s="163" t="str">
        <f t="shared" si="2"/>
        <v>Bulgaria</v>
      </c>
      <c r="G55" s="125">
        <f t="shared" si="3"/>
        <v>1.7836929304016813E-2</v>
      </c>
      <c r="H55" s="125">
        <f t="shared" si="1"/>
        <v>4.0644662023485045E-2</v>
      </c>
      <c r="I55" s="125">
        <f t="shared" si="1"/>
        <v>5.1504300391553182E-2</v>
      </c>
      <c r="J55" s="125">
        <f t="shared" si="1"/>
        <v>5.0783507257214699E-2</v>
      </c>
      <c r="K55" s="138">
        <f t="shared" si="1"/>
        <v>1.9040878913490378E-2</v>
      </c>
      <c r="L55" s="137">
        <f>L12/H12-1</f>
        <v>-4.7528209770766328E-3</v>
      </c>
      <c r="X55" s="2" t="s">
        <v>13</v>
      </c>
      <c r="Y55" s="158">
        <v>11.8</v>
      </c>
      <c r="Z55" s="158">
        <v>11.9</v>
      </c>
      <c r="AA55" s="158">
        <v>12</v>
      </c>
      <c r="AB55" s="158">
        <v>12</v>
      </c>
      <c r="AC55" s="158">
        <v>12</v>
      </c>
      <c r="AD55" s="158">
        <v>12.1</v>
      </c>
      <c r="AE55" s="158">
        <v>12.1</v>
      </c>
      <c r="AF55" s="158">
        <v>12.2</v>
      </c>
      <c r="AG55" s="158">
        <v>12.3</v>
      </c>
      <c r="AH55" s="158">
        <v>12.4</v>
      </c>
    </row>
    <row r="56" spans="2:34" ht="18">
      <c r="B56" s="163" t="str">
        <f t="shared" si="2"/>
        <v>Croatia</v>
      </c>
      <c r="G56" s="125">
        <f t="shared" si="3"/>
        <v>5.7236842105263808E-3</v>
      </c>
      <c r="H56" s="125">
        <f t="shared" si="1"/>
        <v>1.9469026548672552E-2</v>
      </c>
      <c r="I56" s="125">
        <f t="shared" si="1"/>
        <v>3.1123560535325279E-2</v>
      </c>
      <c r="J56" s="125">
        <f t="shared" si="1"/>
        <v>3.6076518166645366E-2</v>
      </c>
      <c r="K56" s="138">
        <f t="shared" si="1"/>
        <v>4.1996467586838504E-2</v>
      </c>
      <c r="L56" s="138">
        <f t="shared" si="1"/>
        <v>1.9469246031746046E-2</v>
      </c>
      <c r="X56" s="2" t="s">
        <v>14</v>
      </c>
      <c r="Y56" s="158">
        <v>12.9</v>
      </c>
      <c r="Z56" s="158">
        <v>13.1</v>
      </c>
      <c r="AA56" s="158">
        <v>13.2</v>
      </c>
      <c r="AB56" s="158">
        <v>13.2</v>
      </c>
      <c r="AC56" s="158">
        <v>13.1</v>
      </c>
      <c r="AD56" s="158">
        <v>13.3</v>
      </c>
      <c r="AE56" s="158">
        <v>13.3</v>
      </c>
      <c r="AF56" s="158">
        <v>13.5</v>
      </c>
      <c r="AG56" s="158">
        <v>13.5</v>
      </c>
      <c r="AH56" s="158">
        <v>13.7</v>
      </c>
    </row>
    <row r="57" spans="2:34" ht="18">
      <c r="B57" s="163" t="str">
        <f t="shared" si="2"/>
        <v>Cyprus</v>
      </c>
      <c r="G57" s="125">
        <f t="shared" si="3"/>
        <v>4.5454545454545414E-2</v>
      </c>
      <c r="H57" s="125">
        <f t="shared" si="1"/>
        <v>3.7709497206703801E-2</v>
      </c>
      <c r="I57" s="125">
        <f t="shared" si="1"/>
        <v>5.2293064876957507E-2</v>
      </c>
      <c r="J57" s="125">
        <f t="shared" si="1"/>
        <v>4.4568245125348183E-2</v>
      </c>
      <c r="K57" s="138">
        <f t="shared" si="1"/>
        <v>5.4978962131837283E-2</v>
      </c>
      <c r="L57" s="138">
        <f t="shared" si="1"/>
        <v>5.5450874831763253E-2</v>
      </c>
      <c r="X57" s="2" t="s">
        <v>15</v>
      </c>
      <c r="Y57" s="158">
        <v>13</v>
      </c>
      <c r="Z57" s="158">
        <v>13.2</v>
      </c>
      <c r="AA57" s="158">
        <v>13.3</v>
      </c>
      <c r="AB57" s="158">
        <v>13.3</v>
      </c>
      <c r="AC57" s="158">
        <v>13.3</v>
      </c>
      <c r="AD57" s="158">
        <v>13.4</v>
      </c>
      <c r="AE57" s="158">
        <v>13.4</v>
      </c>
      <c r="AF57" s="158">
        <v>13.6</v>
      </c>
      <c r="AG57" s="158">
        <v>13.7</v>
      </c>
      <c r="AH57" s="158">
        <v>13.8</v>
      </c>
    </row>
    <row r="58" spans="2:34" ht="18">
      <c r="B58" s="163" t="str">
        <f t="shared" si="2"/>
        <v>Czech Republic</v>
      </c>
      <c r="G58" s="125">
        <f t="shared" si="3"/>
        <v>1.6976800386660162E-2</v>
      </c>
      <c r="H58" s="125">
        <f t="shared" si="1"/>
        <v>1.3912765362011692E-2</v>
      </c>
      <c r="I58" s="125">
        <f t="shared" si="1"/>
        <v>1.9072052184634813E-2</v>
      </c>
      <c r="J58" s="125">
        <f t="shared" si="1"/>
        <v>1.2275508190250584E-2</v>
      </c>
      <c r="K58" s="138">
        <f t="shared" si="1"/>
        <v>1.281213489376043E-2</v>
      </c>
      <c r="L58" s="138">
        <f t="shared" si="1"/>
        <v>1.3603564528212653E-2</v>
      </c>
      <c r="X58" s="2" t="s">
        <v>16</v>
      </c>
      <c r="Y58" s="158">
        <v>13.1</v>
      </c>
      <c r="Z58" s="158">
        <v>13.3</v>
      </c>
      <c r="AA58" s="158">
        <v>13.4</v>
      </c>
      <c r="AB58" s="158">
        <v>13.4</v>
      </c>
      <c r="AC58" s="158">
        <v>13.3</v>
      </c>
      <c r="AD58" s="158">
        <v>13.4</v>
      </c>
      <c r="AE58" s="158">
        <v>13.5</v>
      </c>
      <c r="AF58" s="158">
        <v>13.6</v>
      </c>
      <c r="AG58" s="158">
        <v>13.7</v>
      </c>
      <c r="AH58" s="158">
        <v>13.9</v>
      </c>
    </row>
    <row r="59" spans="2:34" ht="18">
      <c r="B59" s="163" t="str">
        <f t="shared" si="2"/>
        <v>Denmark</v>
      </c>
      <c r="G59" s="125">
        <f t="shared" si="3"/>
        <v>-1.0901082767480252E-2</v>
      </c>
      <c r="H59" s="125">
        <f t="shared" si="1"/>
        <v>-1.1661596407359087E-2</v>
      </c>
      <c r="I59" s="125">
        <f t="shared" si="1"/>
        <v>-7.246376811593791E-4</v>
      </c>
      <c r="J59" s="125">
        <f t="shared" si="1"/>
        <v>3.4244080145720002E-3</v>
      </c>
      <c r="K59" s="138">
        <f t="shared" si="1"/>
        <v>1.9890158824402482E-2</v>
      </c>
      <c r="L59" s="138">
        <f t="shared" si="1"/>
        <v>2.3781604983510451E-2</v>
      </c>
      <c r="X59" s="2" t="s">
        <v>35</v>
      </c>
      <c r="Y59" s="158">
        <v>9.9</v>
      </c>
      <c r="Z59" s="158">
        <v>10.4</v>
      </c>
      <c r="AA59" s="158">
        <v>8.4</v>
      </c>
      <c r="AB59" s="158">
        <v>9.1999999999999993</v>
      </c>
      <c r="AC59" s="158">
        <v>8.8000000000000007</v>
      </c>
      <c r="AD59" s="158">
        <v>10.7</v>
      </c>
      <c r="AE59" s="158">
        <v>10.5</v>
      </c>
      <c r="AF59" s="158">
        <v>11.4</v>
      </c>
      <c r="AG59" s="158">
        <v>10.7</v>
      </c>
      <c r="AH59" s="158">
        <v>10.7</v>
      </c>
    </row>
    <row r="60" spans="2:34" ht="18">
      <c r="B60" s="163" t="str">
        <f t="shared" si="2"/>
        <v>Estonia</v>
      </c>
      <c r="G60" s="125">
        <f t="shared" si="3"/>
        <v>3.1281365005018547E-2</v>
      </c>
      <c r="H60" s="125">
        <f t="shared" si="1"/>
        <v>-5.7822036620623907E-3</v>
      </c>
      <c r="I60" s="125">
        <f t="shared" si="1"/>
        <v>1.7730496453900679E-2</v>
      </c>
      <c r="J60" s="125">
        <f t="shared" si="1"/>
        <v>4.4707429322814018E-2</v>
      </c>
      <c r="K60" s="138">
        <f t="shared" si="1"/>
        <v>4.3795620437956373E-3</v>
      </c>
      <c r="L60" s="137">
        <f t="shared" si="1"/>
        <v>1.8901453957996805E-2</v>
      </c>
      <c r="X60" s="2" t="s">
        <v>17</v>
      </c>
      <c r="Y60" s="158">
        <v>7.9</v>
      </c>
      <c r="Z60" s="158">
        <v>8.1</v>
      </c>
      <c r="AA60" s="158">
        <v>8</v>
      </c>
      <c r="AB60" s="158">
        <v>8</v>
      </c>
      <c r="AC60" s="158">
        <v>7.9</v>
      </c>
      <c r="AD60" s="158">
        <v>7.9</v>
      </c>
      <c r="AE60" s="158">
        <v>8</v>
      </c>
      <c r="AF60" s="158">
        <v>7.9</v>
      </c>
      <c r="AG60" s="158">
        <v>8.1</v>
      </c>
      <c r="AH60" s="158">
        <v>8.3000000000000007</v>
      </c>
    </row>
    <row r="61" spans="2:34" ht="18">
      <c r="B61" s="163" t="str">
        <f t="shared" si="2"/>
        <v>Finland</v>
      </c>
      <c r="G61" s="125">
        <f t="shared" si="3"/>
        <v>5.3266892907770647E-3</v>
      </c>
      <c r="H61" s="125">
        <f t="shared" si="1"/>
        <v>6.5204751225182989E-3</v>
      </c>
      <c r="I61" s="125">
        <f t="shared" si="1"/>
        <v>3.9579468150896524E-3</v>
      </c>
      <c r="J61" s="125">
        <f t="shared" si="1"/>
        <v>2.316602316602312E-2</v>
      </c>
      <c r="K61" s="138">
        <f t="shared" si="1"/>
        <v>2.5723197880613613E-2</v>
      </c>
      <c r="L61" s="138">
        <f t="shared" si="1"/>
        <v>3.0534351145038219E-2</v>
      </c>
      <c r="X61" s="2" t="s">
        <v>18</v>
      </c>
      <c r="Y61" s="158">
        <v>8</v>
      </c>
      <c r="Z61" s="158">
        <v>7.8</v>
      </c>
      <c r="AA61" s="158">
        <v>7.5</v>
      </c>
      <c r="AB61" s="158">
        <v>7.5</v>
      </c>
      <c r="AC61" s="158">
        <v>7.7</v>
      </c>
      <c r="AD61" s="158">
        <v>7.9</v>
      </c>
      <c r="AE61" s="158">
        <v>7.5</v>
      </c>
      <c r="AF61" s="158">
        <v>8.1999999999999993</v>
      </c>
      <c r="AG61" s="158">
        <v>8.1999999999999993</v>
      </c>
      <c r="AH61" s="158">
        <v>8.5</v>
      </c>
    </row>
    <row r="62" spans="2:34" ht="18">
      <c r="B62" s="163" t="str">
        <f t="shared" si="2"/>
        <v>France</v>
      </c>
      <c r="G62" s="125">
        <f t="shared" si="3"/>
        <v>3.7346086529310707E-3</v>
      </c>
      <c r="H62" s="125">
        <f t="shared" si="1"/>
        <v>1.1884408173190142E-2</v>
      </c>
      <c r="I62" s="125">
        <f t="shared" si="1"/>
        <v>8.449093360398674E-3</v>
      </c>
      <c r="J62" s="125">
        <f t="shared" si="1"/>
        <v>1.6808615417504891E-2</v>
      </c>
      <c r="K62" s="138">
        <f t="shared" si="1"/>
        <v>1.4129532826786084E-2</v>
      </c>
      <c r="L62" s="138">
        <f t="shared" si="1"/>
        <v>6.1915668531522527E-3</v>
      </c>
      <c r="X62" s="2" t="s">
        <v>26</v>
      </c>
      <c r="Y62" s="158">
        <v>4.0999999999999996</v>
      </c>
      <c r="Z62" s="158">
        <v>3.8</v>
      </c>
      <c r="AA62" s="158">
        <v>4</v>
      </c>
      <c r="AB62" s="158">
        <v>3.6</v>
      </c>
      <c r="AC62" s="158">
        <v>3.7</v>
      </c>
      <c r="AD62" s="158">
        <v>3.6</v>
      </c>
      <c r="AE62" s="158">
        <v>3.6</v>
      </c>
      <c r="AF62" s="158">
        <v>3.6</v>
      </c>
      <c r="AG62" s="158">
        <v>3.9</v>
      </c>
      <c r="AH62" s="158">
        <v>4.0999999999999996</v>
      </c>
    </row>
    <row r="63" spans="2:34" ht="18">
      <c r="B63" s="163" t="str">
        <f t="shared" si="2"/>
        <v>Germany</v>
      </c>
      <c r="G63" s="125">
        <f t="shared" si="3"/>
        <v>5.9313436948165155E-3</v>
      </c>
      <c r="H63" s="125">
        <f t="shared" si="3"/>
        <v>8.3543782665667088E-3</v>
      </c>
      <c r="I63" s="125">
        <f t="shared" si="3"/>
        <v>1.195399680038034E-2</v>
      </c>
      <c r="J63" s="125">
        <f t="shared" si="3"/>
        <v>5.2786661928452272E-3</v>
      </c>
      <c r="K63" s="138">
        <f t="shared" si="3"/>
        <v>7.619464994036429E-3</v>
      </c>
      <c r="L63" s="138">
        <f t="shared" si="3"/>
        <v>2.8057020229934615E-3</v>
      </c>
      <c r="X63" s="2" t="s">
        <v>28</v>
      </c>
      <c r="Y63" s="158">
        <v>16.2</v>
      </c>
      <c r="Z63" s="158">
        <v>16.5</v>
      </c>
      <c r="AA63" s="158">
        <v>17.8</v>
      </c>
      <c r="AB63" s="158">
        <v>18.3</v>
      </c>
      <c r="AC63" s="158">
        <v>18.600000000000001</v>
      </c>
      <c r="AD63" s="158">
        <v>19.7</v>
      </c>
      <c r="AE63" s="158">
        <v>19.7</v>
      </c>
      <c r="AF63" s="158">
        <v>18.5</v>
      </c>
      <c r="AG63" s="158">
        <v>18</v>
      </c>
      <c r="AH63" s="158">
        <v>18.3</v>
      </c>
    </row>
    <row r="64" spans="2:34" ht="18">
      <c r="B64" s="163" t="str">
        <f t="shared" si="2"/>
        <v>Greece</v>
      </c>
      <c r="G64" s="125">
        <f t="shared" ref="G64:L79" si="4">G21/C21-1</f>
        <v>1.3742698309676449E-2</v>
      </c>
      <c r="H64" s="125">
        <f t="shared" si="4"/>
        <v>2.2700414983373385E-2</v>
      </c>
      <c r="I64" s="125">
        <f t="shared" si="4"/>
        <v>2.158586710945376E-2</v>
      </c>
      <c r="J64" s="125">
        <f t="shared" si="4"/>
        <v>2.2063540765947964E-2</v>
      </c>
      <c r="K64" s="138">
        <f t="shared" si="4"/>
        <v>1.5978176149649359E-2</v>
      </c>
      <c r="L64" s="138">
        <f t="shared" si="4"/>
        <v>1.6822078305968269E-2</v>
      </c>
      <c r="X64" s="2" t="s">
        <v>19</v>
      </c>
      <c r="Y64" s="158">
        <v>15.5</v>
      </c>
      <c r="Z64" s="158">
        <v>16.2</v>
      </c>
      <c r="AA64" s="158">
        <v>15.7</v>
      </c>
      <c r="AB64" s="158">
        <v>16</v>
      </c>
      <c r="AC64" s="158">
        <v>14.6</v>
      </c>
      <c r="AD64" s="158">
        <v>15.6</v>
      </c>
      <c r="AE64" s="158">
        <v>14.4</v>
      </c>
      <c r="AF64" s="158">
        <v>12.9</v>
      </c>
      <c r="AG64" s="158">
        <v>12.7</v>
      </c>
      <c r="AH64" s="158">
        <v>13.9</v>
      </c>
    </row>
    <row r="65" spans="2:34" ht="18">
      <c r="B65" s="163" t="str">
        <f t="shared" si="2"/>
        <v>Hungary</v>
      </c>
      <c r="G65" s="125">
        <f t="shared" si="4"/>
        <v>2.3197462481655107E-2</v>
      </c>
      <c r="H65" s="125">
        <f t="shared" si="4"/>
        <v>1.5425717272621542E-2</v>
      </c>
      <c r="I65" s="125">
        <f t="shared" si="4"/>
        <v>1.3047380168902611E-2</v>
      </c>
      <c r="J65" s="125">
        <f t="shared" si="4"/>
        <v>8.0225548398926705E-3</v>
      </c>
      <c r="K65" s="138">
        <f t="shared" si="4"/>
        <v>1.381113218896024E-2</v>
      </c>
      <c r="L65" s="138">
        <f t="shared" si="4"/>
        <v>1.0844448511748261E-2</v>
      </c>
      <c r="X65" s="2" t="s">
        <v>20</v>
      </c>
      <c r="Y65" s="158">
        <v>8.3000000000000007</v>
      </c>
      <c r="Z65" s="158">
        <v>8.5</v>
      </c>
      <c r="AA65" s="158">
        <v>8.3000000000000007</v>
      </c>
      <c r="AB65" s="158">
        <v>8.1999999999999993</v>
      </c>
      <c r="AC65" s="158">
        <v>8.1</v>
      </c>
      <c r="AD65" s="158">
        <v>8.1</v>
      </c>
      <c r="AE65" s="158">
        <v>8.1</v>
      </c>
      <c r="AF65" s="158">
        <v>8.1</v>
      </c>
      <c r="AG65" s="158">
        <v>8.1999999999999993</v>
      </c>
      <c r="AH65" s="158">
        <v>8</v>
      </c>
    </row>
    <row r="66" spans="2:34" ht="18">
      <c r="B66" s="163" t="str">
        <f t="shared" si="2"/>
        <v>Iceland</v>
      </c>
      <c r="G66" s="125">
        <f t="shared" si="4"/>
        <v>3.392754456584246E-2</v>
      </c>
      <c r="H66" s="125">
        <f t="shared" si="4"/>
        <v>2.5938189845474691E-2</v>
      </c>
      <c r="I66" s="125">
        <f t="shared" si="4"/>
        <v>3.814713896457711E-3</v>
      </c>
      <c r="J66" s="125">
        <f t="shared" si="4"/>
        <v>1.6648168701442811E-2</v>
      </c>
      <c r="K66" s="138">
        <f t="shared" si="4"/>
        <v>2.0022246941045596E-2</v>
      </c>
      <c r="L66" s="138">
        <f t="shared" si="4"/>
        <v>3.7654653039267405E-3</v>
      </c>
      <c r="X66" s="2" t="s">
        <v>21</v>
      </c>
      <c r="Y66" s="158">
        <v>7.4</v>
      </c>
      <c r="Z66" s="158">
        <v>8.3000000000000007</v>
      </c>
      <c r="AA66" s="158">
        <v>8.4</v>
      </c>
      <c r="AB66" s="158">
        <v>7.7</v>
      </c>
      <c r="AC66" s="158">
        <v>13.1</v>
      </c>
      <c r="AD66" s="158">
        <v>12.6</v>
      </c>
      <c r="AE66" s="158">
        <v>11.9</v>
      </c>
      <c r="AF66" s="158">
        <v>12.1</v>
      </c>
      <c r="AG66" s="158">
        <v>12.8</v>
      </c>
      <c r="AH66" s="158">
        <v>12</v>
      </c>
    </row>
    <row r="67" spans="2:34" ht="18">
      <c r="B67" s="163" t="str">
        <f t="shared" si="2"/>
        <v>Ireland</v>
      </c>
      <c r="G67" s="125">
        <f t="shared" si="4"/>
        <v>3.7620817843866172E-2</v>
      </c>
      <c r="H67" s="125">
        <f t="shared" si="4"/>
        <v>2.625831189632577E-2</v>
      </c>
      <c r="I67" s="125">
        <f t="shared" si="4"/>
        <v>2.121154213644183E-2</v>
      </c>
      <c r="J67" s="125">
        <f t="shared" si="4"/>
        <v>2.7324749642346324E-2</v>
      </c>
      <c r="K67" s="138">
        <f t="shared" si="4"/>
        <v>2.3263590331517925E-2</v>
      </c>
      <c r="L67" s="138">
        <f t="shared" si="4"/>
        <v>2.922814982973887E-2</v>
      </c>
      <c r="X67" s="2" t="s">
        <v>41</v>
      </c>
      <c r="Y67" s="158">
        <v>2.4</v>
      </c>
      <c r="Z67" s="158">
        <v>3.4</v>
      </c>
      <c r="AA67" s="158">
        <v>3.4</v>
      </c>
      <c r="AB67" s="158">
        <v>3.2</v>
      </c>
      <c r="AC67" s="158">
        <v>3</v>
      </c>
      <c r="AD67" s="158">
        <v>3.6</v>
      </c>
      <c r="AE67" s="158">
        <v>4.3</v>
      </c>
      <c r="AF67" s="158">
        <v>2.6</v>
      </c>
      <c r="AG67" s="158">
        <v>2.6</v>
      </c>
      <c r="AH67" s="158">
        <v>2.9</v>
      </c>
    </row>
    <row r="68" spans="2:34" ht="18">
      <c r="B68" s="163" t="str">
        <f t="shared" si="2"/>
        <v>Italy</v>
      </c>
      <c r="G68" s="125">
        <f t="shared" si="4"/>
        <v>1.2465538332329107E-2</v>
      </c>
      <c r="H68" s="125">
        <f t="shared" si="4"/>
        <v>3.7407095310066918E-3</v>
      </c>
      <c r="I68" s="125">
        <f t="shared" si="4"/>
        <v>1.0029287486865268E-2</v>
      </c>
      <c r="J68" s="125">
        <f t="shared" si="4"/>
        <v>1.0268250175180293E-2</v>
      </c>
      <c r="K68" s="138">
        <f t="shared" si="4"/>
        <v>4.215224398710582E-3</v>
      </c>
      <c r="L68" s="138">
        <f t="shared" si="4"/>
        <v>1.3108098503962218E-2</v>
      </c>
      <c r="X68" s="2" t="s">
        <v>25</v>
      </c>
      <c r="Y68" s="158">
        <v>13.4</v>
      </c>
      <c r="Z68" s="158">
        <v>13.3</v>
      </c>
      <c r="AA68" s="158">
        <v>13.1</v>
      </c>
      <c r="AB68" s="158">
        <v>12.9</v>
      </c>
      <c r="AC68" s="158">
        <v>13.2</v>
      </c>
      <c r="AD68" s="158">
        <v>13.5</v>
      </c>
      <c r="AE68" s="158">
        <v>13.8</v>
      </c>
      <c r="AF68" s="158">
        <v>13.8</v>
      </c>
      <c r="AG68" s="158">
        <v>13.9</v>
      </c>
      <c r="AH68" s="158">
        <v>14.2</v>
      </c>
    </row>
    <row r="69" spans="2:34" ht="18">
      <c r="B69" s="163" t="str">
        <f t="shared" si="2"/>
        <v>Latvia</v>
      </c>
      <c r="G69" s="125">
        <f t="shared" si="4"/>
        <v>-1.1740090666046643E-2</v>
      </c>
      <c r="H69" s="125">
        <f t="shared" si="4"/>
        <v>-8.3006686649756967E-3</v>
      </c>
      <c r="I69" s="125">
        <f t="shared" si="4"/>
        <v>6.9524913093859109E-3</v>
      </c>
      <c r="J69" s="125">
        <f t="shared" si="4"/>
        <v>1.0830324909747224E-2</v>
      </c>
      <c r="K69" s="138">
        <f t="shared" si="4"/>
        <v>1.6349094330745606E-2</v>
      </c>
      <c r="L69" s="137">
        <f t="shared" si="4"/>
        <v>1.6740292955126579E-2</v>
      </c>
      <c r="X69" s="2" t="s">
        <v>49</v>
      </c>
      <c r="Y69" s="158">
        <v>13.7</v>
      </c>
      <c r="Z69" s="158">
        <v>14.2</v>
      </c>
      <c r="AA69" s="158">
        <v>14.1</v>
      </c>
      <c r="AB69" s="158">
        <v>14.2</v>
      </c>
      <c r="AC69" s="158">
        <v>14</v>
      </c>
      <c r="AD69" s="158">
        <v>14.2</v>
      </c>
      <c r="AE69" s="158">
        <v>14.1</v>
      </c>
      <c r="AF69" s="158">
        <v>14.3</v>
      </c>
      <c r="AG69" s="158">
        <v>14.7</v>
      </c>
      <c r="AH69" s="158">
        <v>14.7</v>
      </c>
    </row>
    <row r="70" spans="2:34" ht="18">
      <c r="B70" s="163" t="str">
        <f t="shared" si="2"/>
        <v>Lithuania</v>
      </c>
      <c r="G70" s="125">
        <f t="shared" si="4"/>
        <v>-1.0094058270245454E-2</v>
      </c>
      <c r="H70" s="125">
        <f t="shared" si="4"/>
        <v>-8.2419659735349926E-3</v>
      </c>
      <c r="I70" s="125">
        <f t="shared" si="4"/>
        <v>-1.1606873681036967E-2</v>
      </c>
      <c r="J70" s="125">
        <f t="shared" si="4"/>
        <v>-6.6225165562914245E-3</v>
      </c>
      <c r="K70" s="138">
        <f t="shared" si="4"/>
        <v>1.1587485515642815E-3</v>
      </c>
      <c r="L70" s="138">
        <f t="shared" si="4"/>
        <v>5.3369929856663667E-3</v>
      </c>
      <c r="X70" s="2" t="s">
        <v>23</v>
      </c>
      <c r="Y70" s="158">
        <v>11.8</v>
      </c>
      <c r="Z70" s="158">
        <v>11.7</v>
      </c>
      <c r="AA70" s="158">
        <v>11.8</v>
      </c>
      <c r="AB70" s="158">
        <v>11.8</v>
      </c>
      <c r="AC70" s="158">
        <v>11.9</v>
      </c>
      <c r="AD70" s="158">
        <v>11.9</v>
      </c>
      <c r="AE70" s="158">
        <v>11.9</v>
      </c>
      <c r="AF70" s="158">
        <v>12</v>
      </c>
      <c r="AG70" s="158">
        <v>11.8</v>
      </c>
      <c r="AH70" s="158">
        <v>11.7</v>
      </c>
    </row>
    <row r="71" spans="2:34" ht="18">
      <c r="B71" s="163" t="str">
        <f t="shared" si="2"/>
        <v>Luxembourg</v>
      </c>
      <c r="G71" s="125">
        <f t="shared" si="4"/>
        <v>3.9026275115919606E-2</v>
      </c>
      <c r="H71" s="125">
        <f t="shared" si="4"/>
        <v>3.953488372093017E-2</v>
      </c>
      <c r="I71" s="125">
        <f t="shared" si="4"/>
        <v>5.697674418604648E-2</v>
      </c>
      <c r="J71" s="125">
        <f t="shared" si="4"/>
        <v>2.6626093571700205E-2</v>
      </c>
      <c r="K71" s="138">
        <f t="shared" si="4"/>
        <v>3.6444775009297103E-2</v>
      </c>
      <c r="L71" s="138">
        <f t="shared" si="4"/>
        <v>2.3862788963460169E-2</v>
      </c>
      <c r="X71" s="2" t="s">
        <v>32</v>
      </c>
      <c r="Y71" s="158">
        <v>7.7</v>
      </c>
      <c r="Z71" s="158">
        <v>7.8</v>
      </c>
      <c r="AA71" s="158">
        <v>7.9</v>
      </c>
      <c r="AB71" s="158">
        <v>8</v>
      </c>
      <c r="AC71" s="158">
        <v>7.8</v>
      </c>
      <c r="AD71" s="158">
        <v>7.7</v>
      </c>
      <c r="AE71" s="158">
        <v>7.5</v>
      </c>
      <c r="AF71" s="158">
        <v>6.8</v>
      </c>
      <c r="AG71" s="158">
        <v>7</v>
      </c>
      <c r="AH71" s="158">
        <v>8.1</v>
      </c>
    </row>
    <row r="72" spans="2:34" ht="18">
      <c r="B72" s="163" t="str">
        <f t="shared" si="2"/>
        <v>Macedonia</v>
      </c>
      <c r="G72" s="125">
        <f t="shared" si="4"/>
        <v>3.3475177304964632E-2</v>
      </c>
      <c r="H72" s="125">
        <f t="shared" si="4"/>
        <v>3.3262861169838009E-2</v>
      </c>
      <c r="I72" s="125">
        <f t="shared" si="4"/>
        <v>2.4366471734892814E-2</v>
      </c>
      <c r="J72" s="125">
        <f t="shared" si="4"/>
        <v>1.7699115044247815E-2</v>
      </c>
      <c r="K72" s="138">
        <f t="shared" si="4"/>
        <v>1.125446060938784E-2</v>
      </c>
      <c r="L72" s="138">
        <f t="shared" si="4"/>
        <v>1.3504296821716055E-2</v>
      </c>
      <c r="X72" s="2" t="s">
        <v>44</v>
      </c>
      <c r="Y72" s="158">
        <v>9.9</v>
      </c>
      <c r="Z72" s="158">
        <v>10</v>
      </c>
      <c r="AA72" s="158">
        <v>10.199999999999999</v>
      </c>
      <c r="AB72" s="158">
        <v>10.4</v>
      </c>
      <c r="AC72" s="158">
        <v>9.4</v>
      </c>
      <c r="AD72" s="158">
        <v>8.9</v>
      </c>
      <c r="AE72" s="158">
        <v>8.6</v>
      </c>
      <c r="AF72" s="158">
        <v>8.1</v>
      </c>
      <c r="AG72" s="158">
        <v>8.6999999999999993</v>
      </c>
      <c r="AH72" s="158">
        <v>8.1999999999999993</v>
      </c>
    </row>
    <row r="73" spans="2:34" ht="18">
      <c r="B73" s="163" t="str">
        <f t="shared" si="2"/>
        <v>Malta</v>
      </c>
      <c r="G73" s="125">
        <f t="shared" si="4"/>
        <v>5.1359516616314327E-2</v>
      </c>
      <c r="H73" s="125">
        <f t="shared" si="4"/>
        <v>5.5036855036854959E-2</v>
      </c>
      <c r="I73" s="125">
        <f t="shared" si="4"/>
        <v>5.4144705318639241E-2</v>
      </c>
      <c r="J73" s="125">
        <f t="shared" si="4"/>
        <v>7.7590361445783129E-2</v>
      </c>
      <c r="K73" s="138">
        <f t="shared" si="4"/>
        <v>6.657088122605348E-2</v>
      </c>
      <c r="L73" s="138">
        <f t="shared" si="4"/>
        <v>5.6823474615742997E-2</v>
      </c>
      <c r="X73" s="2" t="s">
        <v>22</v>
      </c>
      <c r="Y73" s="158">
        <v>11.2</v>
      </c>
      <c r="Z73" s="158">
        <v>11.8</v>
      </c>
      <c r="AA73" s="158">
        <v>11.6</v>
      </c>
      <c r="AB73" s="158">
        <v>11</v>
      </c>
      <c r="AC73" s="158">
        <v>10.4</v>
      </c>
      <c r="AD73" s="158">
        <v>10.6</v>
      </c>
      <c r="AE73" s="158">
        <v>10.3</v>
      </c>
      <c r="AF73" s="158">
        <v>10.4</v>
      </c>
      <c r="AG73" s="158">
        <v>10</v>
      </c>
      <c r="AH73" s="158">
        <v>10</v>
      </c>
    </row>
    <row r="74" spans="2:34" ht="18">
      <c r="B74" s="163" t="str">
        <f t="shared" si="2"/>
        <v>Netherlands</v>
      </c>
      <c r="G74" s="125">
        <f t="shared" si="4"/>
        <v>2.0892137407402922E-2</v>
      </c>
      <c r="H74" s="125">
        <f t="shared" si="4"/>
        <v>1.7935636270653976E-2</v>
      </c>
      <c r="I74" s="125">
        <f t="shared" si="4"/>
        <v>1.7550640785611638E-2</v>
      </c>
      <c r="J74" s="125">
        <f t="shared" si="4"/>
        <v>1.8096490487278238E-2</v>
      </c>
      <c r="K74" s="138">
        <f t="shared" si="4"/>
        <v>1.8194769758288265E-2</v>
      </c>
      <c r="L74" s="138">
        <f t="shared" si="4"/>
        <v>1.8947368421052602E-2</v>
      </c>
      <c r="X74" s="2" t="s">
        <v>27</v>
      </c>
      <c r="Y74" s="158">
        <v>7.4</v>
      </c>
      <c r="Z74" s="158">
        <v>7.3</v>
      </c>
      <c r="AA74" s="158">
        <v>7.4</v>
      </c>
      <c r="AB74" s="158">
        <v>6.9</v>
      </c>
      <c r="AC74" s="158">
        <v>6.9</v>
      </c>
      <c r="AD74" s="158">
        <v>7</v>
      </c>
      <c r="AE74" s="158">
        <v>6.9</v>
      </c>
      <c r="AF74" s="158">
        <v>6.7</v>
      </c>
      <c r="AG74" s="158">
        <v>6.4</v>
      </c>
      <c r="AH74" s="158">
        <v>5.9</v>
      </c>
    </row>
    <row r="75" spans="2:34" ht="18">
      <c r="B75" s="163" t="str">
        <f t="shared" si="2"/>
        <v>Norway</v>
      </c>
      <c r="G75" s="125">
        <f t="shared" si="4"/>
        <v>-3.7037037037037646E-3</v>
      </c>
      <c r="H75" s="125">
        <f t="shared" si="4"/>
        <v>4.798615481434787E-3</v>
      </c>
      <c r="I75" s="125">
        <f t="shared" si="4"/>
        <v>1.0931948619841148E-3</v>
      </c>
      <c r="J75" s="125">
        <f t="shared" si="4"/>
        <v>5.6764427625353164E-3</v>
      </c>
      <c r="K75" s="138">
        <f t="shared" si="4"/>
        <v>1.2141105750217651E-2</v>
      </c>
      <c r="L75" s="138">
        <f t="shared" si="4"/>
        <v>1.4640256791669914E-2</v>
      </c>
      <c r="X75" s="2" t="s">
        <v>29</v>
      </c>
      <c r="Y75" s="158">
        <v>10.5</v>
      </c>
      <c r="Z75" s="158">
        <v>10.7</v>
      </c>
      <c r="AA75" s="158">
        <v>11.1</v>
      </c>
      <c r="AB75" s="158">
        <v>10.8</v>
      </c>
      <c r="AC75" s="158">
        <v>10.4</v>
      </c>
      <c r="AD75" s="158">
        <v>10.8</v>
      </c>
      <c r="AE75" s="158">
        <v>11</v>
      </c>
      <c r="AF75" s="158">
        <v>11.1</v>
      </c>
      <c r="AG75" s="158">
        <v>11.4</v>
      </c>
      <c r="AH75" s="158">
        <v>11.9</v>
      </c>
    </row>
    <row r="76" spans="2:34" ht="18">
      <c r="B76" s="163" t="str">
        <f t="shared" si="2"/>
        <v>Poland</v>
      </c>
      <c r="G76" s="125">
        <f t="shared" si="4"/>
        <v>1.3915110831410393E-2</v>
      </c>
      <c r="H76" s="125">
        <f t="shared" si="4"/>
        <v>1.6136639478797843E-2</v>
      </c>
      <c r="I76" s="125">
        <f t="shared" si="4"/>
        <v>1.1609839229101526E-2</v>
      </c>
      <c r="J76" s="125">
        <f t="shared" si="4"/>
        <v>2.9349319345572944E-3</v>
      </c>
      <c r="K76" s="138">
        <f t="shared" si="4"/>
        <v>3.7366771159874634E-3</v>
      </c>
      <c r="L76" s="138">
        <f t="shared" si="4"/>
        <v>4.208363503586332E-3</v>
      </c>
      <c r="X76" s="2" t="s">
        <v>30</v>
      </c>
      <c r="Y76" s="158">
        <v>2.7</v>
      </c>
      <c r="Z76" s="158">
        <v>3.2</v>
      </c>
      <c r="AA76" s="158">
        <v>3.3</v>
      </c>
      <c r="AB76" s="158">
        <v>3.9</v>
      </c>
      <c r="AC76" s="158">
        <v>3.7</v>
      </c>
      <c r="AD76" s="158">
        <v>3.3</v>
      </c>
      <c r="AE76" s="158">
        <v>3.1</v>
      </c>
      <c r="AF76" s="158">
        <v>2.8</v>
      </c>
      <c r="AG76" s="158">
        <v>2.6</v>
      </c>
      <c r="AH76" s="158">
        <v>2.6</v>
      </c>
    </row>
    <row r="77" spans="2:34" ht="18">
      <c r="B77" s="163" t="str">
        <f t="shared" si="2"/>
        <v>Portugal</v>
      </c>
      <c r="G77" s="125">
        <f t="shared" si="4"/>
        <v>2.9918805108996471E-2</v>
      </c>
      <c r="H77" s="125">
        <f t="shared" si="4"/>
        <v>3.0530507621183922E-2</v>
      </c>
      <c r="I77" s="125">
        <f t="shared" si="4"/>
        <v>3.2082776733760365E-2</v>
      </c>
      <c r="J77" s="125">
        <f t="shared" si="4"/>
        <v>3.9336439041018245E-2</v>
      </c>
      <c r="K77" s="138">
        <f t="shared" si="4"/>
        <v>3.2528405882220168E-2</v>
      </c>
      <c r="L77" s="138">
        <f t="shared" si="4"/>
        <v>2.7116460868792602E-2</v>
      </c>
      <c r="X77" s="2" t="s">
        <v>31</v>
      </c>
      <c r="Y77" s="158">
        <v>1.9</v>
      </c>
      <c r="Z77" s="158">
        <v>1.7</v>
      </c>
      <c r="AA77" s="158">
        <v>1.7</v>
      </c>
      <c r="AB77" s="158">
        <v>2.1</v>
      </c>
      <c r="AC77" s="158">
        <v>1.8</v>
      </c>
      <c r="AD77" s="158">
        <v>2</v>
      </c>
      <c r="AE77" s="158">
        <v>1.6</v>
      </c>
      <c r="AF77" s="158">
        <v>1.4</v>
      </c>
      <c r="AG77" s="158">
        <v>1.7</v>
      </c>
      <c r="AH77" s="158">
        <v>1.5</v>
      </c>
    </row>
    <row r="78" spans="2:34" ht="18">
      <c r="B78" s="163" t="str">
        <f t="shared" si="2"/>
        <v>Romania</v>
      </c>
      <c r="G78" s="125">
        <f t="shared" si="4"/>
        <v>1.1984322395859559E-2</v>
      </c>
      <c r="H78" s="125">
        <f t="shared" si="4"/>
        <v>4.7426264984073763E-2</v>
      </c>
      <c r="I78" s="125">
        <f t="shared" si="4"/>
        <v>2.1644969704241346E-2</v>
      </c>
      <c r="J78" s="125">
        <f t="shared" si="4"/>
        <v>1.5066306483300762E-2</v>
      </c>
      <c r="K78" s="138">
        <f t="shared" si="4"/>
        <v>1.6646391419846474E-2</v>
      </c>
      <c r="L78" s="137">
        <f t="shared" si="4"/>
        <v>-1.2628402298183405E-2</v>
      </c>
      <c r="X78" s="2" t="s">
        <v>56</v>
      </c>
      <c r="Y78" s="158">
        <v>7.9</v>
      </c>
      <c r="Z78" s="158">
        <v>9</v>
      </c>
      <c r="AA78" s="158">
        <v>10.3</v>
      </c>
      <c r="AB78" s="158">
        <v>9.3000000000000007</v>
      </c>
      <c r="AC78" s="158">
        <v>7.7</v>
      </c>
      <c r="AD78" s="158">
        <v>7.2</v>
      </c>
      <c r="AE78" s="158">
        <v>8.6</v>
      </c>
      <c r="AF78" s="158">
        <v>8.3000000000000007</v>
      </c>
      <c r="AG78" s="158">
        <v>7.9</v>
      </c>
      <c r="AH78" s="158">
        <v>8.6</v>
      </c>
    </row>
    <row r="79" spans="2:34" ht="18">
      <c r="B79" s="163" t="str">
        <f t="shared" si="2"/>
        <v>Slovakia</v>
      </c>
      <c r="G79" s="125">
        <f t="shared" si="4"/>
        <v>1.7972652092033137E-2</v>
      </c>
      <c r="H79" s="125">
        <f t="shared" si="4"/>
        <v>1.075703655774829E-2</v>
      </c>
      <c r="I79" s="125">
        <f t="shared" si="4"/>
        <v>1.1642897429699595E-2</v>
      </c>
      <c r="J79" s="125">
        <f t="shared" si="4"/>
        <v>8.8378258948298427E-3</v>
      </c>
      <c r="K79" s="138">
        <f t="shared" si="4"/>
        <v>1.1059722501508107E-2</v>
      </c>
      <c r="L79" s="138">
        <f t="shared" si="4"/>
        <v>6.8816515963829872E-3</v>
      </c>
      <c r="X79" s="2" t="s">
        <v>33</v>
      </c>
      <c r="Y79" s="158">
        <v>6.1</v>
      </c>
      <c r="Z79" s="158">
        <v>6.3</v>
      </c>
      <c r="AA79" s="158">
        <v>6.8</v>
      </c>
      <c r="AB79" s="158">
        <v>6.5</v>
      </c>
      <c r="AC79" s="158">
        <v>6.5</v>
      </c>
      <c r="AD79" s="158">
        <v>6.5</v>
      </c>
      <c r="AE79" s="158">
        <v>6.5</v>
      </c>
      <c r="AF79" s="158">
        <v>6.6</v>
      </c>
      <c r="AG79" s="158">
        <v>5.5</v>
      </c>
      <c r="AH79" s="158">
        <v>4.9000000000000004</v>
      </c>
    </row>
    <row r="80" spans="2:34" ht="18">
      <c r="B80" s="163" t="str">
        <f t="shared" si="2"/>
        <v>Slovenia</v>
      </c>
      <c r="G80" s="125">
        <f t="shared" ref="G80:L85" si="5">G37/C37-1</f>
        <v>4.0996602491506273E-2</v>
      </c>
      <c r="H80" s="125">
        <f t="shared" si="5"/>
        <v>3.7257495590828915E-2</v>
      </c>
      <c r="I80" s="125">
        <f t="shared" si="5"/>
        <v>5.5971793741736331E-2</v>
      </c>
      <c r="J80" s="125">
        <f t="shared" si="5"/>
        <v>4.7363227716259004E-2</v>
      </c>
      <c r="K80" s="138">
        <f t="shared" si="5"/>
        <v>2.741514360313313E-2</v>
      </c>
      <c r="L80" s="137">
        <f t="shared" si="5"/>
        <v>2.422954303931979E-2</v>
      </c>
      <c r="X80" s="2" t="s">
        <v>34</v>
      </c>
      <c r="Y80" s="158">
        <v>16.3</v>
      </c>
      <c r="Z80" s="158">
        <v>16.7</v>
      </c>
      <c r="AA80" s="158">
        <v>16.899999999999999</v>
      </c>
      <c r="AB80" s="158">
        <v>16.8</v>
      </c>
      <c r="AC80" s="158">
        <v>16.8</v>
      </c>
      <c r="AD80" s="158">
        <v>17.100000000000001</v>
      </c>
      <c r="AE80" s="158">
        <v>17.2</v>
      </c>
      <c r="AF80" s="158">
        <v>17.600000000000001</v>
      </c>
      <c r="AG80" s="158">
        <v>18</v>
      </c>
      <c r="AH80" s="158">
        <v>18.100000000000001</v>
      </c>
    </row>
    <row r="81" spans="2:34" ht="18">
      <c r="B81" s="163" t="str">
        <f t="shared" si="2"/>
        <v>Spain</v>
      </c>
      <c r="G81" s="125">
        <f t="shared" si="5"/>
        <v>2.1760771330141981E-2</v>
      </c>
      <c r="H81" s="125">
        <f t="shared" si="5"/>
        <v>2.741697172848756E-2</v>
      </c>
      <c r="I81" s="125">
        <f t="shared" si="5"/>
        <v>2.7254513382260148E-2</v>
      </c>
      <c r="J81" s="125">
        <f t="shared" si="5"/>
        <v>2.5970486101646761E-2</v>
      </c>
      <c r="K81" s="138">
        <f t="shared" si="5"/>
        <v>2.3152836085583495E-2</v>
      </c>
      <c r="L81" s="138">
        <f t="shared" si="5"/>
        <v>2.7924896837789648E-2</v>
      </c>
      <c r="X81" s="2" t="s">
        <v>45</v>
      </c>
      <c r="Y81" s="158">
        <v>6.8</v>
      </c>
      <c r="Z81" s="158">
        <v>7.6</v>
      </c>
      <c r="AA81" s="158">
        <v>7.9</v>
      </c>
      <c r="AB81" s="158">
        <v>7.6</v>
      </c>
      <c r="AC81" s="158">
        <v>7.8</v>
      </c>
      <c r="AD81" s="158">
        <v>8.4</v>
      </c>
      <c r="AE81" s="158">
        <v>8.9</v>
      </c>
      <c r="AF81" s="158">
        <v>7.7</v>
      </c>
      <c r="AG81" s="158">
        <v>7.3</v>
      </c>
      <c r="AH81" s="158">
        <v>8.1999999999999993</v>
      </c>
    </row>
    <row r="82" spans="2:34" ht="18">
      <c r="B82" s="163" t="str">
        <f t="shared" si="2"/>
        <v>Sweden</v>
      </c>
      <c r="G82" s="125">
        <f t="shared" si="5"/>
        <v>2.3091849935316988E-2</v>
      </c>
      <c r="H82" s="125">
        <f t="shared" si="5"/>
        <v>1.840052152335292E-2</v>
      </c>
      <c r="I82" s="125">
        <f t="shared" si="5"/>
        <v>2.2137150466045474E-2</v>
      </c>
      <c r="J82" s="125">
        <f t="shared" si="5"/>
        <v>1.9440403145887242E-2</v>
      </c>
      <c r="K82" s="138">
        <f t="shared" si="5"/>
        <v>1.6522307222186949E-2</v>
      </c>
      <c r="L82" s="138">
        <f t="shared" si="5"/>
        <v>1.7778970843313591E-2</v>
      </c>
      <c r="X82" s="2" t="s">
        <v>36</v>
      </c>
      <c r="Y82" s="158">
        <v>22.5</v>
      </c>
      <c r="Z82" s="158">
        <v>22.1</v>
      </c>
      <c r="AA82" s="158">
        <v>22</v>
      </c>
      <c r="AB82" s="158">
        <v>22.1</v>
      </c>
      <c r="AC82" s="158">
        <v>22.3</v>
      </c>
      <c r="AD82" s="158">
        <v>22.2</v>
      </c>
      <c r="AE82" s="158">
        <v>21.8</v>
      </c>
      <c r="AF82" s="158">
        <v>21.4</v>
      </c>
      <c r="AG82" s="158">
        <v>21.2</v>
      </c>
      <c r="AH82" s="158">
        <v>21.2</v>
      </c>
    </row>
    <row r="83" spans="2:34" ht="18">
      <c r="B83" s="163" t="str">
        <f t="shared" si="2"/>
        <v>Switzerland</v>
      </c>
      <c r="G83" s="125">
        <f t="shared" si="5"/>
        <v>3.24542689846119E-3</v>
      </c>
      <c r="H83" s="125">
        <f t="shared" si="5"/>
        <v>9.8459583928856009E-3</v>
      </c>
      <c r="I83" s="125">
        <f t="shared" si="5"/>
        <v>1.0926236568889802E-2</v>
      </c>
      <c r="J83" s="125">
        <f t="shared" si="5"/>
        <v>4.2982829255189259E-3</v>
      </c>
      <c r="K83" s="138">
        <f t="shared" si="5"/>
        <v>6.1757719714965464E-3</v>
      </c>
      <c r="L83" s="138">
        <f t="shared" si="5"/>
        <v>5.5040100644756507E-3</v>
      </c>
      <c r="X83" s="2" t="s">
        <v>37</v>
      </c>
      <c r="Y83" s="158">
        <v>18.3</v>
      </c>
      <c r="Z83" s="158">
        <v>18.8</v>
      </c>
      <c r="AA83" s="158">
        <v>18.7</v>
      </c>
      <c r="AB83" s="158">
        <v>19.100000000000001</v>
      </c>
      <c r="AC83" s="158">
        <v>19</v>
      </c>
      <c r="AD83" s="158">
        <v>19.2</v>
      </c>
      <c r="AE83" s="158">
        <v>18.8</v>
      </c>
      <c r="AF83" s="158">
        <v>19.100000000000001</v>
      </c>
      <c r="AG83" s="158">
        <v>18.5</v>
      </c>
      <c r="AH83" s="158">
        <v>19</v>
      </c>
    </row>
    <row r="84" spans="2:34" ht="18">
      <c r="B84" s="163" t="str">
        <f t="shared" si="2"/>
        <v>Turkey</v>
      </c>
      <c r="G84" s="125">
        <f t="shared" si="5"/>
        <v>1.7564188808224968E-2</v>
      </c>
      <c r="H84" s="125">
        <f t="shared" si="5"/>
        <v>2.1384692013946438E-2</v>
      </c>
      <c r="I84" s="125">
        <f t="shared" si="5"/>
        <v>4.6949743988689896E-2</v>
      </c>
      <c r="J84" s="125">
        <f t="shared" si="5"/>
        <v>5.3096135148274159E-2</v>
      </c>
      <c r="K84" s="138">
        <f t="shared" si="5"/>
        <v>4.4365809666472966E-2</v>
      </c>
      <c r="L84" s="138">
        <f t="shared" si="5"/>
        <v>2.1381275940917099E-2</v>
      </c>
      <c r="X84" s="2" t="s">
        <v>38</v>
      </c>
      <c r="Y84" s="158">
        <v>1</v>
      </c>
      <c r="Z84" s="158">
        <v>1.2</v>
      </c>
      <c r="AA84" s="158">
        <v>0.9</v>
      </c>
      <c r="AB84" s="158">
        <v>1</v>
      </c>
      <c r="AC84" s="158">
        <v>1</v>
      </c>
      <c r="AD84" s="158">
        <v>1</v>
      </c>
      <c r="AE84" s="158">
        <v>1</v>
      </c>
      <c r="AF84" s="158">
        <v>1</v>
      </c>
      <c r="AG84" s="158">
        <v>0.9</v>
      </c>
      <c r="AH84" s="158">
        <v>0.9</v>
      </c>
    </row>
    <row r="85" spans="2:34" ht="18">
      <c r="B85" s="163" t="str">
        <f t="shared" si="2"/>
        <v>United Kingdom</v>
      </c>
      <c r="G85" s="125">
        <f t="shared" si="5"/>
        <v>1.2221354442444321E-2</v>
      </c>
      <c r="H85" s="125">
        <f t="shared" si="5"/>
        <v>1.3027834888502232E-2</v>
      </c>
      <c r="I85" s="125">
        <f t="shared" si="5"/>
        <v>1.0553009131088587E-2</v>
      </c>
      <c r="J85" s="125">
        <f t="shared" si="5"/>
        <v>1.1445804784170122E-2</v>
      </c>
      <c r="K85" s="138">
        <f t="shared" si="5"/>
        <v>1.3871951717892239E-2</v>
      </c>
      <c r="L85" s="138">
        <f t="shared" si="5"/>
        <v>8.6450832308802017E-3</v>
      </c>
      <c r="X85" s="2" t="s">
        <v>40</v>
      </c>
      <c r="Y85" s="158">
        <v>8.8000000000000007</v>
      </c>
      <c r="Z85" s="158">
        <v>9.1999999999999993</v>
      </c>
      <c r="AA85" s="158">
        <v>9.1</v>
      </c>
      <c r="AB85" s="158">
        <v>8.6</v>
      </c>
      <c r="AC85" s="158">
        <v>8.6</v>
      </c>
      <c r="AD85" s="158">
        <v>8.4</v>
      </c>
      <c r="AE85" s="158">
        <v>8.1999999999999993</v>
      </c>
      <c r="AF85" s="158">
        <v>8.4</v>
      </c>
      <c r="AG85" s="158">
        <v>8</v>
      </c>
      <c r="AH85" s="158">
        <v>8</v>
      </c>
    </row>
    <row r="86" spans="2:34">
      <c r="X86" s="2" t="s">
        <v>39</v>
      </c>
      <c r="Y86" s="158">
        <v>14.2</v>
      </c>
      <c r="Z86" s="158">
        <v>14.9</v>
      </c>
      <c r="AA86" s="158">
        <v>16.100000000000001</v>
      </c>
      <c r="AB86" s="158">
        <v>15</v>
      </c>
      <c r="AC86" s="158">
        <v>14.7</v>
      </c>
      <c r="AD86" s="158">
        <v>14.9</v>
      </c>
      <c r="AE86" s="158">
        <v>14.3</v>
      </c>
      <c r="AF86" s="158">
        <v>14.6</v>
      </c>
      <c r="AG86" s="158">
        <v>15.5</v>
      </c>
      <c r="AH86" s="158">
        <v>15.2</v>
      </c>
    </row>
    <row r="87" spans="2:34">
      <c r="X87" s="2" t="s">
        <v>24</v>
      </c>
      <c r="Y87" s="158">
        <v>20.3</v>
      </c>
      <c r="Z87" s="158">
        <v>20.8</v>
      </c>
      <c r="AA87" s="158">
        <v>21.2</v>
      </c>
      <c r="AB87" s="158">
        <v>21.3</v>
      </c>
      <c r="AC87" s="158">
        <v>21.6</v>
      </c>
      <c r="AD87" s="158">
        <v>21.4</v>
      </c>
      <c r="AE87" s="158">
        <v>22</v>
      </c>
      <c r="AF87" s="158">
        <v>22.1</v>
      </c>
      <c r="AG87" s="158">
        <v>22.3</v>
      </c>
      <c r="AH87" s="158">
        <v>22.5</v>
      </c>
    </row>
    <row r="88" spans="2:34">
      <c r="X88" s="2" t="s">
        <v>42</v>
      </c>
      <c r="Y88" s="158">
        <v>15.2</v>
      </c>
      <c r="Z88" s="158">
        <v>14.9</v>
      </c>
      <c r="AA88" s="158">
        <v>15.1</v>
      </c>
      <c r="AB88" s="158">
        <v>15.1</v>
      </c>
      <c r="AC88" s="158">
        <v>15</v>
      </c>
      <c r="AD88" s="158">
        <v>14.8</v>
      </c>
      <c r="AE88" s="158">
        <v>14.4</v>
      </c>
      <c r="AF88" s="158">
        <v>14.7</v>
      </c>
      <c r="AG88" s="158">
        <v>15.1</v>
      </c>
      <c r="AH88" s="158">
        <v>14.6</v>
      </c>
    </row>
    <row r="89" spans="2:34">
      <c r="X89" s="2" t="s">
        <v>46</v>
      </c>
      <c r="Y89" s="158">
        <v>11.8</v>
      </c>
      <c r="Z89" s="158">
        <v>11.7</v>
      </c>
      <c r="AA89" s="158">
        <v>11.9</v>
      </c>
      <c r="AB89" s="158">
        <v>11.9</v>
      </c>
      <c r="AC89" s="158">
        <v>11.6</v>
      </c>
      <c r="AD89" s="158">
        <v>11.5</v>
      </c>
      <c r="AE89" s="158">
        <v>11.2</v>
      </c>
      <c r="AF89" s="158">
        <v>11.6</v>
      </c>
      <c r="AG89" s="158">
        <v>11.4</v>
      </c>
      <c r="AH89" s="158">
        <v>11.5</v>
      </c>
    </row>
    <row r="90" spans="2:34">
      <c r="X90" s="2" t="s">
        <v>47</v>
      </c>
      <c r="Y90" s="158">
        <v>8.8000000000000007</v>
      </c>
      <c r="Z90" s="158">
        <v>8.9</v>
      </c>
      <c r="AA90" s="158">
        <v>9</v>
      </c>
      <c r="AB90" s="158">
        <v>9.3000000000000007</v>
      </c>
      <c r="AC90" s="158">
        <v>9.4</v>
      </c>
      <c r="AD90" s="158">
        <v>9.6</v>
      </c>
      <c r="AE90" s="158">
        <v>8.6</v>
      </c>
      <c r="AF90" s="158">
        <v>8.9</v>
      </c>
      <c r="AG90" s="158">
        <v>8.8000000000000007</v>
      </c>
      <c r="AH90" s="158">
        <v>8.8000000000000007</v>
      </c>
    </row>
    <row r="91" spans="2:34">
      <c r="X91" s="2" t="s">
        <v>43</v>
      </c>
      <c r="Y91" s="158">
        <v>5.3</v>
      </c>
      <c r="Z91" s="158">
        <v>5.2</v>
      </c>
      <c r="AA91" s="158">
        <v>5.2</v>
      </c>
      <c r="AB91" s="158">
        <v>5.0999999999999996</v>
      </c>
      <c r="AC91" s="158">
        <v>5.0999999999999996</v>
      </c>
      <c r="AD91" s="158">
        <v>5.2</v>
      </c>
      <c r="AE91" s="158">
        <v>5</v>
      </c>
      <c r="AF91" s="158">
        <v>5</v>
      </c>
      <c r="AG91" s="158">
        <v>4.9000000000000004</v>
      </c>
      <c r="AH91" s="158">
        <v>4.9000000000000004</v>
      </c>
    </row>
  </sheetData>
  <sortState ref="B10:BD42">
    <sortCondition ref="B10:B42"/>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1CDDD"/>
  </sheetPr>
  <dimension ref="A1:BT91"/>
  <sheetViews>
    <sheetView topLeftCell="AK1" zoomScale="75" zoomScaleNormal="75" workbookViewId="0">
      <selection activeCell="AU31" sqref="AU31"/>
    </sheetView>
  </sheetViews>
  <sheetFormatPr defaultRowHeight="15"/>
  <cols>
    <col min="2" max="2" width="8.85546875" style="269"/>
  </cols>
  <sheetData>
    <row r="1" spans="1:72">
      <c r="A1" s="249"/>
      <c r="B1" s="250" t="s">
        <v>0</v>
      </c>
      <c r="C1" s="250" t="s">
        <v>408</v>
      </c>
      <c r="D1" s="249"/>
      <c r="E1" s="249"/>
      <c r="F1" s="249"/>
      <c r="G1" s="249"/>
      <c r="H1" s="249"/>
      <c r="I1" s="249"/>
      <c r="J1" s="249"/>
      <c r="K1" s="249"/>
      <c r="L1" s="249"/>
      <c r="M1" s="250" t="s">
        <v>410</v>
      </c>
      <c r="N1" s="255" t="s">
        <v>48</v>
      </c>
      <c r="O1" s="249"/>
      <c r="P1" s="249"/>
      <c r="Q1" s="249"/>
      <c r="R1" s="249"/>
      <c r="S1" s="249"/>
      <c r="T1" s="249"/>
      <c r="U1" s="249"/>
      <c r="V1" s="249"/>
      <c r="W1" s="249"/>
      <c r="X1" s="250" t="s">
        <v>412</v>
      </c>
      <c r="Y1" s="250" t="s">
        <v>560</v>
      </c>
      <c r="Z1" s="254"/>
      <c r="AA1" s="254"/>
      <c r="AB1" s="254"/>
      <c r="AC1" s="254"/>
      <c r="AD1" s="254"/>
      <c r="AE1" s="254"/>
      <c r="AF1" s="254"/>
      <c r="AG1" s="254"/>
      <c r="AH1" s="254"/>
      <c r="AI1" s="254" t="s">
        <v>437</v>
      </c>
      <c r="AJ1" s="249"/>
      <c r="AK1" s="249"/>
      <c r="AL1" s="249"/>
      <c r="AM1" s="249"/>
      <c r="AN1" s="249"/>
      <c r="AO1" s="249"/>
      <c r="AP1" s="249"/>
      <c r="AQ1" s="249"/>
      <c r="AR1" s="249"/>
      <c r="AS1" s="249"/>
      <c r="AT1" s="249" t="s">
        <v>417</v>
      </c>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row>
    <row r="2" spans="1:72">
      <c r="A2" s="249">
        <v>1</v>
      </c>
      <c r="B2" s="269">
        <v>2</v>
      </c>
      <c r="C2" s="249">
        <v>3</v>
      </c>
      <c r="D2" s="249">
        <v>4</v>
      </c>
      <c r="E2" s="249">
        <v>5</v>
      </c>
      <c r="F2" s="249">
        <v>6</v>
      </c>
      <c r="G2" s="249">
        <v>7</v>
      </c>
      <c r="H2" s="249">
        <v>8</v>
      </c>
      <c r="I2" s="249">
        <v>9</v>
      </c>
      <c r="J2" s="249">
        <v>10</v>
      </c>
      <c r="K2" s="249">
        <v>11</v>
      </c>
      <c r="L2" s="249">
        <v>12</v>
      </c>
      <c r="M2" s="249">
        <v>13</v>
      </c>
      <c r="N2" s="249">
        <v>14</v>
      </c>
      <c r="O2" s="249">
        <v>15</v>
      </c>
      <c r="P2" s="249">
        <v>16</v>
      </c>
      <c r="Q2" s="249">
        <v>17</v>
      </c>
      <c r="R2" s="249">
        <v>18</v>
      </c>
      <c r="S2" s="249">
        <v>19</v>
      </c>
      <c r="T2" s="249">
        <v>20</v>
      </c>
      <c r="U2" s="249">
        <v>21</v>
      </c>
      <c r="V2" s="249">
        <v>22</v>
      </c>
      <c r="W2" s="249">
        <v>23</v>
      </c>
      <c r="X2" s="249">
        <v>24</v>
      </c>
      <c r="Y2" s="254">
        <v>25</v>
      </c>
      <c r="Z2" s="254">
        <v>26</v>
      </c>
      <c r="AA2" s="254">
        <v>27</v>
      </c>
      <c r="AB2" s="254">
        <v>28</v>
      </c>
      <c r="AC2" s="254">
        <v>29</v>
      </c>
      <c r="AD2" s="254">
        <v>30</v>
      </c>
      <c r="AE2" s="254">
        <v>31</v>
      </c>
      <c r="AF2" s="254">
        <v>32</v>
      </c>
      <c r="AG2" s="254">
        <v>33</v>
      </c>
      <c r="AH2" s="254">
        <v>34</v>
      </c>
      <c r="AI2" s="254">
        <v>35</v>
      </c>
      <c r="AJ2" s="249">
        <v>36</v>
      </c>
      <c r="AK2" s="249">
        <v>37</v>
      </c>
      <c r="AL2" s="249">
        <v>38</v>
      </c>
      <c r="AM2" s="249">
        <v>39</v>
      </c>
      <c r="AN2" s="249">
        <v>40</v>
      </c>
      <c r="AO2" s="249">
        <v>41</v>
      </c>
      <c r="AP2" s="249">
        <v>42</v>
      </c>
      <c r="AQ2" s="249">
        <v>43</v>
      </c>
      <c r="AR2" s="249">
        <v>44</v>
      </c>
      <c r="AS2" s="249">
        <v>45</v>
      </c>
      <c r="AT2" s="249">
        <v>46</v>
      </c>
      <c r="AU2" s="249">
        <v>47</v>
      </c>
      <c r="AV2" s="249">
        <v>48</v>
      </c>
      <c r="AW2" s="249">
        <v>49</v>
      </c>
      <c r="AX2" s="249">
        <v>50</v>
      </c>
      <c r="AY2" s="249">
        <v>51</v>
      </c>
      <c r="AZ2" s="249">
        <v>52</v>
      </c>
      <c r="BA2" s="249">
        <v>53</v>
      </c>
      <c r="BB2" s="249">
        <v>54</v>
      </c>
      <c r="BC2" s="249">
        <v>55</v>
      </c>
      <c r="BD2" s="249">
        <v>56</v>
      </c>
      <c r="BE2" s="249"/>
    </row>
    <row r="3" spans="1:72">
      <c r="A3" s="249"/>
      <c r="B3" s="266" t="s">
        <v>1</v>
      </c>
      <c r="C3" s="257" t="s">
        <v>8</v>
      </c>
      <c r="D3" s="257" t="s">
        <v>9</v>
      </c>
      <c r="E3" s="257" t="s">
        <v>10</v>
      </c>
      <c r="F3" s="257" t="s">
        <v>58</v>
      </c>
      <c r="G3" s="257" t="s">
        <v>325</v>
      </c>
      <c r="H3" s="257" t="s">
        <v>384</v>
      </c>
      <c r="I3" s="257" t="s">
        <v>409</v>
      </c>
      <c r="J3" s="257" t="s">
        <v>436</v>
      </c>
      <c r="K3" s="257" t="s">
        <v>445</v>
      </c>
      <c r="L3" s="257" t="s">
        <v>545</v>
      </c>
      <c r="M3" s="266" t="s">
        <v>1</v>
      </c>
      <c r="N3" s="257" t="s">
        <v>8</v>
      </c>
      <c r="O3" s="257" t="s">
        <v>9</v>
      </c>
      <c r="P3" s="257" t="s">
        <v>10</v>
      </c>
      <c r="Q3" s="257" t="s">
        <v>58</v>
      </c>
      <c r="R3" s="257" t="s">
        <v>325</v>
      </c>
      <c r="S3" s="257" t="s">
        <v>384</v>
      </c>
      <c r="T3" s="257" t="s">
        <v>409</v>
      </c>
      <c r="U3" s="257" t="s">
        <v>436</v>
      </c>
      <c r="V3" s="257" t="s">
        <v>445</v>
      </c>
      <c r="W3" s="257" t="s">
        <v>545</v>
      </c>
      <c r="X3" s="266" t="s">
        <v>1</v>
      </c>
      <c r="Y3" s="257" t="s">
        <v>8</v>
      </c>
      <c r="Z3" s="257" t="s">
        <v>9</v>
      </c>
      <c r="AA3" s="257" t="s">
        <v>10</v>
      </c>
      <c r="AB3" s="257" t="s">
        <v>58</v>
      </c>
      <c r="AC3" s="257" t="s">
        <v>325</v>
      </c>
      <c r="AD3" s="257" t="s">
        <v>384</v>
      </c>
      <c r="AE3" s="257" t="s">
        <v>409</v>
      </c>
      <c r="AF3" s="257" t="s">
        <v>436</v>
      </c>
      <c r="AG3" s="257" t="s">
        <v>445</v>
      </c>
      <c r="AH3" s="257" t="s">
        <v>545</v>
      </c>
      <c r="AI3" s="268" t="s">
        <v>1</v>
      </c>
      <c r="AJ3" s="251" t="s">
        <v>8</v>
      </c>
      <c r="AK3" s="251" t="s">
        <v>9</v>
      </c>
      <c r="AL3" s="251" t="s">
        <v>10</v>
      </c>
      <c r="AM3" s="251" t="s">
        <v>58</v>
      </c>
      <c r="AN3" s="251" t="s">
        <v>325</v>
      </c>
      <c r="AO3" s="251" t="s">
        <v>384</v>
      </c>
      <c r="AP3" s="251" t="s">
        <v>409</v>
      </c>
      <c r="AQ3" s="251" t="s">
        <v>436</v>
      </c>
      <c r="AR3" s="251" t="s">
        <v>445</v>
      </c>
      <c r="AS3" s="251" t="s">
        <v>545</v>
      </c>
      <c r="AT3" s="267" t="s">
        <v>1</v>
      </c>
      <c r="AU3" s="249" t="s">
        <v>8</v>
      </c>
      <c r="AV3" s="249" t="s">
        <v>9</v>
      </c>
      <c r="AW3" s="249" t="s">
        <v>10</v>
      </c>
      <c r="AX3" s="249" t="s">
        <v>58</v>
      </c>
      <c r="AY3" s="249" t="s">
        <v>325</v>
      </c>
      <c r="AZ3" s="249" t="s">
        <v>384</v>
      </c>
      <c r="BA3" s="249" t="s">
        <v>409</v>
      </c>
      <c r="BB3" s="249" t="s">
        <v>436</v>
      </c>
      <c r="BC3" s="249" t="s">
        <v>445</v>
      </c>
      <c r="BD3" s="249" t="s">
        <v>545</v>
      </c>
      <c r="BE3" s="249"/>
    </row>
    <row r="4" spans="1:72">
      <c r="A4" s="249"/>
      <c r="B4" s="257" t="s">
        <v>11</v>
      </c>
      <c r="C4" s="258">
        <v>212984.6</v>
      </c>
      <c r="D4" s="258">
        <v>215352.8</v>
      </c>
      <c r="E4" s="258">
        <v>217366.2</v>
      </c>
      <c r="F4" s="258">
        <v>217135.1</v>
      </c>
      <c r="G4" s="258">
        <v>216288.6</v>
      </c>
      <c r="H4" s="258">
        <v>218804</v>
      </c>
      <c r="I4" s="258">
        <v>220380.6</v>
      </c>
      <c r="J4" s="258">
        <v>219899.6</v>
      </c>
      <c r="K4" s="258">
        <v>218898.2</v>
      </c>
      <c r="L4" s="258">
        <v>222008</v>
      </c>
      <c r="M4" s="257" t="s">
        <v>11</v>
      </c>
      <c r="N4" s="258">
        <v>19.8</v>
      </c>
      <c r="O4" s="258">
        <v>19.7</v>
      </c>
      <c r="P4" s="258">
        <v>19.3</v>
      </c>
      <c r="Q4" s="258">
        <v>19.5</v>
      </c>
      <c r="R4" s="258">
        <v>19.8</v>
      </c>
      <c r="S4" s="258">
        <v>19.5</v>
      </c>
      <c r="T4" s="258">
        <v>19.2</v>
      </c>
      <c r="U4" s="258">
        <v>19.5</v>
      </c>
      <c r="V4" s="258">
        <v>19.600000000000001</v>
      </c>
      <c r="W4" s="258">
        <v>19.5</v>
      </c>
      <c r="X4" s="257" t="s">
        <v>11</v>
      </c>
      <c r="Y4" s="258">
        <v>11.8</v>
      </c>
      <c r="Z4" s="258">
        <v>11.9</v>
      </c>
      <c r="AA4" s="258">
        <v>12</v>
      </c>
      <c r="AB4" s="258">
        <v>12</v>
      </c>
      <c r="AC4" s="258">
        <v>12</v>
      </c>
      <c r="AD4" s="258">
        <v>12.1</v>
      </c>
      <c r="AE4" s="258">
        <v>12</v>
      </c>
      <c r="AF4" s="258">
        <v>12.1</v>
      </c>
      <c r="AG4" s="258">
        <v>12.1</v>
      </c>
      <c r="AH4" s="258">
        <v>12.2</v>
      </c>
      <c r="AI4" s="251" t="s">
        <v>11</v>
      </c>
      <c r="AJ4" s="252">
        <v>64.7</v>
      </c>
      <c r="AK4" s="252">
        <v>65.5</v>
      </c>
      <c r="AL4" s="252">
        <v>66.099999999999994</v>
      </c>
      <c r="AM4" s="252">
        <v>66</v>
      </c>
      <c r="AN4" s="252">
        <v>65.7</v>
      </c>
      <c r="AO4" s="252">
        <v>66.599999999999994</v>
      </c>
      <c r="AP4" s="252">
        <v>67.099999999999994</v>
      </c>
      <c r="AQ4" s="252">
        <v>66.900000000000006</v>
      </c>
      <c r="AR4" s="252">
        <v>66.7</v>
      </c>
      <c r="AS4" s="252">
        <v>67.7</v>
      </c>
      <c r="AT4" s="249"/>
      <c r="AU4" s="249"/>
      <c r="AV4" s="249"/>
      <c r="AW4" s="249"/>
      <c r="AX4" s="249"/>
      <c r="AY4" s="249"/>
      <c r="AZ4" s="249"/>
      <c r="BA4" s="249"/>
      <c r="BB4" s="249"/>
      <c r="BC4" s="249"/>
      <c r="BD4" s="249"/>
      <c r="BE4" s="249"/>
    </row>
    <row r="5" spans="1:72">
      <c r="A5" s="249"/>
      <c r="B5" s="257" t="s">
        <v>12</v>
      </c>
      <c r="C5" s="258">
        <v>211463</v>
      </c>
      <c r="D5" s="258">
        <v>213785.4</v>
      </c>
      <c r="E5" s="258">
        <v>215768</v>
      </c>
      <c r="F5" s="258">
        <v>215586.1</v>
      </c>
      <c r="G5" s="258">
        <v>214768.6</v>
      </c>
      <c r="H5" s="258">
        <v>217222</v>
      </c>
      <c r="I5" s="258">
        <v>218774.1</v>
      </c>
      <c r="J5" s="258">
        <v>218341.8</v>
      </c>
      <c r="K5" s="258">
        <v>217369.60000000001</v>
      </c>
      <c r="L5" s="258">
        <v>220395.2</v>
      </c>
      <c r="M5" s="257" t="s">
        <v>12</v>
      </c>
      <c r="N5" s="258">
        <v>19.899999999999999</v>
      </c>
      <c r="O5" s="258">
        <v>19.8</v>
      </c>
      <c r="P5" s="258">
        <v>19.399999999999999</v>
      </c>
      <c r="Q5" s="258">
        <v>19.600000000000001</v>
      </c>
      <c r="R5" s="258">
        <v>19.899999999999999</v>
      </c>
      <c r="S5" s="258">
        <v>19.600000000000001</v>
      </c>
      <c r="T5" s="258">
        <v>19.3</v>
      </c>
      <c r="U5" s="258">
        <v>19.600000000000001</v>
      </c>
      <c r="V5" s="258">
        <v>19.7</v>
      </c>
      <c r="W5" s="258">
        <v>19.600000000000001</v>
      </c>
      <c r="X5" s="257" t="s">
        <v>12</v>
      </c>
      <c r="Y5" s="258">
        <v>11.8</v>
      </c>
      <c r="Z5" s="258">
        <v>11.9</v>
      </c>
      <c r="AA5" s="258">
        <v>12</v>
      </c>
      <c r="AB5" s="258">
        <v>11.9</v>
      </c>
      <c r="AC5" s="258">
        <v>12</v>
      </c>
      <c r="AD5" s="258">
        <v>12</v>
      </c>
      <c r="AE5" s="258">
        <v>12</v>
      </c>
      <c r="AF5" s="258">
        <v>12</v>
      </c>
      <c r="AG5" s="258">
        <v>12.1</v>
      </c>
      <c r="AH5" s="258">
        <v>12.1</v>
      </c>
      <c r="AI5" s="251" t="s">
        <v>12</v>
      </c>
      <c r="AJ5" s="252">
        <v>64.8</v>
      </c>
      <c r="AK5" s="252">
        <v>65.599999999999994</v>
      </c>
      <c r="AL5" s="252">
        <v>66.2</v>
      </c>
      <c r="AM5" s="252">
        <v>66.099999999999994</v>
      </c>
      <c r="AN5" s="252">
        <v>65.8</v>
      </c>
      <c r="AO5" s="252">
        <v>66.599999999999994</v>
      </c>
      <c r="AP5" s="252">
        <v>67.099999999999994</v>
      </c>
      <c r="AQ5" s="252">
        <v>67</v>
      </c>
      <c r="AR5" s="252">
        <v>66.8</v>
      </c>
      <c r="AS5" s="252">
        <v>67.7</v>
      </c>
      <c r="AT5" s="249"/>
      <c r="AU5" s="249"/>
      <c r="AV5" s="249"/>
      <c r="AW5" s="249"/>
      <c r="AX5" s="249"/>
      <c r="AY5" s="249"/>
      <c r="AZ5" s="249"/>
      <c r="BA5" s="249"/>
      <c r="BB5" s="249"/>
      <c r="BC5" s="249"/>
      <c r="BD5" s="249"/>
      <c r="BE5" s="249"/>
    </row>
    <row r="6" spans="1:72">
      <c r="A6" s="249"/>
      <c r="B6" s="257" t="s">
        <v>13</v>
      </c>
      <c r="C6" s="258">
        <v>169555.9</v>
      </c>
      <c r="D6" s="258">
        <v>171048.9</v>
      </c>
      <c r="E6" s="258">
        <v>172455.4</v>
      </c>
      <c r="F6" s="258">
        <v>172540.79999999999</v>
      </c>
      <c r="G6" s="258">
        <v>172355.6</v>
      </c>
      <c r="H6" s="258">
        <v>174076.1</v>
      </c>
      <c r="I6" s="258">
        <v>175367.9</v>
      </c>
      <c r="J6" s="258">
        <v>175080.3</v>
      </c>
      <c r="K6" s="258">
        <v>174310.7</v>
      </c>
      <c r="L6" s="258">
        <v>176290</v>
      </c>
      <c r="M6" s="257" t="s">
        <v>13</v>
      </c>
      <c r="N6" s="258">
        <v>23.1</v>
      </c>
      <c r="O6" s="258">
        <v>23</v>
      </c>
      <c r="P6" s="258">
        <v>22.6</v>
      </c>
      <c r="Q6" s="258">
        <v>22.8</v>
      </c>
      <c r="R6" s="258">
        <v>23.2</v>
      </c>
      <c r="S6" s="258">
        <v>23</v>
      </c>
      <c r="T6" s="258">
        <v>22.6</v>
      </c>
      <c r="U6" s="258">
        <v>22.9</v>
      </c>
      <c r="V6" s="258">
        <v>23</v>
      </c>
      <c r="W6" s="258">
        <v>22.9</v>
      </c>
      <c r="X6" s="257" t="s">
        <v>13</v>
      </c>
      <c r="Y6" s="258">
        <v>11.8</v>
      </c>
      <c r="Z6" s="258">
        <v>11.9</v>
      </c>
      <c r="AA6" s="258">
        <v>12</v>
      </c>
      <c r="AB6" s="258">
        <v>12</v>
      </c>
      <c r="AC6" s="258">
        <v>12</v>
      </c>
      <c r="AD6" s="258">
        <v>12.1</v>
      </c>
      <c r="AE6" s="258">
        <v>12.1</v>
      </c>
      <c r="AF6" s="258">
        <v>12.2</v>
      </c>
      <c r="AG6" s="258">
        <v>12.3</v>
      </c>
      <c r="AH6" s="258">
        <v>12.4</v>
      </c>
      <c r="AI6" s="251" t="s">
        <v>13</v>
      </c>
      <c r="AJ6" s="252">
        <v>65.400000000000006</v>
      </c>
      <c r="AK6" s="252">
        <v>66</v>
      </c>
      <c r="AL6" s="252">
        <v>66.5</v>
      </c>
      <c r="AM6" s="252">
        <v>66.5</v>
      </c>
      <c r="AN6" s="252">
        <v>66.3</v>
      </c>
      <c r="AO6" s="252">
        <v>67</v>
      </c>
      <c r="AP6" s="252">
        <v>67.5</v>
      </c>
      <c r="AQ6" s="252">
        <v>67.3</v>
      </c>
      <c r="AR6" s="252">
        <v>67</v>
      </c>
      <c r="AS6" s="252">
        <v>67.8</v>
      </c>
      <c r="AT6" s="254"/>
      <c r="AU6" s="249"/>
      <c r="AV6" s="249"/>
      <c r="AW6" s="249"/>
      <c r="AX6" s="249"/>
      <c r="AY6" s="249"/>
      <c r="AZ6" s="249"/>
      <c r="BA6" s="249"/>
      <c r="BB6" s="249"/>
      <c r="BC6" s="249"/>
      <c r="BD6" s="249"/>
      <c r="BE6" s="249"/>
    </row>
    <row r="7" spans="1:72">
      <c r="A7" s="249"/>
      <c r="B7" s="257" t="s">
        <v>14</v>
      </c>
      <c r="C7" s="258">
        <v>139056.20000000001</v>
      </c>
      <c r="D7" s="258">
        <v>140519.6</v>
      </c>
      <c r="E7" s="258">
        <v>141580.20000000001</v>
      </c>
      <c r="F7" s="258">
        <v>141511.29999999999</v>
      </c>
      <c r="G7" s="258">
        <v>141391.5</v>
      </c>
      <c r="H7" s="258">
        <v>142948.9</v>
      </c>
      <c r="I7" s="258">
        <v>144028.4</v>
      </c>
      <c r="J7" s="258">
        <v>143719.4</v>
      </c>
      <c r="K7" s="258">
        <v>142997.20000000001</v>
      </c>
      <c r="L7" s="258">
        <v>144767.79999999999</v>
      </c>
      <c r="M7" s="257" t="s">
        <v>14</v>
      </c>
      <c r="N7" s="258">
        <v>21.8</v>
      </c>
      <c r="O7" s="258">
        <v>21.7</v>
      </c>
      <c r="P7" s="258">
        <v>21.4</v>
      </c>
      <c r="Q7" s="258">
        <v>21.6</v>
      </c>
      <c r="R7" s="258">
        <v>21.9</v>
      </c>
      <c r="S7" s="258">
        <v>21.6</v>
      </c>
      <c r="T7" s="258">
        <v>21.3</v>
      </c>
      <c r="U7" s="258">
        <v>21.6</v>
      </c>
      <c r="V7" s="258">
        <v>21.8</v>
      </c>
      <c r="W7" s="258">
        <v>21.7</v>
      </c>
      <c r="X7" s="257" t="s">
        <v>14</v>
      </c>
      <c r="Y7" s="258">
        <v>12.9</v>
      </c>
      <c r="Z7" s="258">
        <v>13.1</v>
      </c>
      <c r="AA7" s="258">
        <v>13.2</v>
      </c>
      <c r="AB7" s="258">
        <v>13.2</v>
      </c>
      <c r="AC7" s="258">
        <v>13.1</v>
      </c>
      <c r="AD7" s="258">
        <v>13.3</v>
      </c>
      <c r="AE7" s="258">
        <v>13.3</v>
      </c>
      <c r="AF7" s="258">
        <v>13.5</v>
      </c>
      <c r="AG7" s="258">
        <v>13.5</v>
      </c>
      <c r="AH7" s="258">
        <v>13.7</v>
      </c>
      <c r="AI7" s="251" t="s">
        <v>14</v>
      </c>
      <c r="AJ7" s="252">
        <v>63.7</v>
      </c>
      <c r="AK7" s="252">
        <v>64.400000000000006</v>
      </c>
      <c r="AL7" s="252">
        <v>64.900000000000006</v>
      </c>
      <c r="AM7" s="252">
        <v>64.8</v>
      </c>
      <c r="AN7" s="252">
        <v>64.599999999999994</v>
      </c>
      <c r="AO7" s="252">
        <v>65.400000000000006</v>
      </c>
      <c r="AP7" s="252">
        <v>65.900000000000006</v>
      </c>
      <c r="AQ7" s="252">
        <v>65.7</v>
      </c>
      <c r="AR7" s="252">
        <v>65.400000000000006</v>
      </c>
      <c r="AS7" s="252">
        <v>66.3</v>
      </c>
      <c r="AT7" s="249"/>
      <c r="AU7" s="249"/>
      <c r="AV7" s="249"/>
      <c r="AW7" s="249"/>
      <c r="AX7" s="249"/>
      <c r="AY7" s="249"/>
      <c r="AZ7" s="249"/>
      <c r="BA7" s="249"/>
      <c r="BB7" s="249"/>
      <c r="BC7" s="249"/>
      <c r="BD7" s="249"/>
      <c r="BE7" s="249"/>
    </row>
    <row r="8" spans="1:72">
      <c r="A8" s="249"/>
      <c r="B8" s="257" t="s">
        <v>15</v>
      </c>
      <c r="C8" s="258">
        <v>137770.29999999999</v>
      </c>
      <c r="D8" s="258">
        <v>139220.79999999999</v>
      </c>
      <c r="E8" s="258">
        <v>140267.5</v>
      </c>
      <c r="F8" s="258">
        <v>140206.5</v>
      </c>
      <c r="G8" s="258">
        <v>140083.79999999999</v>
      </c>
      <c r="H8" s="258">
        <v>141626.4</v>
      </c>
      <c r="I8" s="258">
        <v>142701.70000000001</v>
      </c>
      <c r="J8" s="258">
        <v>142405.70000000001</v>
      </c>
      <c r="K8" s="258">
        <v>141702.70000000001</v>
      </c>
      <c r="L8" s="258">
        <v>143456.20000000001</v>
      </c>
      <c r="M8" s="257" t="s">
        <v>15</v>
      </c>
      <c r="N8" s="258">
        <v>22</v>
      </c>
      <c r="O8" s="258">
        <v>21.9</v>
      </c>
      <c r="P8" s="258">
        <v>21.5</v>
      </c>
      <c r="Q8" s="258">
        <v>21.7</v>
      </c>
      <c r="R8" s="258">
        <v>22</v>
      </c>
      <c r="S8" s="258">
        <v>21.8</v>
      </c>
      <c r="T8" s="258">
        <v>21.4</v>
      </c>
      <c r="U8" s="258">
        <v>21.7</v>
      </c>
      <c r="V8" s="258">
        <v>22</v>
      </c>
      <c r="W8" s="258">
        <v>21.8</v>
      </c>
      <c r="X8" s="257" t="s">
        <v>15</v>
      </c>
      <c r="Y8" s="258">
        <v>13</v>
      </c>
      <c r="Z8" s="258">
        <v>13.2</v>
      </c>
      <c r="AA8" s="258">
        <v>13.3</v>
      </c>
      <c r="AB8" s="258">
        <v>13.3</v>
      </c>
      <c r="AC8" s="258">
        <v>13.3</v>
      </c>
      <c r="AD8" s="258">
        <v>13.4</v>
      </c>
      <c r="AE8" s="258">
        <v>13.4</v>
      </c>
      <c r="AF8" s="258">
        <v>13.6</v>
      </c>
      <c r="AG8" s="258">
        <v>13.7</v>
      </c>
      <c r="AH8" s="258">
        <v>13.8</v>
      </c>
      <c r="AI8" s="251" t="s">
        <v>15</v>
      </c>
      <c r="AJ8" s="252">
        <v>63.7</v>
      </c>
      <c r="AK8" s="252">
        <v>64.400000000000006</v>
      </c>
      <c r="AL8" s="252">
        <v>64.900000000000006</v>
      </c>
      <c r="AM8" s="252">
        <v>64.8</v>
      </c>
      <c r="AN8" s="252">
        <v>64.599999999999994</v>
      </c>
      <c r="AO8" s="252">
        <v>65.3</v>
      </c>
      <c r="AP8" s="252">
        <v>65.900000000000006</v>
      </c>
      <c r="AQ8" s="252">
        <v>65.7</v>
      </c>
      <c r="AR8" s="252">
        <v>65.400000000000006</v>
      </c>
      <c r="AS8" s="252">
        <v>66.3</v>
      </c>
      <c r="AT8" s="249"/>
      <c r="AU8" s="249"/>
      <c r="AV8" s="249"/>
      <c r="AW8" s="249"/>
      <c r="AX8" s="249"/>
      <c r="AY8" s="249"/>
      <c r="AZ8" s="249"/>
      <c r="BA8" s="249"/>
      <c r="BB8" s="249"/>
      <c r="BC8" s="249"/>
      <c r="BD8" s="249"/>
      <c r="BE8" s="249"/>
    </row>
    <row r="9" spans="1:72">
      <c r="A9" s="249"/>
      <c r="B9" s="257" t="s">
        <v>16</v>
      </c>
      <c r="C9" s="258">
        <v>136913</v>
      </c>
      <c r="D9" s="258">
        <v>138350</v>
      </c>
      <c r="E9" s="258">
        <v>139394.9</v>
      </c>
      <c r="F9" s="258">
        <v>139335.4</v>
      </c>
      <c r="G9" s="258">
        <v>139223.5</v>
      </c>
      <c r="H9" s="258">
        <v>140759</v>
      </c>
      <c r="I9" s="258">
        <v>141838.70000000001</v>
      </c>
      <c r="J9" s="258">
        <v>141547</v>
      </c>
      <c r="K9" s="258">
        <v>140852.6</v>
      </c>
      <c r="L9" s="258">
        <v>142596</v>
      </c>
      <c r="M9" s="257" t="s">
        <v>16</v>
      </c>
      <c r="N9" s="258">
        <v>22.1</v>
      </c>
      <c r="O9" s="258">
        <v>22</v>
      </c>
      <c r="P9" s="258">
        <v>21.6</v>
      </c>
      <c r="Q9" s="258">
        <v>21.8</v>
      </c>
      <c r="R9" s="258">
        <v>22.1</v>
      </c>
      <c r="S9" s="258">
        <v>21.9</v>
      </c>
      <c r="T9" s="258">
        <v>21.5</v>
      </c>
      <c r="U9" s="258">
        <v>21.8</v>
      </c>
      <c r="V9" s="258">
        <v>22</v>
      </c>
      <c r="W9" s="258">
        <v>21.9</v>
      </c>
      <c r="X9" s="257" t="s">
        <v>16</v>
      </c>
      <c r="Y9" s="258">
        <v>13.1</v>
      </c>
      <c r="Z9" s="258">
        <v>13.3</v>
      </c>
      <c r="AA9" s="258">
        <v>13.4</v>
      </c>
      <c r="AB9" s="258">
        <v>13.4</v>
      </c>
      <c r="AC9" s="258">
        <v>13.3</v>
      </c>
      <c r="AD9" s="258">
        <v>13.4</v>
      </c>
      <c r="AE9" s="258">
        <v>13.5</v>
      </c>
      <c r="AF9" s="258">
        <v>13.6</v>
      </c>
      <c r="AG9" s="258">
        <v>13.7</v>
      </c>
      <c r="AH9" s="258">
        <v>13.9</v>
      </c>
      <c r="AI9" s="251" t="s">
        <v>16</v>
      </c>
      <c r="AJ9" s="252">
        <v>63.7</v>
      </c>
      <c r="AK9" s="252">
        <v>64.400000000000006</v>
      </c>
      <c r="AL9" s="252">
        <v>64.900000000000006</v>
      </c>
      <c r="AM9" s="252">
        <v>64.8</v>
      </c>
      <c r="AN9" s="252">
        <v>64.5</v>
      </c>
      <c r="AO9" s="252">
        <v>65.3</v>
      </c>
      <c r="AP9" s="252">
        <v>65.8</v>
      </c>
      <c r="AQ9" s="252">
        <v>65.7</v>
      </c>
      <c r="AR9" s="252">
        <v>65.400000000000006</v>
      </c>
      <c r="AS9" s="252">
        <v>66.2</v>
      </c>
      <c r="AT9" s="249"/>
      <c r="AU9" s="249"/>
      <c r="AV9" s="249"/>
      <c r="AW9" s="249"/>
      <c r="AX9" s="249"/>
      <c r="AY9" s="249"/>
      <c r="AZ9" s="249"/>
      <c r="BA9" s="249"/>
      <c r="BB9" s="249"/>
      <c r="BC9" s="249"/>
      <c r="BD9" s="249"/>
      <c r="BE9" s="249"/>
    </row>
    <row r="10" spans="1:72">
      <c r="A10" s="249">
        <v>1</v>
      </c>
      <c r="B10" s="257" t="s">
        <v>35</v>
      </c>
      <c r="C10" s="258">
        <v>4000.3</v>
      </c>
      <c r="D10" s="258">
        <v>4047.2</v>
      </c>
      <c r="E10" s="258">
        <v>4124.2</v>
      </c>
      <c r="F10" s="258">
        <v>4098.7</v>
      </c>
      <c r="G10" s="258">
        <v>4066.3</v>
      </c>
      <c r="H10" s="258">
        <v>4135.3999999999996</v>
      </c>
      <c r="I10" s="258">
        <v>4206.2</v>
      </c>
      <c r="J10" s="258">
        <v>4162.8</v>
      </c>
      <c r="K10" s="258">
        <v>4110.8</v>
      </c>
      <c r="L10" s="258">
        <v>4188</v>
      </c>
      <c r="M10" s="257" t="s">
        <v>35</v>
      </c>
      <c r="N10" s="258">
        <v>27.7</v>
      </c>
      <c r="O10" s="258">
        <v>27.6</v>
      </c>
      <c r="P10" s="258">
        <v>26.6</v>
      </c>
      <c r="Q10" s="258">
        <v>27.3</v>
      </c>
      <c r="R10" s="258">
        <v>28.1</v>
      </c>
      <c r="S10" s="258">
        <v>27.9</v>
      </c>
      <c r="T10" s="258">
        <v>27.2</v>
      </c>
      <c r="U10" s="258">
        <v>28</v>
      </c>
      <c r="V10" s="258">
        <v>28.5</v>
      </c>
      <c r="W10" s="258">
        <v>28.1</v>
      </c>
      <c r="X10" s="257" t="s">
        <v>35</v>
      </c>
      <c r="Y10" s="258">
        <v>7.9</v>
      </c>
      <c r="Z10" s="258">
        <v>8.1</v>
      </c>
      <c r="AA10" s="258">
        <v>8</v>
      </c>
      <c r="AB10" s="258">
        <v>8</v>
      </c>
      <c r="AC10" s="258">
        <v>7.9</v>
      </c>
      <c r="AD10" s="258">
        <v>7.9</v>
      </c>
      <c r="AE10" s="258">
        <v>8</v>
      </c>
      <c r="AF10" s="258">
        <v>7.9</v>
      </c>
      <c r="AG10" s="258">
        <v>8.1</v>
      </c>
      <c r="AH10" s="258">
        <v>8.3000000000000007</v>
      </c>
      <c r="AI10" s="251" t="s">
        <v>35</v>
      </c>
      <c r="AJ10" s="252">
        <v>70.2</v>
      </c>
      <c r="AK10" s="252">
        <v>70.8</v>
      </c>
      <c r="AL10" s="252">
        <v>72.099999999999994</v>
      </c>
      <c r="AM10" s="252">
        <v>71.3</v>
      </c>
      <c r="AN10" s="252">
        <v>70.400000000000006</v>
      </c>
      <c r="AO10" s="252">
        <v>71.400000000000006</v>
      </c>
      <c r="AP10" s="252">
        <v>72.599999999999994</v>
      </c>
      <c r="AQ10" s="252">
        <v>71.8</v>
      </c>
      <c r="AR10" s="252">
        <v>71</v>
      </c>
      <c r="AS10" s="252">
        <v>72.2</v>
      </c>
      <c r="AT10" s="251" t="s">
        <v>35</v>
      </c>
      <c r="AU10" s="260">
        <v>63</v>
      </c>
      <c r="AV10" s="260">
        <v>66</v>
      </c>
      <c r="AW10" s="260">
        <v>60</v>
      </c>
      <c r="AX10" s="260">
        <v>68</v>
      </c>
      <c r="AY10" s="260">
        <v>56</v>
      </c>
      <c r="AZ10" s="260">
        <v>69</v>
      </c>
      <c r="BA10" s="260">
        <v>73</v>
      </c>
      <c r="BB10" s="260">
        <v>73</v>
      </c>
      <c r="BC10" s="260">
        <v>50</v>
      </c>
      <c r="BD10" s="260">
        <v>76</v>
      </c>
      <c r="BE10" s="249"/>
    </row>
    <row r="11" spans="1:72">
      <c r="A11" s="249">
        <v>2</v>
      </c>
      <c r="B11" s="257" t="s">
        <v>17</v>
      </c>
      <c r="C11" s="258">
        <v>4506.8999999999996</v>
      </c>
      <c r="D11" s="258">
        <v>4465.8</v>
      </c>
      <c r="E11" s="258">
        <v>4516.1000000000004</v>
      </c>
      <c r="F11" s="258">
        <v>4508.3999999999996</v>
      </c>
      <c r="G11" s="258">
        <v>4489.6000000000004</v>
      </c>
      <c r="H11" s="258">
        <v>4517</v>
      </c>
      <c r="I11" s="258">
        <v>4528.8999999999996</v>
      </c>
      <c r="J11" s="258">
        <v>4626.8</v>
      </c>
      <c r="K11" s="258">
        <v>4520</v>
      </c>
      <c r="L11" s="258">
        <v>4563.5</v>
      </c>
      <c r="M11" s="257" t="s">
        <v>17</v>
      </c>
      <c r="N11" s="258">
        <v>24.9</v>
      </c>
      <c r="O11" s="258">
        <v>24.8</v>
      </c>
      <c r="P11" s="258">
        <v>23.6</v>
      </c>
      <c r="Q11" s="258">
        <v>23.9</v>
      </c>
      <c r="R11" s="258">
        <v>24.4</v>
      </c>
      <c r="S11" s="258">
        <v>24.8</v>
      </c>
      <c r="T11" s="258">
        <v>24.5</v>
      </c>
      <c r="U11" s="258">
        <v>25</v>
      </c>
      <c r="V11" s="258">
        <v>23.5</v>
      </c>
      <c r="W11" s="258">
        <v>25.3</v>
      </c>
      <c r="X11" s="257" t="s">
        <v>17</v>
      </c>
      <c r="Y11" s="258">
        <v>8</v>
      </c>
      <c r="Z11" s="258">
        <v>7.8</v>
      </c>
      <c r="AA11" s="258">
        <v>7.5</v>
      </c>
      <c r="AB11" s="258">
        <v>7.5</v>
      </c>
      <c r="AC11" s="258">
        <v>7.7</v>
      </c>
      <c r="AD11" s="258">
        <v>7.9</v>
      </c>
      <c r="AE11" s="258">
        <v>7.5</v>
      </c>
      <c r="AF11" s="258">
        <v>8.1999999999999993</v>
      </c>
      <c r="AG11" s="258">
        <v>8.1999999999999993</v>
      </c>
      <c r="AH11" s="258">
        <v>8.5</v>
      </c>
      <c r="AI11" s="251" t="s">
        <v>17</v>
      </c>
      <c r="AJ11" s="252">
        <v>61.9</v>
      </c>
      <c r="AK11" s="252">
        <v>61.4</v>
      </c>
      <c r="AL11" s="252">
        <v>62.1</v>
      </c>
      <c r="AM11" s="252">
        <v>61.8</v>
      </c>
      <c r="AN11" s="252">
        <v>61.6</v>
      </c>
      <c r="AO11" s="252">
        <v>62</v>
      </c>
      <c r="AP11" s="252">
        <v>62.2</v>
      </c>
      <c r="AQ11" s="252">
        <v>63.4</v>
      </c>
      <c r="AR11" s="252">
        <v>62.2</v>
      </c>
      <c r="AS11" s="252">
        <v>62.8</v>
      </c>
      <c r="AT11" s="261" t="s">
        <v>546</v>
      </c>
      <c r="AU11" s="260"/>
      <c r="AV11" s="260"/>
      <c r="AW11" s="260"/>
      <c r="AX11" s="260"/>
      <c r="AY11" s="260"/>
      <c r="AZ11" s="260"/>
      <c r="BA11" s="260"/>
      <c r="BB11" s="260"/>
      <c r="BC11" s="260"/>
      <c r="BD11" s="252"/>
      <c r="BE11" s="249"/>
    </row>
    <row r="12" spans="1:72">
      <c r="A12" s="249">
        <v>3</v>
      </c>
      <c r="B12" s="257" t="s">
        <v>18</v>
      </c>
      <c r="C12" s="258">
        <v>2894.8</v>
      </c>
      <c r="D12" s="258">
        <v>2955.5</v>
      </c>
      <c r="E12" s="258">
        <v>3044.1</v>
      </c>
      <c r="F12" s="258">
        <v>2999.6</v>
      </c>
      <c r="G12" s="258">
        <v>2915.3</v>
      </c>
      <c r="H12" s="258">
        <v>2972.1</v>
      </c>
      <c r="I12" s="258">
        <v>2988.1</v>
      </c>
      <c r="J12" s="258">
        <v>2941.9</v>
      </c>
      <c r="K12" s="258">
        <v>2967.3</v>
      </c>
      <c r="L12" s="258">
        <v>3092.9</v>
      </c>
      <c r="M12" s="257" t="s">
        <v>18</v>
      </c>
      <c r="N12" s="258">
        <v>2.2999999999999998</v>
      </c>
      <c r="O12" s="258">
        <v>2.2000000000000002</v>
      </c>
      <c r="P12" s="258">
        <v>2.2000000000000002</v>
      </c>
      <c r="Q12" s="258">
        <v>2.1</v>
      </c>
      <c r="R12" s="258">
        <v>2.1</v>
      </c>
      <c r="S12" s="258">
        <v>2.1</v>
      </c>
      <c r="T12" s="258">
        <v>1.8</v>
      </c>
      <c r="U12" s="258">
        <v>2</v>
      </c>
      <c r="V12" s="258">
        <v>2.2000000000000002</v>
      </c>
      <c r="W12" s="258">
        <v>2.4</v>
      </c>
      <c r="X12" s="257" t="s">
        <v>18</v>
      </c>
      <c r="Y12" s="258">
        <v>4.0999999999999996</v>
      </c>
      <c r="Z12" s="258">
        <v>3.8</v>
      </c>
      <c r="AA12" s="258">
        <v>4</v>
      </c>
      <c r="AB12" s="258">
        <v>3.6</v>
      </c>
      <c r="AC12" s="258">
        <v>3.7</v>
      </c>
      <c r="AD12" s="258">
        <v>3.6</v>
      </c>
      <c r="AE12" s="258">
        <v>3.6</v>
      </c>
      <c r="AF12" s="258">
        <v>3.6</v>
      </c>
      <c r="AG12" s="258">
        <v>3.9</v>
      </c>
      <c r="AH12" s="258">
        <v>4.0999999999999996</v>
      </c>
      <c r="AI12" s="251" t="s">
        <v>18</v>
      </c>
      <c r="AJ12" s="252">
        <v>61</v>
      </c>
      <c r="AK12" s="252">
        <v>62.4</v>
      </c>
      <c r="AL12" s="252">
        <v>64.5</v>
      </c>
      <c r="AM12" s="252">
        <v>63.7</v>
      </c>
      <c r="AN12" s="252">
        <v>62.3</v>
      </c>
      <c r="AO12" s="252">
        <v>63.7</v>
      </c>
      <c r="AP12" s="252">
        <v>64.2</v>
      </c>
      <c r="AQ12" s="252">
        <v>63.4</v>
      </c>
      <c r="AR12" s="252">
        <v>64.3</v>
      </c>
      <c r="AS12" s="252">
        <v>67.2</v>
      </c>
      <c r="AT12" s="251" t="s">
        <v>18</v>
      </c>
      <c r="AU12" s="260">
        <v>17</v>
      </c>
      <c r="AV12" s="260">
        <v>37</v>
      </c>
      <c r="AW12" s="260">
        <v>65</v>
      </c>
      <c r="AX12" s="260">
        <v>22</v>
      </c>
      <c r="AY12" s="260">
        <v>8</v>
      </c>
      <c r="AZ12" s="260">
        <v>33</v>
      </c>
      <c r="BA12" s="260">
        <v>36</v>
      </c>
      <c r="BB12" s="260">
        <v>20</v>
      </c>
      <c r="BC12" s="260">
        <v>25</v>
      </c>
      <c r="BD12" s="260">
        <v>46</v>
      </c>
      <c r="BE12" s="249"/>
    </row>
    <row r="13" spans="1:72">
      <c r="A13" s="249">
        <v>4</v>
      </c>
      <c r="B13" s="257" t="s">
        <v>26</v>
      </c>
      <c r="C13" s="258">
        <v>1521.5</v>
      </c>
      <c r="D13" s="258">
        <v>1567.5</v>
      </c>
      <c r="E13" s="258">
        <v>1598.2</v>
      </c>
      <c r="F13" s="258">
        <v>1549.1</v>
      </c>
      <c r="G13" s="258">
        <v>1520</v>
      </c>
      <c r="H13" s="258">
        <v>1582</v>
      </c>
      <c r="I13" s="258">
        <v>1606.5</v>
      </c>
      <c r="J13" s="258">
        <v>1557.8</v>
      </c>
      <c r="K13" s="258">
        <v>1528.7</v>
      </c>
      <c r="L13" s="258">
        <v>1612.8</v>
      </c>
      <c r="M13" s="257" t="s">
        <v>26</v>
      </c>
      <c r="N13" s="258">
        <v>5.9</v>
      </c>
      <c r="O13" s="258">
        <v>6.3</v>
      </c>
      <c r="P13" s="258">
        <v>6.3</v>
      </c>
      <c r="Q13" s="258">
        <v>5.4</v>
      </c>
      <c r="R13" s="258">
        <v>5.8</v>
      </c>
      <c r="S13" s="258">
        <v>6</v>
      </c>
      <c r="T13" s="258">
        <v>5.9</v>
      </c>
      <c r="U13" s="258">
        <v>4.9000000000000004</v>
      </c>
      <c r="V13" s="258">
        <v>4.5</v>
      </c>
      <c r="W13" s="258">
        <v>4.4000000000000004</v>
      </c>
      <c r="X13" s="257" t="s">
        <v>26</v>
      </c>
      <c r="Y13" s="258">
        <v>16.2</v>
      </c>
      <c r="Z13" s="258">
        <v>16.5</v>
      </c>
      <c r="AA13" s="258">
        <v>17.8</v>
      </c>
      <c r="AB13" s="258">
        <v>18.3</v>
      </c>
      <c r="AC13" s="258">
        <v>18.600000000000001</v>
      </c>
      <c r="AD13" s="258">
        <v>19.7</v>
      </c>
      <c r="AE13" s="258">
        <v>19.7</v>
      </c>
      <c r="AF13" s="258">
        <v>18.5</v>
      </c>
      <c r="AG13" s="258">
        <v>18</v>
      </c>
      <c r="AH13" s="258">
        <v>18.3</v>
      </c>
      <c r="AI13" s="251" t="s">
        <v>26</v>
      </c>
      <c r="AJ13" s="252">
        <v>54.4</v>
      </c>
      <c r="AK13" s="252">
        <v>56.2</v>
      </c>
      <c r="AL13" s="252">
        <v>57.5</v>
      </c>
      <c r="AM13" s="252">
        <v>55.8</v>
      </c>
      <c r="AN13" s="252">
        <v>55</v>
      </c>
      <c r="AO13" s="252">
        <v>57.4</v>
      </c>
      <c r="AP13" s="252">
        <v>58.4</v>
      </c>
      <c r="AQ13" s="252">
        <v>56.8</v>
      </c>
      <c r="AR13" s="252">
        <v>55.9</v>
      </c>
      <c r="AS13" s="252">
        <v>59.2</v>
      </c>
      <c r="AT13" s="251" t="s">
        <v>26</v>
      </c>
      <c r="AU13" s="260">
        <v>41</v>
      </c>
      <c r="AV13" s="260">
        <v>51</v>
      </c>
      <c r="AW13" s="260">
        <v>35</v>
      </c>
      <c r="AX13" s="260">
        <v>29</v>
      </c>
      <c r="AY13" s="260">
        <v>39</v>
      </c>
      <c r="AZ13" s="260">
        <v>60</v>
      </c>
      <c r="BA13" s="260">
        <v>44</v>
      </c>
      <c r="BB13" s="260">
        <v>35</v>
      </c>
      <c r="BC13" s="260">
        <v>30</v>
      </c>
      <c r="BD13" s="260">
        <v>56</v>
      </c>
      <c r="BE13" s="249"/>
    </row>
    <row r="14" spans="1:72">
      <c r="A14" s="249">
        <v>5</v>
      </c>
      <c r="B14" s="257" t="s">
        <v>28</v>
      </c>
      <c r="C14" s="258">
        <v>345</v>
      </c>
      <c r="D14" s="258">
        <v>352.5</v>
      </c>
      <c r="E14" s="258">
        <v>349.3</v>
      </c>
      <c r="F14" s="258">
        <v>353.3</v>
      </c>
      <c r="G14" s="258">
        <v>341</v>
      </c>
      <c r="H14" s="258">
        <v>358</v>
      </c>
      <c r="I14" s="258">
        <v>357.6</v>
      </c>
      <c r="J14" s="258">
        <v>359</v>
      </c>
      <c r="K14" s="258">
        <v>356.5</v>
      </c>
      <c r="L14" s="258">
        <v>370.7</v>
      </c>
      <c r="M14" s="257" t="s">
        <v>28</v>
      </c>
      <c r="N14" s="258">
        <v>13.9</v>
      </c>
      <c r="O14" s="258">
        <v>13.1</v>
      </c>
      <c r="P14" s="258">
        <v>11.9</v>
      </c>
      <c r="Q14" s="258">
        <v>13.2</v>
      </c>
      <c r="R14" s="258">
        <v>13.6</v>
      </c>
      <c r="S14" s="258">
        <v>13.3</v>
      </c>
      <c r="T14" s="258">
        <v>13</v>
      </c>
      <c r="U14" s="258">
        <v>13.8</v>
      </c>
      <c r="V14" s="258">
        <v>13.6</v>
      </c>
      <c r="W14" s="258">
        <v>12.2</v>
      </c>
      <c r="X14" s="257" t="s">
        <v>28</v>
      </c>
      <c r="Y14" s="258">
        <v>15.5</v>
      </c>
      <c r="Z14" s="258">
        <v>16.2</v>
      </c>
      <c r="AA14" s="258">
        <v>15.7</v>
      </c>
      <c r="AB14" s="258">
        <v>16</v>
      </c>
      <c r="AC14" s="258">
        <v>14.6</v>
      </c>
      <c r="AD14" s="258">
        <v>15.6</v>
      </c>
      <c r="AE14" s="258">
        <v>14.4</v>
      </c>
      <c r="AF14" s="258">
        <v>12.9</v>
      </c>
      <c r="AG14" s="258">
        <v>12.7</v>
      </c>
      <c r="AH14" s="258">
        <v>13.9</v>
      </c>
      <c r="AI14" s="251" t="s">
        <v>28</v>
      </c>
      <c r="AJ14" s="252">
        <v>61.9</v>
      </c>
      <c r="AK14" s="252">
        <v>63.2</v>
      </c>
      <c r="AL14" s="252">
        <v>62.5</v>
      </c>
      <c r="AM14" s="252">
        <v>63.1</v>
      </c>
      <c r="AN14" s="252">
        <v>61.6</v>
      </c>
      <c r="AO14" s="252">
        <v>64.5</v>
      </c>
      <c r="AP14" s="252">
        <v>64.400000000000006</v>
      </c>
      <c r="AQ14" s="252">
        <v>64.400000000000006</v>
      </c>
      <c r="AR14" s="252">
        <v>63.3</v>
      </c>
      <c r="AS14" s="252">
        <v>65.599999999999994</v>
      </c>
      <c r="AT14" s="251" t="s">
        <v>28</v>
      </c>
      <c r="AU14" s="260">
        <v>8</v>
      </c>
      <c r="AV14" s="260">
        <v>16</v>
      </c>
      <c r="AW14" s="260">
        <v>10</v>
      </c>
      <c r="AX14" s="260">
        <v>12</v>
      </c>
      <c r="AY14" s="260">
        <v>7</v>
      </c>
      <c r="AZ14" s="260">
        <v>15</v>
      </c>
      <c r="BA14" s="260">
        <v>7</v>
      </c>
      <c r="BB14" s="260">
        <v>11</v>
      </c>
      <c r="BC14" s="260">
        <v>9</v>
      </c>
      <c r="BD14" s="260">
        <v>16</v>
      </c>
      <c r="BE14" s="249"/>
    </row>
    <row r="15" spans="1:72">
      <c r="A15" s="249">
        <v>6</v>
      </c>
      <c r="B15" s="257" t="s">
        <v>19</v>
      </c>
      <c r="C15" s="258">
        <v>4892.7</v>
      </c>
      <c r="D15" s="258">
        <v>4937.6000000000004</v>
      </c>
      <c r="E15" s="258">
        <v>4948.3999999999996</v>
      </c>
      <c r="F15" s="258">
        <v>4958.5</v>
      </c>
      <c r="G15" s="258">
        <v>4965.6000000000004</v>
      </c>
      <c r="H15" s="258">
        <v>5002.6000000000004</v>
      </c>
      <c r="I15" s="258">
        <v>5028.3</v>
      </c>
      <c r="J15" s="258">
        <v>5067</v>
      </c>
      <c r="K15" s="258">
        <v>5049.8999999999996</v>
      </c>
      <c r="L15" s="258">
        <v>5072.2</v>
      </c>
      <c r="M15" s="257" t="s">
        <v>19</v>
      </c>
      <c r="N15" s="258">
        <v>5.3</v>
      </c>
      <c r="O15" s="258">
        <v>5.4</v>
      </c>
      <c r="P15" s="258">
        <v>5.3</v>
      </c>
      <c r="Q15" s="258">
        <v>5.2</v>
      </c>
      <c r="R15" s="258">
        <v>5.5</v>
      </c>
      <c r="S15" s="258">
        <v>5.6</v>
      </c>
      <c r="T15" s="258">
        <v>5.7</v>
      </c>
      <c r="U15" s="258">
        <v>5.8</v>
      </c>
      <c r="V15" s="258">
        <v>6</v>
      </c>
      <c r="W15" s="258">
        <v>6.2</v>
      </c>
      <c r="X15" s="257" t="s">
        <v>19</v>
      </c>
      <c r="Y15" s="258">
        <v>8.3000000000000007</v>
      </c>
      <c r="Z15" s="258">
        <v>8.5</v>
      </c>
      <c r="AA15" s="258">
        <v>8.3000000000000007</v>
      </c>
      <c r="AB15" s="258">
        <v>8.1999999999999993</v>
      </c>
      <c r="AC15" s="258">
        <v>8.1</v>
      </c>
      <c r="AD15" s="258">
        <v>8.1</v>
      </c>
      <c r="AE15" s="258">
        <v>8.1</v>
      </c>
      <c r="AF15" s="258">
        <v>8.1</v>
      </c>
      <c r="AG15" s="258">
        <v>8.1999999999999993</v>
      </c>
      <c r="AH15" s="258">
        <v>8</v>
      </c>
      <c r="AI15" s="251" t="s">
        <v>19</v>
      </c>
      <c r="AJ15" s="252">
        <v>69.400000000000006</v>
      </c>
      <c r="AK15" s="252">
        <v>70.2</v>
      </c>
      <c r="AL15" s="252">
        <v>70.5</v>
      </c>
      <c r="AM15" s="252">
        <v>70.8</v>
      </c>
      <c r="AN15" s="252">
        <v>71</v>
      </c>
      <c r="AO15" s="252">
        <v>71.7</v>
      </c>
      <c r="AP15" s="252">
        <v>72.2</v>
      </c>
      <c r="AQ15" s="252">
        <v>72.900000000000006</v>
      </c>
      <c r="AR15" s="252">
        <v>72.8</v>
      </c>
      <c r="AS15" s="252">
        <v>73.3</v>
      </c>
      <c r="AT15" s="251" t="s">
        <v>19</v>
      </c>
      <c r="AU15" s="260">
        <v>45</v>
      </c>
      <c r="AV15" s="260">
        <v>70</v>
      </c>
      <c r="AW15" s="260">
        <v>44</v>
      </c>
      <c r="AX15" s="260">
        <v>44</v>
      </c>
      <c r="AY15" s="260">
        <v>44</v>
      </c>
      <c r="AZ15" s="260">
        <v>51</v>
      </c>
      <c r="BA15" s="260">
        <v>40</v>
      </c>
      <c r="BB15" s="260">
        <v>51</v>
      </c>
      <c r="BC15" s="260">
        <v>39</v>
      </c>
      <c r="BD15" s="260">
        <v>45</v>
      </c>
      <c r="BE15" s="249"/>
    </row>
    <row r="16" spans="1:72">
      <c r="A16" s="249">
        <v>7</v>
      </c>
      <c r="B16" s="257" t="s">
        <v>20</v>
      </c>
      <c r="C16" s="258">
        <v>2651.1</v>
      </c>
      <c r="D16" s="258">
        <v>2673.3</v>
      </c>
      <c r="E16" s="258">
        <v>2686.5</v>
      </c>
      <c r="F16" s="258">
        <v>2702.1</v>
      </c>
      <c r="G16" s="258">
        <v>2724.5</v>
      </c>
      <c r="H16" s="258">
        <v>2761.2</v>
      </c>
      <c r="I16" s="258">
        <v>2760</v>
      </c>
      <c r="J16" s="258">
        <v>2745</v>
      </c>
      <c r="K16" s="258">
        <v>2694.8</v>
      </c>
      <c r="L16" s="258">
        <v>2729</v>
      </c>
      <c r="M16" s="257" t="s">
        <v>20</v>
      </c>
      <c r="N16" s="258">
        <v>25.3</v>
      </c>
      <c r="O16" s="258">
        <v>25</v>
      </c>
      <c r="P16" s="258">
        <v>24.1</v>
      </c>
      <c r="Q16" s="258">
        <v>24.2</v>
      </c>
      <c r="R16" s="258">
        <v>26</v>
      </c>
      <c r="S16" s="258">
        <v>27.1</v>
      </c>
      <c r="T16" s="258">
        <v>26.2</v>
      </c>
      <c r="U16" s="258">
        <v>26.1</v>
      </c>
      <c r="V16" s="258">
        <v>26</v>
      </c>
      <c r="W16" s="258">
        <v>26</v>
      </c>
      <c r="X16" s="257" t="s">
        <v>20</v>
      </c>
      <c r="Y16" s="258">
        <v>7.4</v>
      </c>
      <c r="Z16" s="258">
        <v>8.3000000000000007</v>
      </c>
      <c r="AA16" s="258">
        <v>8.4</v>
      </c>
      <c r="AB16" s="258">
        <v>7.7</v>
      </c>
      <c r="AC16" s="258">
        <v>13.1</v>
      </c>
      <c r="AD16" s="258">
        <v>12.6</v>
      </c>
      <c r="AE16" s="258">
        <v>11.9</v>
      </c>
      <c r="AF16" s="258">
        <v>12.1</v>
      </c>
      <c r="AG16" s="258">
        <v>12.8</v>
      </c>
      <c r="AH16" s="258">
        <v>12</v>
      </c>
      <c r="AI16" s="251" t="s">
        <v>20</v>
      </c>
      <c r="AJ16" s="252">
        <v>73</v>
      </c>
      <c r="AK16" s="252">
        <v>73.5</v>
      </c>
      <c r="AL16" s="252">
        <v>73.7</v>
      </c>
      <c r="AM16" s="252">
        <v>73.8</v>
      </c>
      <c r="AN16" s="252">
        <v>74.400000000000006</v>
      </c>
      <c r="AO16" s="252">
        <v>75.3</v>
      </c>
      <c r="AP16" s="252">
        <v>75.2</v>
      </c>
      <c r="AQ16" s="252">
        <v>74.5</v>
      </c>
      <c r="AR16" s="252">
        <v>73.2</v>
      </c>
      <c r="AS16" s="252">
        <v>74.099999999999994</v>
      </c>
      <c r="AT16" s="251" t="s">
        <v>20</v>
      </c>
      <c r="AU16" s="260">
        <v>48</v>
      </c>
      <c r="AV16" s="260">
        <v>74</v>
      </c>
      <c r="AW16" s="260">
        <v>60</v>
      </c>
      <c r="AX16" s="260">
        <v>60</v>
      </c>
      <c r="AY16" s="260">
        <v>52</v>
      </c>
      <c r="AZ16" s="260">
        <v>69</v>
      </c>
      <c r="BA16" s="260">
        <v>68</v>
      </c>
      <c r="BB16" s="260">
        <v>66</v>
      </c>
      <c r="BC16" s="260">
        <v>64</v>
      </c>
      <c r="BD16" s="260">
        <v>72</v>
      </c>
      <c r="BE16" s="249"/>
    </row>
    <row r="17" spans="1:57">
      <c r="A17" s="249">
        <v>8</v>
      </c>
      <c r="B17" s="257" t="s">
        <v>21</v>
      </c>
      <c r="C17" s="258">
        <v>596.1</v>
      </c>
      <c r="D17" s="258">
        <v>612</v>
      </c>
      <c r="E17" s="258">
        <v>632.29999999999995</v>
      </c>
      <c r="F17" s="258">
        <v>612</v>
      </c>
      <c r="G17" s="258">
        <v>597.79999999999995</v>
      </c>
      <c r="H17" s="258">
        <v>622.6</v>
      </c>
      <c r="I17" s="258">
        <v>620.4</v>
      </c>
      <c r="J17" s="258">
        <v>608.4</v>
      </c>
      <c r="K17" s="258">
        <v>616.5</v>
      </c>
      <c r="L17" s="258">
        <v>619</v>
      </c>
      <c r="M17" s="257" t="s">
        <v>21</v>
      </c>
      <c r="N17" s="258">
        <v>8.9</v>
      </c>
      <c r="O17" s="258">
        <v>10</v>
      </c>
      <c r="P17" s="258">
        <v>9.5</v>
      </c>
      <c r="Q17" s="258">
        <v>9.6999999999999993</v>
      </c>
      <c r="R17" s="258">
        <v>10.5</v>
      </c>
      <c r="S17" s="258">
        <v>10</v>
      </c>
      <c r="T17" s="258">
        <v>9.1</v>
      </c>
      <c r="U17" s="258">
        <v>10</v>
      </c>
      <c r="V17" s="258">
        <v>9.5</v>
      </c>
      <c r="W17" s="258">
        <v>9.6999999999999993</v>
      </c>
      <c r="X17" s="257" t="s">
        <v>21</v>
      </c>
      <c r="Y17" s="258">
        <v>2.4</v>
      </c>
      <c r="Z17" s="258">
        <v>3.4</v>
      </c>
      <c r="AA17" s="258">
        <v>3.4</v>
      </c>
      <c r="AB17" s="258">
        <v>3.2</v>
      </c>
      <c r="AC17" s="258">
        <v>3</v>
      </c>
      <c r="AD17" s="258">
        <v>3.6</v>
      </c>
      <c r="AE17" s="258">
        <v>4.3</v>
      </c>
      <c r="AF17" s="258">
        <v>2.6</v>
      </c>
      <c r="AG17" s="258">
        <v>2.6</v>
      </c>
      <c r="AH17" s="258">
        <v>2.9</v>
      </c>
      <c r="AI17" s="251" t="s">
        <v>21</v>
      </c>
      <c r="AJ17" s="252">
        <v>69.900000000000006</v>
      </c>
      <c r="AK17" s="252">
        <v>71.7</v>
      </c>
      <c r="AL17" s="252">
        <v>74</v>
      </c>
      <c r="AM17" s="252">
        <v>71.900000000000006</v>
      </c>
      <c r="AN17" s="252">
        <v>70.3</v>
      </c>
      <c r="AO17" s="252">
        <v>73.3</v>
      </c>
      <c r="AP17" s="252">
        <v>73.2</v>
      </c>
      <c r="AQ17" s="252">
        <v>71.599999999999994</v>
      </c>
      <c r="AR17" s="252">
        <v>73.099999999999994</v>
      </c>
      <c r="AS17" s="252">
        <v>73.2</v>
      </c>
      <c r="AT17" s="251" t="s">
        <v>21</v>
      </c>
      <c r="AU17" s="260">
        <v>8</v>
      </c>
      <c r="AV17" s="260">
        <v>13</v>
      </c>
      <c r="AW17" s="260">
        <v>15</v>
      </c>
      <c r="AX17" s="260">
        <v>8</v>
      </c>
      <c r="AY17" s="260">
        <v>11</v>
      </c>
      <c r="AZ17" s="260">
        <v>16</v>
      </c>
      <c r="BA17" s="260">
        <v>13</v>
      </c>
      <c r="BB17" s="260">
        <v>14</v>
      </c>
      <c r="BC17" s="260">
        <v>10</v>
      </c>
      <c r="BD17" s="260">
        <v>9</v>
      </c>
      <c r="BE17" s="249"/>
    </row>
    <row r="18" spans="1:57">
      <c r="A18" s="249">
        <v>9</v>
      </c>
      <c r="B18" s="257" t="s">
        <v>41</v>
      </c>
      <c r="C18" s="258">
        <v>2324</v>
      </c>
      <c r="D18" s="258">
        <v>2396.5</v>
      </c>
      <c r="E18" s="258">
        <v>2411.8000000000002</v>
      </c>
      <c r="F18" s="258">
        <v>2339.4</v>
      </c>
      <c r="G18" s="258">
        <v>2327.9</v>
      </c>
      <c r="H18" s="258">
        <v>2407.8000000000002</v>
      </c>
      <c r="I18" s="258">
        <v>2425.5</v>
      </c>
      <c r="J18" s="258">
        <v>2356.9</v>
      </c>
      <c r="K18" s="258">
        <v>2340.3000000000002</v>
      </c>
      <c r="L18" s="258">
        <v>2423.5</v>
      </c>
      <c r="M18" s="257" t="s">
        <v>41</v>
      </c>
      <c r="N18" s="258">
        <v>14.8</v>
      </c>
      <c r="O18" s="258">
        <v>14</v>
      </c>
      <c r="P18" s="258">
        <v>13.1</v>
      </c>
      <c r="Q18" s="258">
        <v>14.7</v>
      </c>
      <c r="R18" s="258">
        <v>15.3</v>
      </c>
      <c r="S18" s="258">
        <v>14.9</v>
      </c>
      <c r="T18" s="258">
        <v>14.2</v>
      </c>
      <c r="U18" s="258">
        <v>15.4</v>
      </c>
      <c r="V18" s="258">
        <v>15.8</v>
      </c>
      <c r="W18" s="258">
        <v>15</v>
      </c>
      <c r="X18" s="257" t="s">
        <v>41</v>
      </c>
      <c r="Y18" s="258">
        <v>13.4</v>
      </c>
      <c r="Z18" s="258">
        <v>13.3</v>
      </c>
      <c r="AA18" s="258">
        <v>13.1</v>
      </c>
      <c r="AB18" s="258">
        <v>12.9</v>
      </c>
      <c r="AC18" s="258">
        <v>13.2</v>
      </c>
      <c r="AD18" s="258">
        <v>13.5</v>
      </c>
      <c r="AE18" s="258">
        <v>13.8</v>
      </c>
      <c r="AF18" s="258">
        <v>13.8</v>
      </c>
      <c r="AG18" s="258">
        <v>13.9</v>
      </c>
      <c r="AH18" s="258">
        <v>14.2</v>
      </c>
      <c r="AI18" s="251" t="s">
        <v>41</v>
      </c>
      <c r="AJ18" s="252">
        <v>67.2</v>
      </c>
      <c r="AK18" s="252">
        <v>69.3</v>
      </c>
      <c r="AL18" s="252">
        <v>69.900000000000006</v>
      </c>
      <c r="AM18" s="252">
        <v>67.8</v>
      </c>
      <c r="AN18" s="252">
        <v>67.5</v>
      </c>
      <c r="AO18" s="252">
        <v>69.900000000000006</v>
      </c>
      <c r="AP18" s="252">
        <v>70.5</v>
      </c>
      <c r="AQ18" s="252">
        <v>68.400000000000006</v>
      </c>
      <c r="AR18" s="252">
        <v>68</v>
      </c>
      <c r="AS18" s="252">
        <v>70.5</v>
      </c>
      <c r="AT18" s="251" t="s">
        <v>41</v>
      </c>
      <c r="AU18" s="260">
        <v>42</v>
      </c>
      <c r="AV18" s="260">
        <v>66</v>
      </c>
      <c r="AW18" s="260">
        <v>77</v>
      </c>
      <c r="AX18" s="260">
        <v>51</v>
      </c>
      <c r="AY18" s="260">
        <v>42</v>
      </c>
      <c r="AZ18" s="260">
        <v>73</v>
      </c>
      <c r="BA18" s="260">
        <v>75</v>
      </c>
      <c r="BB18" s="260">
        <v>48</v>
      </c>
      <c r="BC18" s="260">
        <v>47</v>
      </c>
      <c r="BD18" s="260">
        <v>76</v>
      </c>
      <c r="BE18" s="249"/>
    </row>
    <row r="19" spans="1:57">
      <c r="A19" s="249">
        <v>10</v>
      </c>
      <c r="B19" s="257" t="s">
        <v>25</v>
      </c>
      <c r="C19" s="258">
        <v>25904.1</v>
      </c>
      <c r="D19" s="258">
        <v>26169.200000000001</v>
      </c>
      <c r="E19" s="258">
        <v>26307.5</v>
      </c>
      <c r="F19" s="258">
        <v>26093.200000000001</v>
      </c>
      <c r="G19" s="258">
        <v>26053.599999999999</v>
      </c>
      <c r="H19" s="258">
        <v>26320.2</v>
      </c>
      <c r="I19" s="258">
        <v>26405.200000000001</v>
      </c>
      <c r="J19" s="258">
        <v>26194.9</v>
      </c>
      <c r="K19" s="258">
        <v>26150.6</v>
      </c>
      <c r="L19" s="258">
        <v>26633</v>
      </c>
      <c r="M19" s="257" t="s">
        <v>25</v>
      </c>
      <c r="N19" s="258">
        <v>18.600000000000001</v>
      </c>
      <c r="O19" s="258">
        <v>18.600000000000001</v>
      </c>
      <c r="P19" s="258">
        <v>18</v>
      </c>
      <c r="Q19" s="258">
        <v>18.3</v>
      </c>
      <c r="R19" s="258">
        <v>18.7</v>
      </c>
      <c r="S19" s="258">
        <v>18.5</v>
      </c>
      <c r="T19" s="258">
        <v>17.8</v>
      </c>
      <c r="U19" s="258">
        <v>18.2</v>
      </c>
      <c r="V19" s="258">
        <v>18.399999999999999</v>
      </c>
      <c r="W19" s="258">
        <v>18.600000000000001</v>
      </c>
      <c r="X19" s="257" t="s">
        <v>25</v>
      </c>
      <c r="Y19" s="258">
        <v>13.7</v>
      </c>
      <c r="Z19" s="258">
        <v>14.2</v>
      </c>
      <c r="AA19" s="258">
        <v>14.1</v>
      </c>
      <c r="AB19" s="258">
        <v>14.2</v>
      </c>
      <c r="AC19" s="258">
        <v>14</v>
      </c>
      <c r="AD19" s="258">
        <v>14.2</v>
      </c>
      <c r="AE19" s="258">
        <v>14.1</v>
      </c>
      <c r="AF19" s="258">
        <v>14.3</v>
      </c>
      <c r="AG19" s="258">
        <v>14.7</v>
      </c>
      <c r="AH19" s="258">
        <v>14.7</v>
      </c>
      <c r="AI19" s="251" t="s">
        <v>25</v>
      </c>
      <c r="AJ19" s="252">
        <v>63.3</v>
      </c>
      <c r="AK19" s="252">
        <v>63.9</v>
      </c>
      <c r="AL19" s="252">
        <v>64.3</v>
      </c>
      <c r="AM19" s="252">
        <v>63.8</v>
      </c>
      <c r="AN19" s="252">
        <v>63.7</v>
      </c>
      <c r="AO19" s="252">
        <v>64.400000000000006</v>
      </c>
      <c r="AP19" s="252">
        <v>64.599999999999994</v>
      </c>
      <c r="AQ19" s="252">
        <v>64.099999999999994</v>
      </c>
      <c r="AR19" s="252">
        <v>63.8</v>
      </c>
      <c r="AS19" s="252">
        <v>65.099999999999994</v>
      </c>
      <c r="AT19" s="251" t="s">
        <v>25</v>
      </c>
      <c r="AU19" s="260">
        <v>565</v>
      </c>
      <c r="AV19" s="260">
        <v>727</v>
      </c>
      <c r="AW19" s="260">
        <v>620</v>
      </c>
      <c r="AX19" s="260">
        <v>687</v>
      </c>
      <c r="AY19" s="260">
        <v>606</v>
      </c>
      <c r="AZ19" s="260">
        <v>719</v>
      </c>
      <c r="BA19" s="260">
        <v>582</v>
      </c>
      <c r="BB19" s="260">
        <v>595</v>
      </c>
      <c r="BC19" s="260">
        <v>618</v>
      </c>
      <c r="BD19" s="260">
        <v>719</v>
      </c>
      <c r="BE19" s="249"/>
    </row>
    <row r="20" spans="1:57">
      <c r="A20" s="249">
        <v>11</v>
      </c>
      <c r="B20" s="257" t="s">
        <v>49</v>
      </c>
      <c r="C20" s="258">
        <v>38935.4</v>
      </c>
      <c r="D20" s="258">
        <v>38939.599999999999</v>
      </c>
      <c r="E20" s="258">
        <v>39225.699999999997</v>
      </c>
      <c r="F20" s="258">
        <v>39602.800000000003</v>
      </c>
      <c r="G20" s="258">
        <v>39923.5</v>
      </c>
      <c r="H20" s="258">
        <v>39835.4</v>
      </c>
      <c r="I20" s="258">
        <v>40379.800000000003</v>
      </c>
      <c r="J20" s="258">
        <v>40521.599999999999</v>
      </c>
      <c r="K20" s="258">
        <v>40160.300000000003</v>
      </c>
      <c r="L20" s="258">
        <v>40168.199999999997</v>
      </c>
      <c r="M20" s="257" t="s">
        <v>49</v>
      </c>
      <c r="N20" s="258">
        <v>26.8</v>
      </c>
      <c r="O20" s="258">
        <v>27.1</v>
      </c>
      <c r="P20" s="258">
        <v>26.7</v>
      </c>
      <c r="Q20" s="258">
        <v>26.5</v>
      </c>
      <c r="R20" s="258">
        <v>27</v>
      </c>
      <c r="S20" s="258">
        <v>26.8</v>
      </c>
      <c r="T20" s="258">
        <v>26.5</v>
      </c>
      <c r="U20" s="258">
        <v>26.5</v>
      </c>
      <c r="V20" s="258">
        <v>27</v>
      </c>
      <c r="W20" s="258">
        <v>26.9</v>
      </c>
      <c r="X20" s="257" t="s">
        <v>49</v>
      </c>
      <c r="Y20" s="258">
        <v>11.8</v>
      </c>
      <c r="Z20" s="258">
        <v>11.7</v>
      </c>
      <c r="AA20" s="258">
        <v>11.8</v>
      </c>
      <c r="AB20" s="258">
        <v>11.8</v>
      </c>
      <c r="AC20" s="258">
        <v>11.9</v>
      </c>
      <c r="AD20" s="258">
        <v>11.9</v>
      </c>
      <c r="AE20" s="258">
        <v>11.9</v>
      </c>
      <c r="AF20" s="258">
        <v>12</v>
      </c>
      <c r="AG20" s="258">
        <v>11.8</v>
      </c>
      <c r="AH20" s="258">
        <v>11.7</v>
      </c>
      <c r="AI20" s="251" t="s">
        <v>49</v>
      </c>
      <c r="AJ20" s="252">
        <v>73.7</v>
      </c>
      <c r="AK20" s="252">
        <v>73.599999999999994</v>
      </c>
      <c r="AL20" s="252">
        <v>74.2</v>
      </c>
      <c r="AM20" s="252">
        <v>74.400000000000006</v>
      </c>
      <c r="AN20" s="252">
        <v>74</v>
      </c>
      <c r="AO20" s="252">
        <v>74.2</v>
      </c>
      <c r="AP20" s="252">
        <v>75.099999999999994</v>
      </c>
      <c r="AQ20" s="252">
        <v>75.3</v>
      </c>
      <c r="AR20" s="252">
        <v>74.599999999999994</v>
      </c>
      <c r="AS20" s="252">
        <v>74.8</v>
      </c>
      <c r="AT20" s="264" t="s">
        <v>547</v>
      </c>
      <c r="AU20" s="260"/>
      <c r="AV20" s="260"/>
      <c r="AW20" s="260"/>
      <c r="AX20" s="260"/>
      <c r="AY20" s="260"/>
      <c r="AZ20" s="260"/>
      <c r="BA20" s="260"/>
      <c r="BB20" s="260"/>
      <c r="BC20" s="260"/>
      <c r="BD20" s="260"/>
      <c r="BE20" s="249"/>
    </row>
    <row r="21" spans="1:57">
      <c r="A21" s="249">
        <v>12</v>
      </c>
      <c r="B21" s="257" t="s">
        <v>23</v>
      </c>
      <c r="C21" s="258">
        <v>3445.8</v>
      </c>
      <c r="D21" s="258">
        <v>3564</v>
      </c>
      <c r="E21" s="258">
        <v>3606.2</v>
      </c>
      <c r="F21" s="258">
        <v>3575.9</v>
      </c>
      <c r="G21" s="258">
        <v>3543.7</v>
      </c>
      <c r="H21" s="258">
        <v>3638.7</v>
      </c>
      <c r="I21" s="258">
        <v>3673.7</v>
      </c>
      <c r="J21" s="258">
        <v>3585.1</v>
      </c>
      <c r="K21" s="258">
        <v>3592.4</v>
      </c>
      <c r="L21" s="258">
        <v>3721.3</v>
      </c>
      <c r="M21" s="257" t="s">
        <v>23</v>
      </c>
      <c r="N21" s="258">
        <v>9.9</v>
      </c>
      <c r="O21" s="258">
        <v>9.4</v>
      </c>
      <c r="P21" s="258">
        <v>9</v>
      </c>
      <c r="Q21" s="258">
        <v>9.3000000000000007</v>
      </c>
      <c r="R21" s="258">
        <v>9.6999999999999993</v>
      </c>
      <c r="S21" s="258">
        <v>9.8000000000000007</v>
      </c>
      <c r="T21" s="258">
        <v>9.6</v>
      </c>
      <c r="U21" s="258">
        <v>10.1</v>
      </c>
      <c r="V21" s="258">
        <v>10.4</v>
      </c>
      <c r="W21" s="258">
        <v>9.8000000000000007</v>
      </c>
      <c r="X21" s="257" t="s">
        <v>23</v>
      </c>
      <c r="Y21" s="258">
        <v>7.7</v>
      </c>
      <c r="Z21" s="258">
        <v>7.8</v>
      </c>
      <c r="AA21" s="258">
        <v>7.9</v>
      </c>
      <c r="AB21" s="258">
        <v>8</v>
      </c>
      <c r="AC21" s="258">
        <v>7.8</v>
      </c>
      <c r="AD21" s="258">
        <v>7.7</v>
      </c>
      <c r="AE21" s="258">
        <v>7.5</v>
      </c>
      <c r="AF21" s="258">
        <v>6.8</v>
      </c>
      <c r="AG21" s="258">
        <v>7</v>
      </c>
      <c r="AH21" s="258">
        <v>8.1</v>
      </c>
      <c r="AI21" s="251" t="s">
        <v>23</v>
      </c>
      <c r="AJ21" s="252">
        <v>49.2</v>
      </c>
      <c r="AK21" s="252">
        <v>51</v>
      </c>
      <c r="AL21" s="252">
        <v>51.7</v>
      </c>
      <c r="AM21" s="252">
        <v>51.3</v>
      </c>
      <c r="AN21" s="252">
        <v>50.9</v>
      </c>
      <c r="AO21" s="252">
        <v>52.4</v>
      </c>
      <c r="AP21" s="252">
        <v>53</v>
      </c>
      <c r="AQ21" s="252">
        <v>51.8</v>
      </c>
      <c r="AR21" s="252">
        <v>52</v>
      </c>
      <c r="AS21" s="252">
        <v>54</v>
      </c>
      <c r="AT21" s="251" t="s">
        <v>23</v>
      </c>
      <c r="AU21" s="260">
        <v>46</v>
      </c>
      <c r="AV21" s="260">
        <v>109</v>
      </c>
      <c r="AW21" s="260">
        <v>70</v>
      </c>
      <c r="AX21" s="260">
        <v>47</v>
      </c>
      <c r="AY21" s="260">
        <v>51</v>
      </c>
      <c r="AZ21" s="260">
        <v>103</v>
      </c>
      <c r="BA21" s="260">
        <v>63</v>
      </c>
      <c r="BB21" s="260">
        <v>40</v>
      </c>
      <c r="BC21" s="260">
        <v>57</v>
      </c>
      <c r="BD21" s="260">
        <v>118</v>
      </c>
      <c r="BE21" s="249"/>
    </row>
    <row r="22" spans="1:57">
      <c r="A22" s="249">
        <v>13</v>
      </c>
      <c r="B22" s="257" t="s">
        <v>32</v>
      </c>
      <c r="C22" s="258">
        <v>4086.5</v>
      </c>
      <c r="D22" s="258">
        <v>4167.2</v>
      </c>
      <c r="E22" s="258">
        <v>4228.1000000000004</v>
      </c>
      <c r="F22" s="258">
        <v>4221.3</v>
      </c>
      <c r="G22" s="258">
        <v>4224.6000000000004</v>
      </c>
      <c r="H22" s="258">
        <v>4304.5</v>
      </c>
      <c r="I22" s="258">
        <v>4345.7</v>
      </c>
      <c r="J22" s="258">
        <v>4362.7</v>
      </c>
      <c r="K22" s="258">
        <v>4322.6000000000004</v>
      </c>
      <c r="L22" s="258">
        <v>4370.8999999999996</v>
      </c>
      <c r="M22" s="257" t="s">
        <v>32</v>
      </c>
      <c r="N22" s="258">
        <v>6.1</v>
      </c>
      <c r="O22" s="258">
        <v>5.8</v>
      </c>
      <c r="P22" s="258">
        <v>5.6</v>
      </c>
      <c r="Q22" s="258">
        <v>5.3</v>
      </c>
      <c r="R22" s="258">
        <v>4.9000000000000004</v>
      </c>
      <c r="S22" s="258">
        <v>4.9000000000000004</v>
      </c>
      <c r="T22" s="258">
        <v>4.8</v>
      </c>
      <c r="U22" s="258">
        <v>4.5999999999999996</v>
      </c>
      <c r="V22" s="258">
        <v>4.5</v>
      </c>
      <c r="W22" s="258">
        <v>4.4000000000000004</v>
      </c>
      <c r="X22" s="257" t="s">
        <v>32</v>
      </c>
      <c r="Y22" s="258">
        <v>9.9</v>
      </c>
      <c r="Z22" s="258">
        <v>10</v>
      </c>
      <c r="AA22" s="258">
        <v>10.199999999999999</v>
      </c>
      <c r="AB22" s="258">
        <v>10.4</v>
      </c>
      <c r="AC22" s="258">
        <v>9.4</v>
      </c>
      <c r="AD22" s="258">
        <v>8.9</v>
      </c>
      <c r="AE22" s="258">
        <v>8.6</v>
      </c>
      <c r="AF22" s="258">
        <v>8.1</v>
      </c>
      <c r="AG22" s="258">
        <v>8.6999999999999993</v>
      </c>
      <c r="AH22" s="258">
        <v>8.1999999999999993</v>
      </c>
      <c r="AI22" s="251" t="s">
        <v>32</v>
      </c>
      <c r="AJ22" s="252">
        <v>62.4</v>
      </c>
      <c r="AK22" s="252">
        <v>63.8</v>
      </c>
      <c r="AL22" s="252">
        <v>64.8</v>
      </c>
      <c r="AM22" s="252">
        <v>64.8</v>
      </c>
      <c r="AN22" s="252">
        <v>65.099999999999994</v>
      </c>
      <c r="AO22" s="252">
        <v>66.400000000000006</v>
      </c>
      <c r="AP22" s="252">
        <v>67.099999999999994</v>
      </c>
      <c r="AQ22" s="252">
        <v>67.5</v>
      </c>
      <c r="AR22" s="252">
        <v>67.099999999999994</v>
      </c>
      <c r="AS22" s="252">
        <v>68.099999999999994</v>
      </c>
      <c r="AT22" s="251" t="s">
        <v>32</v>
      </c>
      <c r="AU22" s="260">
        <v>52</v>
      </c>
      <c r="AV22" s="260">
        <v>80</v>
      </c>
      <c r="AW22" s="260">
        <v>64</v>
      </c>
      <c r="AX22" s="260">
        <v>52</v>
      </c>
      <c r="AY22" s="260">
        <v>51</v>
      </c>
      <c r="AZ22" s="260">
        <v>67</v>
      </c>
      <c r="BA22" s="260">
        <v>49</v>
      </c>
      <c r="BB22" s="260">
        <v>46</v>
      </c>
      <c r="BC22" s="260">
        <v>37</v>
      </c>
      <c r="BD22" s="260">
        <v>47</v>
      </c>
      <c r="BE22" s="249"/>
    </row>
    <row r="23" spans="1:57">
      <c r="A23" s="249">
        <v>14</v>
      </c>
      <c r="B23" s="257" t="s">
        <v>44</v>
      </c>
      <c r="C23" s="258">
        <v>170</v>
      </c>
      <c r="D23" s="258">
        <v>176.7</v>
      </c>
      <c r="E23" s="258">
        <v>176</v>
      </c>
      <c r="F23" s="258">
        <v>172.7</v>
      </c>
      <c r="G23" s="258">
        <v>173.9</v>
      </c>
      <c r="H23" s="258">
        <v>181.2</v>
      </c>
      <c r="I23" s="258">
        <v>183.5</v>
      </c>
      <c r="J23" s="258">
        <v>180.2</v>
      </c>
      <c r="K23" s="258">
        <v>179.8</v>
      </c>
      <c r="L23" s="258">
        <v>185.9</v>
      </c>
      <c r="M23" s="257" t="s">
        <v>44</v>
      </c>
      <c r="N23" s="258">
        <v>25.6</v>
      </c>
      <c r="O23" s="258">
        <v>21.1</v>
      </c>
      <c r="P23" s="258">
        <v>20.100000000000001</v>
      </c>
      <c r="Q23" s="258">
        <v>26.5</v>
      </c>
      <c r="R23" s="258">
        <v>27.3</v>
      </c>
      <c r="S23" s="258">
        <v>21.7</v>
      </c>
      <c r="T23" s="258">
        <v>21.7</v>
      </c>
      <c r="U23" s="258">
        <v>25.3</v>
      </c>
      <c r="V23" s="258">
        <v>26.3</v>
      </c>
      <c r="W23" s="258">
        <v>20.3</v>
      </c>
      <c r="X23" s="257" t="s">
        <v>44</v>
      </c>
      <c r="Y23" s="258">
        <v>11.2</v>
      </c>
      <c r="Z23" s="258">
        <v>11.8</v>
      </c>
      <c r="AA23" s="258">
        <v>11.6</v>
      </c>
      <c r="AB23" s="258">
        <v>11</v>
      </c>
      <c r="AC23" s="258">
        <v>10.4</v>
      </c>
      <c r="AD23" s="258">
        <v>10.6</v>
      </c>
      <c r="AE23" s="258">
        <v>10.3</v>
      </c>
      <c r="AF23" s="258">
        <v>10.4</v>
      </c>
      <c r="AG23" s="258">
        <v>10</v>
      </c>
      <c r="AH23" s="258">
        <v>10</v>
      </c>
      <c r="AI23" s="251" t="s">
        <v>44</v>
      </c>
      <c r="AJ23" s="252">
        <v>82.9</v>
      </c>
      <c r="AK23" s="252">
        <v>85.6</v>
      </c>
      <c r="AL23" s="252">
        <v>86.1</v>
      </c>
      <c r="AM23" s="252">
        <v>84.3</v>
      </c>
      <c r="AN23" s="252">
        <v>84.6</v>
      </c>
      <c r="AO23" s="252">
        <v>87.4</v>
      </c>
      <c r="AP23" s="252">
        <v>88</v>
      </c>
      <c r="AQ23" s="252">
        <v>86.1</v>
      </c>
      <c r="AR23" s="252">
        <v>85.7</v>
      </c>
      <c r="AS23" s="252">
        <v>87.8</v>
      </c>
      <c r="AT23" s="251" t="s">
        <v>44</v>
      </c>
      <c r="AU23" s="260">
        <v>4</v>
      </c>
      <c r="AV23" s="260">
        <v>4</v>
      </c>
      <c r="AW23" s="260">
        <v>5</v>
      </c>
      <c r="AX23" s="260">
        <v>3</v>
      </c>
      <c r="AY23" s="260">
        <v>3</v>
      </c>
      <c r="AZ23" s="260">
        <v>4</v>
      </c>
      <c r="BA23" s="260">
        <v>4</v>
      </c>
      <c r="BB23" s="260">
        <v>4</v>
      </c>
      <c r="BC23" s="260">
        <v>2</v>
      </c>
      <c r="BD23" s="260">
        <v>2</v>
      </c>
      <c r="BE23" s="249"/>
    </row>
    <row r="24" spans="1:57">
      <c r="A24" s="249">
        <v>15</v>
      </c>
      <c r="B24" s="257" t="s">
        <v>22</v>
      </c>
      <c r="C24" s="258">
        <v>1868.9</v>
      </c>
      <c r="D24" s="258">
        <v>1893.6</v>
      </c>
      <c r="E24" s="258">
        <v>1915.9</v>
      </c>
      <c r="F24" s="258">
        <v>1919.3</v>
      </c>
      <c r="G24" s="258">
        <v>1911.5</v>
      </c>
      <c r="H24" s="258">
        <v>1947.3</v>
      </c>
      <c r="I24" s="258">
        <v>1974.4</v>
      </c>
      <c r="J24" s="258">
        <v>1980.4</v>
      </c>
      <c r="K24" s="258">
        <v>1979.7</v>
      </c>
      <c r="L24" s="258">
        <v>1995.4</v>
      </c>
      <c r="M24" s="257" t="s">
        <v>22</v>
      </c>
      <c r="N24" s="258">
        <v>22.3</v>
      </c>
      <c r="O24" s="258">
        <v>22.4</v>
      </c>
      <c r="P24" s="258">
        <v>22</v>
      </c>
      <c r="Q24" s="258">
        <v>22.2</v>
      </c>
      <c r="R24" s="258">
        <v>22.4</v>
      </c>
      <c r="S24" s="258">
        <v>22.2</v>
      </c>
      <c r="T24" s="258">
        <v>22</v>
      </c>
      <c r="U24" s="258">
        <v>21</v>
      </c>
      <c r="V24" s="258">
        <v>20.8</v>
      </c>
      <c r="W24" s="258">
        <v>20.3</v>
      </c>
      <c r="X24" s="257" t="s">
        <v>22</v>
      </c>
      <c r="Y24" s="258">
        <v>7.4</v>
      </c>
      <c r="Z24" s="258">
        <v>7.3</v>
      </c>
      <c r="AA24" s="258">
        <v>7.4</v>
      </c>
      <c r="AB24" s="258">
        <v>6.9</v>
      </c>
      <c r="AC24" s="258">
        <v>6.9</v>
      </c>
      <c r="AD24" s="258">
        <v>7</v>
      </c>
      <c r="AE24" s="258">
        <v>6.9</v>
      </c>
      <c r="AF24" s="258">
        <v>6.7</v>
      </c>
      <c r="AG24" s="258">
        <v>6.4</v>
      </c>
      <c r="AH24" s="258">
        <v>5.9</v>
      </c>
      <c r="AI24" s="251" t="s">
        <v>22</v>
      </c>
      <c r="AJ24" s="252">
        <v>62.2</v>
      </c>
      <c r="AK24" s="252">
        <v>63.1</v>
      </c>
      <c r="AL24" s="252">
        <v>63.8</v>
      </c>
      <c r="AM24" s="252">
        <v>63.9</v>
      </c>
      <c r="AN24" s="252">
        <v>63.6</v>
      </c>
      <c r="AO24" s="252">
        <v>64.7</v>
      </c>
      <c r="AP24" s="252">
        <v>65.400000000000006</v>
      </c>
      <c r="AQ24" s="252">
        <v>65.599999999999994</v>
      </c>
      <c r="AR24" s="252">
        <v>65.400000000000006</v>
      </c>
      <c r="AS24" s="252">
        <v>65.7</v>
      </c>
      <c r="AT24" s="251" t="s">
        <v>22</v>
      </c>
      <c r="AU24" s="260">
        <v>21</v>
      </c>
      <c r="AV24" s="260">
        <v>35</v>
      </c>
      <c r="AW24" s="260">
        <v>26</v>
      </c>
      <c r="AX24" s="260">
        <v>32</v>
      </c>
      <c r="AY24" s="260">
        <v>23</v>
      </c>
      <c r="AZ24" s="260">
        <v>27</v>
      </c>
      <c r="BA24" s="260">
        <v>30</v>
      </c>
      <c r="BB24" s="260">
        <v>29</v>
      </c>
      <c r="BC24" s="260">
        <v>17</v>
      </c>
      <c r="BD24" s="260">
        <v>21</v>
      </c>
      <c r="BE24" s="249"/>
    </row>
    <row r="25" spans="1:57">
      <c r="A25" s="249">
        <v>16</v>
      </c>
      <c r="B25" s="257" t="s">
        <v>27</v>
      </c>
      <c r="C25" s="258">
        <v>21680.5</v>
      </c>
      <c r="D25" s="258">
        <v>21985.200000000001</v>
      </c>
      <c r="E25" s="258">
        <v>22146.799999999999</v>
      </c>
      <c r="F25" s="258">
        <v>22078</v>
      </c>
      <c r="G25" s="258">
        <v>21908.400000000001</v>
      </c>
      <c r="H25" s="258">
        <v>22428.9</v>
      </c>
      <c r="I25" s="258">
        <v>22364.5</v>
      </c>
      <c r="J25" s="258">
        <v>22262.799999999999</v>
      </c>
      <c r="K25" s="258">
        <v>22181.5</v>
      </c>
      <c r="L25" s="258">
        <v>22512.799999999999</v>
      </c>
      <c r="M25" s="257" t="s">
        <v>27</v>
      </c>
      <c r="N25" s="258">
        <v>18.2</v>
      </c>
      <c r="O25" s="258">
        <v>18.2</v>
      </c>
      <c r="P25" s="258">
        <v>18.3</v>
      </c>
      <c r="Q25" s="258">
        <v>18.5</v>
      </c>
      <c r="R25" s="258">
        <v>18.7</v>
      </c>
      <c r="S25" s="258">
        <v>18.399999999999999</v>
      </c>
      <c r="T25" s="258">
        <v>18.3</v>
      </c>
      <c r="U25" s="258">
        <v>18.8</v>
      </c>
      <c r="V25" s="258">
        <v>18.8</v>
      </c>
      <c r="W25" s="258">
        <v>18.600000000000001</v>
      </c>
      <c r="X25" s="257" t="s">
        <v>27</v>
      </c>
      <c r="Y25" s="258">
        <v>10.5</v>
      </c>
      <c r="Z25" s="258">
        <v>10.7</v>
      </c>
      <c r="AA25" s="258">
        <v>11.1</v>
      </c>
      <c r="AB25" s="258">
        <v>10.8</v>
      </c>
      <c r="AC25" s="258">
        <v>10.4</v>
      </c>
      <c r="AD25" s="258">
        <v>10.8</v>
      </c>
      <c r="AE25" s="258">
        <v>11</v>
      </c>
      <c r="AF25" s="258">
        <v>11.1</v>
      </c>
      <c r="AG25" s="258">
        <v>11.4</v>
      </c>
      <c r="AH25" s="258">
        <v>11.9</v>
      </c>
      <c r="AI25" s="251" t="s">
        <v>27</v>
      </c>
      <c r="AJ25" s="252">
        <v>55.5</v>
      </c>
      <c r="AK25" s="252">
        <v>56.3</v>
      </c>
      <c r="AL25" s="252">
        <v>56.7</v>
      </c>
      <c r="AM25" s="252">
        <v>56.6</v>
      </c>
      <c r="AN25" s="252">
        <v>56.3</v>
      </c>
      <c r="AO25" s="252">
        <v>57.7</v>
      </c>
      <c r="AP25" s="252">
        <v>57.6</v>
      </c>
      <c r="AQ25" s="252">
        <v>57.4</v>
      </c>
      <c r="AR25" s="252">
        <v>57.2</v>
      </c>
      <c r="AS25" s="252">
        <v>58.1</v>
      </c>
      <c r="AT25" s="251" t="s">
        <v>27</v>
      </c>
      <c r="AU25" s="260">
        <v>376</v>
      </c>
      <c r="AV25" s="260">
        <v>530</v>
      </c>
      <c r="AW25" s="260">
        <v>443</v>
      </c>
      <c r="AX25" s="260">
        <v>366</v>
      </c>
      <c r="AY25" s="260">
        <v>392</v>
      </c>
      <c r="AZ25" s="260">
        <v>536</v>
      </c>
      <c r="BA25" s="260">
        <v>391</v>
      </c>
      <c r="BB25" s="260">
        <v>383</v>
      </c>
      <c r="BC25" s="260">
        <v>425</v>
      </c>
      <c r="BD25" s="260">
        <v>499</v>
      </c>
      <c r="BE25" s="249"/>
    </row>
    <row r="26" spans="1:57">
      <c r="A26" s="249">
        <v>17</v>
      </c>
      <c r="B26" s="257" t="s">
        <v>29</v>
      </c>
      <c r="C26" s="258">
        <v>857.3</v>
      </c>
      <c r="D26" s="258">
        <v>870.8</v>
      </c>
      <c r="E26" s="258">
        <v>872.6</v>
      </c>
      <c r="F26" s="258">
        <v>871.1</v>
      </c>
      <c r="G26" s="258">
        <v>860.3</v>
      </c>
      <c r="H26" s="258">
        <v>867.4</v>
      </c>
      <c r="I26" s="258">
        <v>863</v>
      </c>
      <c r="J26" s="258">
        <v>858.7</v>
      </c>
      <c r="K26" s="258">
        <v>850.2</v>
      </c>
      <c r="L26" s="258">
        <v>860.2</v>
      </c>
      <c r="M26" s="257" t="s">
        <v>29</v>
      </c>
      <c r="N26" s="258">
        <v>6.1</v>
      </c>
      <c r="O26" s="258">
        <v>6.5</v>
      </c>
      <c r="P26" s="258">
        <v>7.6</v>
      </c>
      <c r="Q26" s="258">
        <v>8.8000000000000007</v>
      </c>
      <c r="R26" s="258">
        <v>8.1999999999999993</v>
      </c>
      <c r="S26" s="258">
        <v>7.8</v>
      </c>
      <c r="T26" s="258">
        <v>8.5</v>
      </c>
      <c r="U26" s="258">
        <v>9.6</v>
      </c>
      <c r="V26" s="258">
        <v>7.8</v>
      </c>
      <c r="W26" s="258">
        <v>7.5</v>
      </c>
      <c r="X26" s="257" t="s">
        <v>29</v>
      </c>
      <c r="Y26" s="258">
        <v>2.7</v>
      </c>
      <c r="Z26" s="258">
        <v>3.2</v>
      </c>
      <c r="AA26" s="258">
        <v>3.3</v>
      </c>
      <c r="AB26" s="258">
        <v>3.9</v>
      </c>
      <c r="AC26" s="258">
        <v>3.7</v>
      </c>
      <c r="AD26" s="258">
        <v>3.3</v>
      </c>
      <c r="AE26" s="258">
        <v>3.1</v>
      </c>
      <c r="AF26" s="258">
        <v>2.8</v>
      </c>
      <c r="AG26" s="258">
        <v>2.6</v>
      </c>
      <c r="AH26" s="258">
        <v>2.6</v>
      </c>
      <c r="AI26" s="251" t="s">
        <v>29</v>
      </c>
      <c r="AJ26" s="252">
        <v>66.900000000000006</v>
      </c>
      <c r="AK26" s="252">
        <v>68.2</v>
      </c>
      <c r="AL26" s="252">
        <v>68.599999999999994</v>
      </c>
      <c r="AM26" s="252">
        <v>68.7</v>
      </c>
      <c r="AN26" s="252">
        <v>68.2</v>
      </c>
      <c r="AO26" s="252">
        <v>69</v>
      </c>
      <c r="AP26" s="252">
        <v>68.900000000000006</v>
      </c>
      <c r="AQ26" s="252">
        <v>68.8</v>
      </c>
      <c r="AR26" s="252">
        <v>68.7</v>
      </c>
      <c r="AS26" s="252">
        <v>69.8</v>
      </c>
      <c r="AT26" s="251" t="s">
        <v>29</v>
      </c>
      <c r="AU26" s="260">
        <v>23</v>
      </c>
      <c r="AV26" s="260">
        <v>24</v>
      </c>
      <c r="AW26" s="260">
        <v>12</v>
      </c>
      <c r="AX26" s="260">
        <v>15</v>
      </c>
      <c r="AY26" s="260">
        <v>15</v>
      </c>
      <c r="AZ26" s="260">
        <v>21</v>
      </c>
      <c r="BA26" s="260">
        <v>14</v>
      </c>
      <c r="BB26" s="260">
        <v>14</v>
      </c>
      <c r="BC26" s="260">
        <v>16</v>
      </c>
      <c r="BD26" s="260">
        <v>21</v>
      </c>
      <c r="BE26" s="249"/>
    </row>
    <row r="27" spans="1:57">
      <c r="A27" s="249">
        <v>18</v>
      </c>
      <c r="B27" s="257" t="s">
        <v>30</v>
      </c>
      <c r="C27" s="258">
        <v>1285.9000000000001</v>
      </c>
      <c r="D27" s="258">
        <v>1298.8</v>
      </c>
      <c r="E27" s="258">
        <v>1312.7</v>
      </c>
      <c r="F27" s="258">
        <v>1304.8</v>
      </c>
      <c r="G27" s="258">
        <v>1307.7</v>
      </c>
      <c r="H27" s="258">
        <v>1322.5</v>
      </c>
      <c r="I27" s="258">
        <v>1326.8</v>
      </c>
      <c r="J27" s="258">
        <v>1313.7</v>
      </c>
      <c r="K27" s="258">
        <v>1294.5</v>
      </c>
      <c r="L27" s="258">
        <v>1311.6</v>
      </c>
      <c r="M27" s="257" t="s">
        <v>30</v>
      </c>
      <c r="N27" s="258">
        <v>8</v>
      </c>
      <c r="O27" s="258">
        <v>7.4</v>
      </c>
      <c r="P27" s="258">
        <v>7.7</v>
      </c>
      <c r="Q27" s="258">
        <v>7.4</v>
      </c>
      <c r="R27" s="258">
        <v>7.7</v>
      </c>
      <c r="S27" s="258">
        <v>7.5</v>
      </c>
      <c r="T27" s="258">
        <v>6.4</v>
      </c>
      <c r="U27" s="258">
        <v>7</v>
      </c>
      <c r="V27" s="258">
        <v>8.5</v>
      </c>
      <c r="W27" s="258">
        <v>8.1</v>
      </c>
      <c r="X27" s="257" t="s">
        <v>30</v>
      </c>
      <c r="Y27" s="258">
        <v>1.9</v>
      </c>
      <c r="Z27" s="258">
        <v>1.7</v>
      </c>
      <c r="AA27" s="258">
        <v>1.7</v>
      </c>
      <c r="AB27" s="258">
        <v>2.1</v>
      </c>
      <c r="AC27" s="258">
        <v>1.8</v>
      </c>
      <c r="AD27" s="258">
        <v>2</v>
      </c>
      <c r="AE27" s="258">
        <v>1.6</v>
      </c>
      <c r="AF27" s="258">
        <v>1.4</v>
      </c>
      <c r="AG27" s="258">
        <v>1.7</v>
      </c>
      <c r="AH27" s="258">
        <v>1.5</v>
      </c>
      <c r="AI27" s="251" t="s">
        <v>30</v>
      </c>
      <c r="AJ27" s="252">
        <v>66</v>
      </c>
      <c r="AK27" s="252">
        <v>67</v>
      </c>
      <c r="AL27" s="252">
        <v>68</v>
      </c>
      <c r="AM27" s="252">
        <v>68</v>
      </c>
      <c r="AN27" s="252">
        <v>68.3</v>
      </c>
      <c r="AO27" s="252">
        <v>69.5</v>
      </c>
      <c r="AP27" s="252">
        <v>70</v>
      </c>
      <c r="AQ27" s="252">
        <v>69.7</v>
      </c>
      <c r="AR27" s="252">
        <v>69</v>
      </c>
      <c r="AS27" s="252">
        <v>70.599999999999994</v>
      </c>
      <c r="AT27" s="251" t="s">
        <v>30</v>
      </c>
      <c r="AU27" s="260">
        <v>15</v>
      </c>
      <c r="AV27" s="260">
        <v>27</v>
      </c>
      <c r="AW27" s="260">
        <v>31</v>
      </c>
      <c r="AX27" s="260">
        <v>20</v>
      </c>
      <c r="AY27" s="260">
        <v>23</v>
      </c>
      <c r="AZ27" s="260">
        <v>21</v>
      </c>
      <c r="BA27" s="260">
        <v>20</v>
      </c>
      <c r="BB27" s="260">
        <v>22</v>
      </c>
      <c r="BC27" s="260">
        <v>19</v>
      </c>
      <c r="BD27" s="260">
        <v>30</v>
      </c>
      <c r="BE27" s="249"/>
    </row>
    <row r="28" spans="1:57">
      <c r="A28" s="249">
        <v>19</v>
      </c>
      <c r="B28" s="257" t="s">
        <v>31</v>
      </c>
      <c r="C28" s="258">
        <v>255.3</v>
      </c>
      <c r="D28" s="258">
        <v>258.89999999999998</v>
      </c>
      <c r="E28" s="258">
        <v>252.6</v>
      </c>
      <c r="F28" s="258">
        <v>253.8</v>
      </c>
      <c r="G28" s="258">
        <v>258.8</v>
      </c>
      <c r="H28" s="258">
        <v>258</v>
      </c>
      <c r="I28" s="258">
        <v>258</v>
      </c>
      <c r="J28" s="258">
        <v>262.89999999999998</v>
      </c>
      <c r="K28" s="258">
        <v>268.89999999999998</v>
      </c>
      <c r="L28" s="258">
        <v>268.2</v>
      </c>
      <c r="M28" s="257" t="s">
        <v>31</v>
      </c>
      <c r="N28" s="258">
        <v>18.399999999999999</v>
      </c>
      <c r="O28" s="258">
        <v>19.5</v>
      </c>
      <c r="P28" s="258">
        <v>18.3</v>
      </c>
      <c r="Q28" s="258">
        <v>17.8</v>
      </c>
      <c r="R28" s="258">
        <v>17.600000000000001</v>
      </c>
      <c r="S28" s="258">
        <v>19.5</v>
      </c>
      <c r="T28" s="258">
        <v>20.399999999999999</v>
      </c>
      <c r="U28" s="258">
        <v>19.399999999999999</v>
      </c>
      <c r="V28" s="258">
        <v>20.399999999999999</v>
      </c>
      <c r="W28" s="258">
        <v>19.600000000000001</v>
      </c>
      <c r="X28" s="257" t="s">
        <v>31</v>
      </c>
      <c r="Y28" s="258">
        <v>7.9</v>
      </c>
      <c r="Z28" s="258">
        <v>9</v>
      </c>
      <c r="AA28" s="258">
        <v>10.3</v>
      </c>
      <c r="AB28" s="258">
        <v>9.3000000000000007</v>
      </c>
      <c r="AC28" s="258">
        <v>7.7</v>
      </c>
      <c r="AD28" s="258">
        <v>7.2</v>
      </c>
      <c r="AE28" s="258">
        <v>8.6</v>
      </c>
      <c r="AF28" s="258">
        <v>8.3000000000000007</v>
      </c>
      <c r="AG28" s="258">
        <v>7.9</v>
      </c>
      <c r="AH28" s="258">
        <v>8.6</v>
      </c>
      <c r="AI28" s="251" t="s">
        <v>31</v>
      </c>
      <c r="AJ28" s="252">
        <v>66.2</v>
      </c>
      <c r="AK28" s="252">
        <v>67.099999999999994</v>
      </c>
      <c r="AL28" s="252">
        <v>65.5</v>
      </c>
      <c r="AM28" s="252">
        <v>65.8</v>
      </c>
      <c r="AN28" s="252">
        <v>65.400000000000006</v>
      </c>
      <c r="AO28" s="252">
        <v>65.2</v>
      </c>
      <c r="AP28" s="252">
        <v>65.2</v>
      </c>
      <c r="AQ28" s="252">
        <v>66.5</v>
      </c>
      <c r="AR28" s="252">
        <v>65.900000000000006</v>
      </c>
      <c r="AS28" s="252">
        <v>65.900000000000006</v>
      </c>
      <c r="AT28" s="251" t="s">
        <v>31</v>
      </c>
      <c r="AU28" s="253"/>
      <c r="AV28" s="253">
        <v>3</v>
      </c>
      <c r="AW28" s="253">
        <v>3</v>
      </c>
      <c r="AX28" s="253">
        <v>4</v>
      </c>
      <c r="AY28" s="260">
        <v>3</v>
      </c>
      <c r="AZ28" s="260">
        <v>3</v>
      </c>
      <c r="BA28" s="260"/>
      <c r="BB28" s="260">
        <v>6</v>
      </c>
      <c r="BC28" s="260">
        <v>4</v>
      </c>
      <c r="BD28" s="253">
        <v>6</v>
      </c>
      <c r="BE28" s="249"/>
    </row>
    <row r="29" spans="1:57">
      <c r="A29" s="249">
        <v>20</v>
      </c>
      <c r="B29" s="257" t="s">
        <v>56</v>
      </c>
      <c r="C29" s="258">
        <v>688.4</v>
      </c>
      <c r="D29" s="258">
        <v>694.9</v>
      </c>
      <c r="E29" s="258">
        <v>701.4</v>
      </c>
      <c r="F29" s="258">
        <v>704</v>
      </c>
      <c r="G29" s="258">
        <v>705</v>
      </c>
      <c r="H29" s="258">
        <v>709.5</v>
      </c>
      <c r="I29" s="258">
        <v>718.2</v>
      </c>
      <c r="J29" s="258">
        <v>723.2</v>
      </c>
      <c r="K29" s="258">
        <v>728.6</v>
      </c>
      <c r="L29" s="258">
        <v>733.1</v>
      </c>
      <c r="M29" s="257" t="s">
        <v>56</v>
      </c>
      <c r="N29" s="258">
        <v>4.7</v>
      </c>
      <c r="O29" s="258">
        <v>4.5</v>
      </c>
      <c r="P29" s="258">
        <v>4</v>
      </c>
      <c r="Q29" s="258">
        <v>3.7</v>
      </c>
      <c r="R29" s="258">
        <v>3.1</v>
      </c>
      <c r="S29" s="258">
        <v>4.3</v>
      </c>
      <c r="T29" s="258">
        <v>5.6</v>
      </c>
      <c r="U29" s="258">
        <v>5.7</v>
      </c>
      <c r="V29" s="258">
        <v>5.0999999999999996</v>
      </c>
      <c r="W29" s="258">
        <v>4</v>
      </c>
      <c r="X29" s="257" t="s">
        <v>56</v>
      </c>
      <c r="Y29" s="258">
        <v>9.9</v>
      </c>
      <c r="Z29" s="258">
        <v>10.4</v>
      </c>
      <c r="AA29" s="258">
        <v>8.4</v>
      </c>
      <c r="AB29" s="258">
        <v>9.1999999999999993</v>
      </c>
      <c r="AC29" s="258">
        <v>8.8000000000000007</v>
      </c>
      <c r="AD29" s="258">
        <v>10.7</v>
      </c>
      <c r="AE29" s="258">
        <v>10.5</v>
      </c>
      <c r="AF29" s="258">
        <v>11.4</v>
      </c>
      <c r="AG29" s="258">
        <v>10.7</v>
      </c>
      <c r="AH29" s="258">
        <v>10.7</v>
      </c>
      <c r="AI29" s="251" t="s">
        <v>56</v>
      </c>
      <c r="AJ29" s="252">
        <v>47.2</v>
      </c>
      <c r="AK29" s="252">
        <v>47.7</v>
      </c>
      <c r="AL29" s="252">
        <v>48.1</v>
      </c>
      <c r="AM29" s="252">
        <v>48.3</v>
      </c>
      <c r="AN29" s="252">
        <v>48.4</v>
      </c>
      <c r="AO29" s="252">
        <v>48.7</v>
      </c>
      <c r="AP29" s="252">
        <v>49.4</v>
      </c>
      <c r="AQ29" s="252">
        <v>49.7</v>
      </c>
      <c r="AR29" s="252">
        <v>50.1</v>
      </c>
      <c r="AS29" s="252">
        <v>50.5</v>
      </c>
      <c r="AT29" s="251" t="s">
        <v>56</v>
      </c>
      <c r="AU29" s="260">
        <v>25</v>
      </c>
      <c r="AV29" s="260">
        <v>41</v>
      </c>
      <c r="AW29" s="260">
        <v>68</v>
      </c>
      <c r="AX29" s="260">
        <v>45</v>
      </c>
      <c r="AY29" s="260">
        <v>30</v>
      </c>
      <c r="AZ29" s="260">
        <v>39</v>
      </c>
      <c r="BA29" s="260">
        <v>21</v>
      </c>
      <c r="BB29" s="253">
        <v>45</v>
      </c>
      <c r="BC29" s="260">
        <v>15</v>
      </c>
      <c r="BD29" s="260">
        <v>22</v>
      </c>
      <c r="BE29" s="249"/>
    </row>
    <row r="30" spans="1:57">
      <c r="A30" s="249">
        <v>21</v>
      </c>
      <c r="B30" s="257" t="s">
        <v>33</v>
      </c>
      <c r="C30" s="258">
        <v>178.3</v>
      </c>
      <c r="D30" s="258">
        <v>182.2</v>
      </c>
      <c r="E30" s="258">
        <v>186</v>
      </c>
      <c r="F30" s="258">
        <v>182.3</v>
      </c>
      <c r="G30" s="258">
        <v>183.5</v>
      </c>
      <c r="H30" s="258">
        <v>189.3</v>
      </c>
      <c r="I30" s="258">
        <v>191.5</v>
      </c>
      <c r="J30" s="258">
        <v>190.6</v>
      </c>
      <c r="K30" s="258">
        <v>190</v>
      </c>
      <c r="L30" s="258">
        <v>193.4</v>
      </c>
      <c r="M30" s="257" t="s">
        <v>33</v>
      </c>
      <c r="N30" s="258">
        <v>14.4</v>
      </c>
      <c r="O30" s="258">
        <v>14.4</v>
      </c>
      <c r="P30" s="258">
        <v>15.2</v>
      </c>
      <c r="Q30" s="258">
        <v>14</v>
      </c>
      <c r="R30" s="258">
        <v>13.5</v>
      </c>
      <c r="S30" s="258">
        <v>14.4</v>
      </c>
      <c r="T30" s="258">
        <v>14.2</v>
      </c>
      <c r="U30" s="258">
        <v>13.8</v>
      </c>
      <c r="V30" s="258">
        <v>13.3</v>
      </c>
      <c r="W30" s="258">
        <v>13.7</v>
      </c>
      <c r="X30" s="257" t="s">
        <v>33</v>
      </c>
      <c r="Y30" s="258">
        <v>6.1</v>
      </c>
      <c r="Z30" s="258">
        <v>6.3</v>
      </c>
      <c r="AA30" s="258">
        <v>6.8</v>
      </c>
      <c r="AB30" s="258">
        <v>6.5</v>
      </c>
      <c r="AC30" s="258">
        <v>6.5</v>
      </c>
      <c r="AD30" s="258">
        <v>6.5</v>
      </c>
      <c r="AE30" s="258">
        <v>6.5</v>
      </c>
      <c r="AF30" s="258">
        <v>6.6</v>
      </c>
      <c r="AG30" s="258">
        <v>5.5</v>
      </c>
      <c r="AH30" s="258">
        <v>4.9000000000000004</v>
      </c>
      <c r="AI30" s="251" t="s">
        <v>33</v>
      </c>
      <c r="AJ30" s="252">
        <v>62.5</v>
      </c>
      <c r="AK30" s="252">
        <v>63.9</v>
      </c>
      <c r="AL30" s="252">
        <v>65.2</v>
      </c>
      <c r="AM30" s="252">
        <v>63.9</v>
      </c>
      <c r="AN30" s="252">
        <v>64.3</v>
      </c>
      <c r="AO30" s="252">
        <v>66</v>
      </c>
      <c r="AP30" s="252">
        <v>66.599999999999994</v>
      </c>
      <c r="AQ30" s="252">
        <v>66.2</v>
      </c>
      <c r="AR30" s="252">
        <v>65.900000000000006</v>
      </c>
      <c r="AS30" s="252">
        <v>67</v>
      </c>
      <c r="AT30" s="251" t="s">
        <v>33</v>
      </c>
      <c r="AU30" s="253"/>
      <c r="AV30" s="253"/>
      <c r="AW30" s="260"/>
      <c r="AX30" s="253"/>
      <c r="AY30" s="253"/>
      <c r="AZ30" s="253"/>
      <c r="BA30" s="253"/>
      <c r="BB30" s="260"/>
      <c r="BC30" s="260"/>
      <c r="BD30" s="253"/>
      <c r="BE30" s="249"/>
    </row>
    <row r="31" spans="1:57">
      <c r="A31" s="249">
        <v>22</v>
      </c>
      <c r="B31" s="257" t="s">
        <v>34</v>
      </c>
      <c r="C31" s="258">
        <v>8054.7</v>
      </c>
      <c r="D31" s="258">
        <v>8120.4</v>
      </c>
      <c r="E31" s="258">
        <v>8153.1</v>
      </c>
      <c r="F31" s="258">
        <v>8133.6</v>
      </c>
      <c r="G31" s="258">
        <v>8113.1</v>
      </c>
      <c r="H31" s="258">
        <v>8212.7000000000007</v>
      </c>
      <c r="I31" s="258">
        <v>8278.9</v>
      </c>
      <c r="J31" s="258">
        <v>8288.9</v>
      </c>
      <c r="K31" s="258">
        <v>8282.6</v>
      </c>
      <c r="L31" s="258">
        <v>8360</v>
      </c>
      <c r="M31" s="257" t="s">
        <v>34</v>
      </c>
      <c r="N31" s="258">
        <v>50.1</v>
      </c>
      <c r="O31" s="258">
        <v>50.2</v>
      </c>
      <c r="P31" s="258">
        <v>49.8</v>
      </c>
      <c r="Q31" s="258">
        <v>49.8</v>
      </c>
      <c r="R31" s="258">
        <v>50</v>
      </c>
      <c r="S31" s="258">
        <v>49.8</v>
      </c>
      <c r="T31" s="258">
        <v>49.5</v>
      </c>
      <c r="U31" s="258">
        <v>49.4</v>
      </c>
      <c r="V31" s="258">
        <v>49.8</v>
      </c>
      <c r="W31" s="258">
        <v>49.9</v>
      </c>
      <c r="X31" s="257" t="s">
        <v>34</v>
      </c>
      <c r="Y31" s="258">
        <v>16.3</v>
      </c>
      <c r="Z31" s="258">
        <v>16.7</v>
      </c>
      <c r="AA31" s="258">
        <v>16.899999999999999</v>
      </c>
      <c r="AB31" s="258">
        <v>16.8</v>
      </c>
      <c r="AC31" s="258">
        <v>16.8</v>
      </c>
      <c r="AD31" s="258">
        <v>17.100000000000001</v>
      </c>
      <c r="AE31" s="258">
        <v>17.2</v>
      </c>
      <c r="AF31" s="258">
        <v>17.600000000000001</v>
      </c>
      <c r="AG31" s="258">
        <v>18</v>
      </c>
      <c r="AH31" s="258">
        <v>18.100000000000001</v>
      </c>
      <c r="AI31" s="251" t="s">
        <v>34</v>
      </c>
      <c r="AJ31" s="252">
        <v>73.599999999999994</v>
      </c>
      <c r="AK31" s="252">
        <v>74.2</v>
      </c>
      <c r="AL31" s="252">
        <v>74.5</v>
      </c>
      <c r="AM31" s="252">
        <v>74.3</v>
      </c>
      <c r="AN31" s="252">
        <v>74</v>
      </c>
      <c r="AO31" s="252">
        <v>74.8</v>
      </c>
      <c r="AP31" s="252">
        <v>75.3</v>
      </c>
      <c r="AQ31" s="252">
        <v>75.2</v>
      </c>
      <c r="AR31" s="252">
        <v>75.099999999999994</v>
      </c>
      <c r="AS31" s="252">
        <v>75.7</v>
      </c>
      <c r="AT31" s="251" t="s">
        <v>34</v>
      </c>
      <c r="AU31" s="260">
        <v>118</v>
      </c>
      <c r="AV31" s="260">
        <v>145</v>
      </c>
      <c r="AW31" s="260">
        <v>138</v>
      </c>
      <c r="AX31" s="260">
        <v>115</v>
      </c>
      <c r="AY31" s="260">
        <v>105</v>
      </c>
      <c r="AZ31" s="260">
        <v>153</v>
      </c>
      <c r="BA31" s="260">
        <v>134</v>
      </c>
      <c r="BB31" s="260">
        <v>126</v>
      </c>
      <c r="BC31" s="260">
        <v>102</v>
      </c>
      <c r="BD31" s="260">
        <v>133</v>
      </c>
      <c r="BE31" s="249"/>
    </row>
    <row r="32" spans="1:57">
      <c r="A32" s="249">
        <v>23</v>
      </c>
      <c r="B32" s="257" t="s">
        <v>45</v>
      </c>
      <c r="C32" s="258">
        <v>2523.3000000000002</v>
      </c>
      <c r="D32" s="258">
        <v>2554.4</v>
      </c>
      <c r="E32" s="258">
        <v>2560.3000000000002</v>
      </c>
      <c r="F32" s="258">
        <v>2540</v>
      </c>
      <c r="G32" s="258">
        <v>2538</v>
      </c>
      <c r="H32" s="258">
        <v>2542.4</v>
      </c>
      <c r="I32" s="258">
        <v>2561.3000000000002</v>
      </c>
      <c r="J32" s="258">
        <v>2536.8000000000002</v>
      </c>
      <c r="K32" s="258">
        <v>2528.6</v>
      </c>
      <c r="L32" s="258">
        <v>2554.6</v>
      </c>
      <c r="M32" s="257" t="s">
        <v>45</v>
      </c>
      <c r="N32" s="258">
        <v>26.1</v>
      </c>
      <c r="O32" s="258">
        <v>26.2</v>
      </c>
      <c r="P32" s="258">
        <v>25.4</v>
      </c>
      <c r="Q32" s="258">
        <v>26.5</v>
      </c>
      <c r="R32" s="258">
        <v>26.6</v>
      </c>
      <c r="S32" s="258">
        <v>26.6</v>
      </c>
      <c r="T32" s="258">
        <v>25.2</v>
      </c>
      <c r="U32" s="258">
        <v>25.7</v>
      </c>
      <c r="V32" s="258">
        <v>26</v>
      </c>
      <c r="W32" s="258">
        <v>25.4</v>
      </c>
      <c r="X32" s="257" t="s">
        <v>45</v>
      </c>
      <c r="Y32" s="258">
        <v>6.8</v>
      </c>
      <c r="Z32" s="258">
        <v>7.6</v>
      </c>
      <c r="AA32" s="258">
        <v>7.9</v>
      </c>
      <c r="AB32" s="258">
        <v>7.6</v>
      </c>
      <c r="AC32" s="258">
        <v>7.8</v>
      </c>
      <c r="AD32" s="258">
        <v>8.4</v>
      </c>
      <c r="AE32" s="258">
        <v>8.9</v>
      </c>
      <c r="AF32" s="258">
        <v>7.7</v>
      </c>
      <c r="AG32" s="258">
        <v>7.3</v>
      </c>
      <c r="AH32" s="258">
        <v>8.1999999999999993</v>
      </c>
      <c r="AI32" s="251" t="s">
        <v>45</v>
      </c>
      <c r="AJ32" s="252">
        <v>74.400000000000006</v>
      </c>
      <c r="AK32" s="252">
        <v>75.2</v>
      </c>
      <c r="AL32" s="252">
        <v>75.2</v>
      </c>
      <c r="AM32" s="252">
        <v>74.400000000000006</v>
      </c>
      <c r="AN32" s="252">
        <v>74.2</v>
      </c>
      <c r="AO32" s="252">
        <v>74.400000000000006</v>
      </c>
      <c r="AP32" s="252">
        <v>74.7</v>
      </c>
      <c r="AQ32" s="252">
        <v>73.900000000000006</v>
      </c>
      <c r="AR32" s="252">
        <v>73.5</v>
      </c>
      <c r="AS32" s="252">
        <v>74.2</v>
      </c>
      <c r="AT32" s="251" t="s">
        <v>45</v>
      </c>
      <c r="AU32" s="260">
        <v>20</v>
      </c>
      <c r="AV32" s="260">
        <v>31</v>
      </c>
      <c r="AW32" s="260">
        <v>29</v>
      </c>
      <c r="AX32" s="260">
        <v>38</v>
      </c>
      <c r="AY32" s="260">
        <v>27</v>
      </c>
      <c r="AZ32" s="260">
        <v>32</v>
      </c>
      <c r="BA32" s="260">
        <v>36</v>
      </c>
      <c r="BB32" s="260">
        <v>37</v>
      </c>
      <c r="BC32" s="260">
        <v>25</v>
      </c>
      <c r="BD32" s="260">
        <v>33</v>
      </c>
      <c r="BE32" s="249"/>
    </row>
    <row r="33" spans="1:57">
      <c r="A33" s="249">
        <v>24</v>
      </c>
      <c r="B33" s="257" t="s">
        <v>36</v>
      </c>
      <c r="C33" s="258">
        <v>15563.8</v>
      </c>
      <c r="D33" s="258">
        <v>15719.3</v>
      </c>
      <c r="E33" s="258">
        <v>15962.4</v>
      </c>
      <c r="F33" s="258">
        <v>16000.7</v>
      </c>
      <c r="G33" s="258">
        <v>15731.1</v>
      </c>
      <c r="H33" s="258">
        <v>15901.7</v>
      </c>
      <c r="I33" s="258">
        <v>15960.6</v>
      </c>
      <c r="J33" s="258">
        <v>16014</v>
      </c>
      <c r="K33" s="258">
        <v>15950</v>
      </c>
      <c r="L33" s="258">
        <v>16158.3</v>
      </c>
      <c r="M33" s="257" t="s">
        <v>36</v>
      </c>
      <c r="N33" s="258">
        <v>7.1</v>
      </c>
      <c r="O33" s="258">
        <v>6.7</v>
      </c>
      <c r="P33" s="258">
        <v>6.5</v>
      </c>
      <c r="Q33" s="258">
        <v>6.7</v>
      </c>
      <c r="R33" s="258">
        <v>6.6</v>
      </c>
      <c r="S33" s="258">
        <v>6.3</v>
      </c>
      <c r="T33" s="258">
        <v>6.2</v>
      </c>
      <c r="U33" s="258">
        <v>6.6</v>
      </c>
      <c r="V33" s="258">
        <v>6.7</v>
      </c>
      <c r="W33" s="258">
        <v>6.7</v>
      </c>
      <c r="X33" s="257" t="s">
        <v>36</v>
      </c>
      <c r="Y33" s="258">
        <v>22.5</v>
      </c>
      <c r="Z33" s="258">
        <v>22.1</v>
      </c>
      <c r="AA33" s="258">
        <v>22</v>
      </c>
      <c r="AB33" s="258">
        <v>22.1</v>
      </c>
      <c r="AC33" s="258">
        <v>22.3</v>
      </c>
      <c r="AD33" s="258">
        <v>22.2</v>
      </c>
      <c r="AE33" s="258">
        <v>21.8</v>
      </c>
      <c r="AF33" s="258">
        <v>21.4</v>
      </c>
      <c r="AG33" s="258">
        <v>21.2</v>
      </c>
      <c r="AH33" s="258">
        <v>21.2</v>
      </c>
      <c r="AI33" s="251" t="s">
        <v>36</v>
      </c>
      <c r="AJ33" s="252">
        <v>61.9</v>
      </c>
      <c r="AK33" s="252">
        <v>62.6</v>
      </c>
      <c r="AL33" s="252">
        <v>63.5</v>
      </c>
      <c r="AM33" s="252">
        <v>63.7</v>
      </c>
      <c r="AN33" s="252">
        <v>63.7</v>
      </c>
      <c r="AO33" s="252">
        <v>64.3</v>
      </c>
      <c r="AP33" s="252">
        <v>64.900000000000006</v>
      </c>
      <c r="AQ33" s="252">
        <v>65.099999999999994</v>
      </c>
      <c r="AR33" s="252">
        <v>65.400000000000006</v>
      </c>
      <c r="AS33" s="252">
        <v>66.2</v>
      </c>
      <c r="AT33" s="251" t="s">
        <v>36</v>
      </c>
      <c r="AU33" s="260">
        <v>121</v>
      </c>
      <c r="AV33" s="260">
        <v>236</v>
      </c>
      <c r="AW33" s="260">
        <v>206</v>
      </c>
      <c r="AX33" s="260">
        <v>173</v>
      </c>
      <c r="AY33" s="260">
        <v>124</v>
      </c>
      <c r="AZ33" s="260">
        <v>247</v>
      </c>
      <c r="BA33" s="260">
        <v>166</v>
      </c>
      <c r="BB33" s="260">
        <v>185</v>
      </c>
      <c r="BC33" s="260">
        <v>107</v>
      </c>
      <c r="BD33" s="260">
        <v>189</v>
      </c>
      <c r="BE33" s="249"/>
    </row>
    <row r="34" spans="1:57">
      <c r="A34" s="249">
        <v>25</v>
      </c>
      <c r="B34" s="257" t="s">
        <v>37</v>
      </c>
      <c r="C34" s="258">
        <v>4246.2</v>
      </c>
      <c r="D34" s="258">
        <v>4335.5</v>
      </c>
      <c r="E34" s="258">
        <v>4335.8</v>
      </c>
      <c r="F34" s="258">
        <v>4318.7</v>
      </c>
      <c r="G34" s="258">
        <v>4298.3</v>
      </c>
      <c r="H34" s="258">
        <v>4369.3999999999996</v>
      </c>
      <c r="I34" s="258">
        <v>4416.7</v>
      </c>
      <c r="J34" s="258">
        <v>4400.5</v>
      </c>
      <c r="K34" s="258">
        <v>4426.8999999999996</v>
      </c>
      <c r="L34" s="258">
        <v>4502.8</v>
      </c>
      <c r="M34" s="257" t="s">
        <v>37</v>
      </c>
      <c r="N34" s="258">
        <v>10.3</v>
      </c>
      <c r="O34" s="258">
        <v>9.8000000000000007</v>
      </c>
      <c r="P34" s="258">
        <v>9.4</v>
      </c>
      <c r="Q34" s="258">
        <v>9.6999999999999993</v>
      </c>
      <c r="R34" s="258">
        <v>9.6999999999999993</v>
      </c>
      <c r="S34" s="258">
        <v>9.4</v>
      </c>
      <c r="T34" s="258">
        <v>9.1999999999999993</v>
      </c>
      <c r="U34" s="258">
        <v>9.5</v>
      </c>
      <c r="V34" s="258">
        <v>9.6</v>
      </c>
      <c r="W34" s="258">
        <v>9</v>
      </c>
      <c r="X34" s="257" t="s">
        <v>37</v>
      </c>
      <c r="Y34" s="258">
        <v>18.3</v>
      </c>
      <c r="Z34" s="258">
        <v>18.8</v>
      </c>
      <c r="AA34" s="258">
        <v>18.7</v>
      </c>
      <c r="AB34" s="258">
        <v>19.100000000000001</v>
      </c>
      <c r="AC34" s="258">
        <v>19</v>
      </c>
      <c r="AD34" s="258">
        <v>19.2</v>
      </c>
      <c r="AE34" s="258">
        <v>18.8</v>
      </c>
      <c r="AF34" s="258">
        <v>19.100000000000001</v>
      </c>
      <c r="AG34" s="258">
        <v>18.5</v>
      </c>
      <c r="AH34" s="258">
        <v>19</v>
      </c>
      <c r="AI34" s="251" t="s">
        <v>37</v>
      </c>
      <c r="AJ34" s="252">
        <v>62.8</v>
      </c>
      <c r="AK34" s="252">
        <v>64.2</v>
      </c>
      <c r="AL34" s="252">
        <v>64.400000000000006</v>
      </c>
      <c r="AM34" s="252">
        <v>64.3</v>
      </c>
      <c r="AN34" s="252">
        <v>64</v>
      </c>
      <c r="AO34" s="252">
        <v>65.099999999999994</v>
      </c>
      <c r="AP34" s="252">
        <v>66</v>
      </c>
      <c r="AQ34" s="252">
        <v>65.900000000000006</v>
      </c>
      <c r="AR34" s="252">
        <v>66.3</v>
      </c>
      <c r="AS34" s="252">
        <v>67.599999999999994</v>
      </c>
      <c r="AT34" s="251" t="s">
        <v>37</v>
      </c>
      <c r="AU34" s="260">
        <v>131</v>
      </c>
      <c r="AV34" s="260">
        <v>178</v>
      </c>
      <c r="AW34" s="260">
        <v>123</v>
      </c>
      <c r="AX34" s="260">
        <v>134</v>
      </c>
      <c r="AY34" s="260">
        <v>128</v>
      </c>
      <c r="AZ34" s="260">
        <v>144</v>
      </c>
      <c r="BA34" s="260">
        <v>129</v>
      </c>
      <c r="BB34" s="260">
        <v>118</v>
      </c>
      <c r="BC34" s="260">
        <v>120</v>
      </c>
      <c r="BD34" s="260">
        <v>134</v>
      </c>
      <c r="BE34" s="249"/>
    </row>
    <row r="35" spans="1:57">
      <c r="A35" s="249">
        <v>26</v>
      </c>
      <c r="B35" s="257" t="s">
        <v>38</v>
      </c>
      <c r="C35" s="258">
        <v>7952.1</v>
      </c>
      <c r="D35" s="258">
        <v>8336.4</v>
      </c>
      <c r="E35" s="258">
        <v>8442.7000000000007</v>
      </c>
      <c r="F35" s="258">
        <v>8208</v>
      </c>
      <c r="G35" s="258">
        <v>7960.4</v>
      </c>
      <c r="H35" s="258">
        <v>8225.4</v>
      </c>
      <c r="I35" s="258">
        <v>8334.5</v>
      </c>
      <c r="J35" s="258">
        <v>8144</v>
      </c>
      <c r="K35" s="258">
        <v>8055.8</v>
      </c>
      <c r="L35" s="258">
        <v>8615.5</v>
      </c>
      <c r="M35" s="257" t="s">
        <v>38</v>
      </c>
      <c r="N35" s="258">
        <v>9.1</v>
      </c>
      <c r="O35" s="258">
        <v>8.8000000000000007</v>
      </c>
      <c r="P35" s="258">
        <v>9.1</v>
      </c>
      <c r="Q35" s="258">
        <v>8.1999999999999993</v>
      </c>
      <c r="R35" s="258">
        <v>7.9</v>
      </c>
      <c r="S35" s="258">
        <v>7.6</v>
      </c>
      <c r="T35" s="258">
        <v>7.6</v>
      </c>
      <c r="U35" s="258">
        <v>6.7</v>
      </c>
      <c r="V35" s="258">
        <v>6.4</v>
      </c>
      <c r="W35" s="258">
        <v>7.8</v>
      </c>
      <c r="X35" s="257" t="s">
        <v>38</v>
      </c>
      <c r="Y35" s="258">
        <v>1</v>
      </c>
      <c r="Z35" s="258">
        <v>1.2</v>
      </c>
      <c r="AA35" s="258">
        <v>0.9</v>
      </c>
      <c r="AB35" s="258">
        <v>1</v>
      </c>
      <c r="AC35" s="258">
        <v>1</v>
      </c>
      <c r="AD35" s="258">
        <v>1</v>
      </c>
      <c r="AE35" s="258">
        <v>1</v>
      </c>
      <c r="AF35" s="258">
        <v>1</v>
      </c>
      <c r="AG35" s="258">
        <v>0.9</v>
      </c>
      <c r="AH35" s="258">
        <v>0.9</v>
      </c>
      <c r="AI35" s="251" t="s">
        <v>38</v>
      </c>
      <c r="AJ35" s="252">
        <v>59.1</v>
      </c>
      <c r="AK35" s="252">
        <v>62</v>
      </c>
      <c r="AL35" s="252">
        <v>63.2</v>
      </c>
      <c r="AM35" s="252">
        <v>61.4</v>
      </c>
      <c r="AN35" s="252">
        <v>59.8</v>
      </c>
      <c r="AO35" s="252">
        <v>61.8</v>
      </c>
      <c r="AP35" s="252">
        <v>63.1</v>
      </c>
      <c r="AQ35" s="252">
        <v>61.6</v>
      </c>
      <c r="AR35" s="252">
        <v>61.2</v>
      </c>
      <c r="AS35" s="252">
        <v>65.5</v>
      </c>
      <c r="AT35" s="251" t="s">
        <v>38</v>
      </c>
      <c r="AU35" s="260"/>
      <c r="AV35" s="260">
        <v>116</v>
      </c>
      <c r="AW35" s="260"/>
      <c r="AX35" s="253">
        <v>47</v>
      </c>
      <c r="AY35" s="260">
        <v>32</v>
      </c>
      <c r="AZ35" s="253">
        <v>68</v>
      </c>
      <c r="BA35" s="260">
        <v>62</v>
      </c>
      <c r="BB35" s="260">
        <v>46</v>
      </c>
      <c r="BC35" s="260">
        <v>45</v>
      </c>
      <c r="BD35" s="260">
        <v>87</v>
      </c>
      <c r="BE35" s="249"/>
    </row>
    <row r="36" spans="1:57">
      <c r="A36" s="249">
        <v>27</v>
      </c>
      <c r="B36" s="257" t="s">
        <v>40</v>
      </c>
      <c r="C36" s="258">
        <v>2373.4</v>
      </c>
      <c r="D36" s="258">
        <v>2397.9</v>
      </c>
      <c r="E36" s="258">
        <v>2415.6</v>
      </c>
      <c r="F36" s="258">
        <v>2433.3000000000002</v>
      </c>
      <c r="G36" s="258">
        <v>2442.6</v>
      </c>
      <c r="H36" s="258">
        <v>2472.8000000000002</v>
      </c>
      <c r="I36" s="258">
        <v>2482.1999999999998</v>
      </c>
      <c r="J36" s="258">
        <v>2489.3000000000002</v>
      </c>
      <c r="K36" s="258">
        <v>2486.5</v>
      </c>
      <c r="L36" s="258">
        <v>2499.4</v>
      </c>
      <c r="M36" s="257" t="s">
        <v>40</v>
      </c>
      <c r="N36" s="258">
        <v>6.2</v>
      </c>
      <c r="O36" s="258">
        <v>5.7</v>
      </c>
      <c r="P36" s="258">
        <v>5.6</v>
      </c>
      <c r="Q36" s="258">
        <v>5.7</v>
      </c>
      <c r="R36" s="258">
        <v>5.6</v>
      </c>
      <c r="S36" s="258">
        <v>5.8</v>
      </c>
      <c r="T36" s="258">
        <v>5.7</v>
      </c>
      <c r="U36" s="258">
        <v>6</v>
      </c>
      <c r="V36" s="258">
        <v>5.8</v>
      </c>
      <c r="W36" s="258">
        <v>5.8</v>
      </c>
      <c r="X36" s="257" t="s">
        <v>40</v>
      </c>
      <c r="Y36" s="258">
        <v>8.8000000000000007</v>
      </c>
      <c r="Z36" s="258">
        <v>9.1999999999999993</v>
      </c>
      <c r="AA36" s="258">
        <v>9.1</v>
      </c>
      <c r="AB36" s="258">
        <v>8.6</v>
      </c>
      <c r="AC36" s="258">
        <v>8.6</v>
      </c>
      <c r="AD36" s="258">
        <v>8.4</v>
      </c>
      <c r="AE36" s="258">
        <v>8.1999999999999993</v>
      </c>
      <c r="AF36" s="258">
        <v>8.4</v>
      </c>
      <c r="AG36" s="258">
        <v>8</v>
      </c>
      <c r="AH36" s="258">
        <v>8</v>
      </c>
      <c r="AI36" s="251" t="s">
        <v>40</v>
      </c>
      <c r="AJ36" s="252">
        <v>61.9</v>
      </c>
      <c r="AK36" s="252">
        <v>62.5</v>
      </c>
      <c r="AL36" s="252">
        <v>63</v>
      </c>
      <c r="AM36" s="252">
        <v>63.5</v>
      </c>
      <c r="AN36" s="252">
        <v>64.099999999999994</v>
      </c>
      <c r="AO36" s="252">
        <v>64.900000000000006</v>
      </c>
      <c r="AP36" s="252">
        <v>65.099999999999994</v>
      </c>
      <c r="AQ36" s="252">
        <v>65.3</v>
      </c>
      <c r="AR36" s="252">
        <v>65.8</v>
      </c>
      <c r="AS36" s="252">
        <v>66.099999999999994</v>
      </c>
      <c r="AT36" s="251" t="s">
        <v>40</v>
      </c>
      <c r="AU36" s="260">
        <v>39</v>
      </c>
      <c r="AV36" s="260">
        <v>46</v>
      </c>
      <c r="AW36" s="260">
        <v>31</v>
      </c>
      <c r="AX36" s="260">
        <v>33</v>
      </c>
      <c r="AY36" s="260">
        <v>44</v>
      </c>
      <c r="AZ36" s="260">
        <v>43</v>
      </c>
      <c r="BA36" s="260">
        <v>31</v>
      </c>
      <c r="BB36" s="260">
        <v>31</v>
      </c>
      <c r="BC36" s="260">
        <v>34</v>
      </c>
      <c r="BD36" s="260">
        <v>33</v>
      </c>
      <c r="BE36" s="249"/>
    </row>
    <row r="37" spans="1:57">
      <c r="A37" s="249">
        <v>28</v>
      </c>
      <c r="B37" s="257" t="s">
        <v>39</v>
      </c>
      <c r="C37" s="258">
        <v>881.4</v>
      </c>
      <c r="D37" s="258">
        <v>906.2</v>
      </c>
      <c r="E37" s="258">
        <v>918.3</v>
      </c>
      <c r="F37" s="258">
        <v>900.4</v>
      </c>
      <c r="G37" s="258">
        <v>883</v>
      </c>
      <c r="H37" s="258">
        <v>907.2</v>
      </c>
      <c r="I37" s="258">
        <v>907.6</v>
      </c>
      <c r="J37" s="258">
        <v>912.1</v>
      </c>
      <c r="K37" s="258">
        <v>919.2</v>
      </c>
      <c r="L37" s="258">
        <v>941</v>
      </c>
      <c r="M37" s="257" t="s">
        <v>39</v>
      </c>
      <c r="N37" s="258">
        <v>9.8000000000000007</v>
      </c>
      <c r="O37" s="258">
        <v>10.7</v>
      </c>
      <c r="P37" s="258">
        <v>10.3</v>
      </c>
      <c r="Q37" s="258">
        <v>9.4</v>
      </c>
      <c r="R37" s="258">
        <v>9.4</v>
      </c>
      <c r="S37" s="258">
        <v>9.3000000000000007</v>
      </c>
      <c r="T37" s="258">
        <v>9.1999999999999993</v>
      </c>
      <c r="U37" s="258">
        <v>9.3000000000000007</v>
      </c>
      <c r="V37" s="258">
        <v>10.5</v>
      </c>
      <c r="W37" s="258">
        <v>10.199999999999999</v>
      </c>
      <c r="X37" s="257" t="s">
        <v>39</v>
      </c>
      <c r="Y37" s="258">
        <v>14.2</v>
      </c>
      <c r="Z37" s="258">
        <v>14.9</v>
      </c>
      <c r="AA37" s="258">
        <v>16.100000000000001</v>
      </c>
      <c r="AB37" s="258">
        <v>15</v>
      </c>
      <c r="AC37" s="258">
        <v>14.7</v>
      </c>
      <c r="AD37" s="258">
        <v>14.9</v>
      </c>
      <c r="AE37" s="258">
        <v>14.3</v>
      </c>
      <c r="AF37" s="258">
        <v>14.6</v>
      </c>
      <c r="AG37" s="258">
        <v>15.5</v>
      </c>
      <c r="AH37" s="258">
        <v>15.2</v>
      </c>
      <c r="AI37" s="251" t="s">
        <v>39</v>
      </c>
      <c r="AJ37" s="252">
        <v>63.5</v>
      </c>
      <c r="AK37" s="252">
        <v>65.5</v>
      </c>
      <c r="AL37" s="252">
        <v>66.7</v>
      </c>
      <c r="AM37" s="252">
        <v>65.2</v>
      </c>
      <c r="AN37" s="252">
        <v>64.2</v>
      </c>
      <c r="AO37" s="252">
        <v>66.2</v>
      </c>
      <c r="AP37" s="252">
        <v>66.400000000000006</v>
      </c>
      <c r="AQ37" s="252">
        <v>66.599999999999994</v>
      </c>
      <c r="AR37" s="252">
        <v>67.3</v>
      </c>
      <c r="AS37" s="252">
        <v>69.099999999999994</v>
      </c>
      <c r="AT37" s="251" t="s">
        <v>39</v>
      </c>
      <c r="AU37" s="260">
        <v>17</v>
      </c>
      <c r="AV37" s="260">
        <v>19</v>
      </c>
      <c r="AW37" s="260">
        <v>18</v>
      </c>
      <c r="AX37" s="260">
        <v>16</v>
      </c>
      <c r="AY37" s="260">
        <v>16</v>
      </c>
      <c r="AZ37" s="260">
        <v>22</v>
      </c>
      <c r="BA37" s="260">
        <v>16</v>
      </c>
      <c r="BB37" s="260">
        <v>14</v>
      </c>
      <c r="BC37" s="260">
        <v>18</v>
      </c>
      <c r="BD37" s="260">
        <v>21</v>
      </c>
      <c r="BE37" s="249"/>
    </row>
    <row r="38" spans="1:57">
      <c r="A38" s="249">
        <v>29</v>
      </c>
      <c r="B38" s="257" t="s">
        <v>24</v>
      </c>
      <c r="C38" s="258">
        <v>17316.8</v>
      </c>
      <c r="D38" s="258">
        <v>17723.2</v>
      </c>
      <c r="E38" s="258">
        <v>17897.7</v>
      </c>
      <c r="F38" s="258">
        <v>17932.2</v>
      </c>
      <c r="G38" s="258">
        <v>17880.8</v>
      </c>
      <c r="H38" s="258">
        <v>18138.400000000001</v>
      </c>
      <c r="I38" s="258">
        <v>18367.599999999999</v>
      </c>
      <c r="J38" s="258">
        <v>18343.900000000001</v>
      </c>
      <c r="K38" s="258">
        <v>18269.900000000001</v>
      </c>
      <c r="L38" s="258">
        <v>18635.7</v>
      </c>
      <c r="M38" s="257" t="s">
        <v>24</v>
      </c>
      <c r="N38" s="258">
        <v>16.2</v>
      </c>
      <c r="O38" s="258">
        <v>15.7</v>
      </c>
      <c r="P38" s="258">
        <v>15.1</v>
      </c>
      <c r="Q38" s="258">
        <v>15.6</v>
      </c>
      <c r="R38" s="258">
        <v>15.6</v>
      </c>
      <c r="S38" s="258">
        <v>15.2</v>
      </c>
      <c r="T38" s="258">
        <v>14.4</v>
      </c>
      <c r="U38" s="258">
        <v>15.2</v>
      </c>
      <c r="V38" s="258">
        <v>15.5</v>
      </c>
      <c r="W38" s="258">
        <v>15.2</v>
      </c>
      <c r="X38" s="257" t="s">
        <v>24</v>
      </c>
      <c r="Y38" s="258">
        <v>20.3</v>
      </c>
      <c r="Z38" s="258">
        <v>20.8</v>
      </c>
      <c r="AA38" s="258">
        <v>21.2</v>
      </c>
      <c r="AB38" s="258">
        <v>21.3</v>
      </c>
      <c r="AC38" s="258">
        <v>21.6</v>
      </c>
      <c r="AD38" s="258">
        <v>21.4</v>
      </c>
      <c r="AE38" s="258">
        <v>22</v>
      </c>
      <c r="AF38" s="258">
        <v>22.1</v>
      </c>
      <c r="AG38" s="258">
        <v>22.3</v>
      </c>
      <c r="AH38" s="258">
        <v>22.5</v>
      </c>
      <c r="AI38" s="251" t="s">
        <v>24</v>
      </c>
      <c r="AJ38" s="252">
        <v>56.4</v>
      </c>
      <c r="AK38" s="252">
        <v>57.8</v>
      </c>
      <c r="AL38" s="252">
        <v>58.4</v>
      </c>
      <c r="AM38" s="252">
        <v>58.6</v>
      </c>
      <c r="AN38" s="252">
        <v>58.5</v>
      </c>
      <c r="AO38" s="252">
        <v>59.4</v>
      </c>
      <c r="AP38" s="252">
        <v>60.2</v>
      </c>
      <c r="AQ38" s="252">
        <v>60.1</v>
      </c>
      <c r="AR38" s="252">
        <v>59.9</v>
      </c>
      <c r="AS38" s="252">
        <v>61.1</v>
      </c>
      <c r="AT38" s="251" t="s">
        <v>24</v>
      </c>
      <c r="AU38" s="260">
        <v>735</v>
      </c>
      <c r="AV38" s="260">
        <v>973</v>
      </c>
      <c r="AW38" s="260">
        <v>976</v>
      </c>
      <c r="AX38" s="260">
        <v>896</v>
      </c>
      <c r="AY38" s="260">
        <v>768</v>
      </c>
      <c r="AZ38" s="260">
        <v>883</v>
      </c>
      <c r="BA38" s="260">
        <v>932</v>
      </c>
      <c r="BB38" s="260">
        <v>870</v>
      </c>
      <c r="BC38" s="260">
        <v>734</v>
      </c>
      <c r="BD38" s="260">
        <v>953</v>
      </c>
      <c r="BE38" s="249"/>
    </row>
    <row r="39" spans="1:57">
      <c r="A39" s="249">
        <v>30</v>
      </c>
      <c r="B39" s="257" t="s">
        <v>42</v>
      </c>
      <c r="C39" s="258">
        <v>4559.3999999999996</v>
      </c>
      <c r="D39" s="258">
        <v>4658.8999999999996</v>
      </c>
      <c r="E39" s="258">
        <v>4744.2</v>
      </c>
      <c r="F39" s="258">
        <v>4676.8999999999996</v>
      </c>
      <c r="G39" s="258">
        <v>4638</v>
      </c>
      <c r="H39" s="258">
        <v>4755.3</v>
      </c>
      <c r="I39" s="258">
        <v>4806.3999999999996</v>
      </c>
      <c r="J39" s="258">
        <v>4742.7</v>
      </c>
      <c r="K39" s="258">
        <v>4745.1000000000004</v>
      </c>
      <c r="L39" s="258">
        <v>4842.8</v>
      </c>
      <c r="M39" s="257" t="s">
        <v>42</v>
      </c>
      <c r="N39" s="258">
        <v>25</v>
      </c>
      <c r="O39" s="258">
        <v>24.6</v>
      </c>
      <c r="P39" s="258">
        <v>23.3</v>
      </c>
      <c r="Q39" s="258">
        <v>24.4</v>
      </c>
      <c r="R39" s="258">
        <v>24.7</v>
      </c>
      <c r="S39" s="258">
        <v>24.1</v>
      </c>
      <c r="T39" s="258">
        <v>22.8</v>
      </c>
      <c r="U39" s="258">
        <v>23.9</v>
      </c>
      <c r="V39" s="258">
        <v>24.1</v>
      </c>
      <c r="W39" s="258">
        <v>23.4</v>
      </c>
      <c r="X39" s="257" t="s">
        <v>42</v>
      </c>
      <c r="Y39" s="258">
        <v>15.2</v>
      </c>
      <c r="Z39" s="258">
        <v>14.9</v>
      </c>
      <c r="AA39" s="258">
        <v>15.1</v>
      </c>
      <c r="AB39" s="258">
        <v>15.1</v>
      </c>
      <c r="AC39" s="258">
        <v>15</v>
      </c>
      <c r="AD39" s="258">
        <v>14.8</v>
      </c>
      <c r="AE39" s="258">
        <v>14.4</v>
      </c>
      <c r="AF39" s="258">
        <v>14.7</v>
      </c>
      <c r="AG39" s="258">
        <v>15.1</v>
      </c>
      <c r="AH39" s="258">
        <v>14.6</v>
      </c>
      <c r="AI39" s="251" t="s">
        <v>42</v>
      </c>
      <c r="AJ39" s="252">
        <v>74</v>
      </c>
      <c r="AK39" s="252">
        <v>75.599999999999994</v>
      </c>
      <c r="AL39" s="252">
        <v>76.900000000000006</v>
      </c>
      <c r="AM39" s="252">
        <v>75.599999999999994</v>
      </c>
      <c r="AN39" s="252">
        <v>74.900000000000006</v>
      </c>
      <c r="AO39" s="252">
        <v>76.7</v>
      </c>
      <c r="AP39" s="252">
        <v>77.3</v>
      </c>
      <c r="AQ39" s="252">
        <v>75.900000000000006</v>
      </c>
      <c r="AR39" s="252">
        <v>75.7</v>
      </c>
      <c r="AS39" s="252">
        <v>77.099999999999994</v>
      </c>
      <c r="AT39" s="251" t="s">
        <v>42</v>
      </c>
      <c r="AU39" s="260">
        <v>78</v>
      </c>
      <c r="AV39" s="260">
        <v>126</v>
      </c>
      <c r="AW39" s="260">
        <v>124</v>
      </c>
      <c r="AX39" s="260">
        <v>101</v>
      </c>
      <c r="AY39" s="260">
        <v>77</v>
      </c>
      <c r="AZ39" s="260">
        <v>125</v>
      </c>
      <c r="BA39" s="260">
        <v>104</v>
      </c>
      <c r="BB39" s="260">
        <v>93</v>
      </c>
      <c r="BC39" s="260">
        <v>77</v>
      </c>
      <c r="BD39" s="260">
        <v>117</v>
      </c>
      <c r="BE39" s="249"/>
    </row>
    <row r="40" spans="1:57">
      <c r="A40" s="249">
        <v>31</v>
      </c>
      <c r="B40" s="257" t="s">
        <v>46</v>
      </c>
      <c r="C40" s="258">
        <v>4358.8999999999996</v>
      </c>
      <c r="D40" s="258">
        <v>4361.3</v>
      </c>
      <c r="E40" s="258">
        <v>4349.6000000000004</v>
      </c>
      <c r="F40" s="258">
        <v>4412.8999999999996</v>
      </c>
      <c r="G40" s="258">
        <v>4406.2</v>
      </c>
      <c r="H40" s="258">
        <v>4407.8999999999996</v>
      </c>
      <c r="I40" s="258">
        <v>4411.3999999999996</v>
      </c>
      <c r="J40" s="258">
        <v>4466.8999999999996</v>
      </c>
      <c r="K40" s="258">
        <v>4420.5</v>
      </c>
      <c r="L40" s="258">
        <v>4451.3</v>
      </c>
      <c r="M40" s="257" t="s">
        <v>46</v>
      </c>
      <c r="N40" s="258">
        <v>37.200000000000003</v>
      </c>
      <c r="O40" s="258">
        <v>36.799999999999997</v>
      </c>
      <c r="P40" s="258">
        <v>35.799999999999997</v>
      </c>
      <c r="Q40" s="258">
        <v>36.200000000000003</v>
      </c>
      <c r="R40" s="258">
        <v>37.1</v>
      </c>
      <c r="S40" s="258">
        <v>37.200000000000003</v>
      </c>
      <c r="T40" s="258">
        <v>36.200000000000003</v>
      </c>
      <c r="U40" s="258">
        <v>36.9</v>
      </c>
      <c r="V40" s="258">
        <v>37.5</v>
      </c>
      <c r="W40" s="258">
        <v>37.1</v>
      </c>
      <c r="X40" s="257" t="s">
        <v>46</v>
      </c>
      <c r="Y40" s="258">
        <v>11.8</v>
      </c>
      <c r="Z40" s="258">
        <v>11.7</v>
      </c>
      <c r="AA40" s="258">
        <v>11.9</v>
      </c>
      <c r="AB40" s="258">
        <v>11.9</v>
      </c>
      <c r="AC40" s="258">
        <v>11.6</v>
      </c>
      <c r="AD40" s="258">
        <v>11.5</v>
      </c>
      <c r="AE40" s="258">
        <v>11.2</v>
      </c>
      <c r="AF40" s="258">
        <v>11.6</v>
      </c>
      <c r="AG40" s="258">
        <v>11.4</v>
      </c>
      <c r="AH40" s="258">
        <v>11.5</v>
      </c>
      <c r="AI40" s="251" t="s">
        <v>46</v>
      </c>
      <c r="AJ40" s="252">
        <v>79.2</v>
      </c>
      <c r="AK40" s="252">
        <v>79.099999999999994</v>
      </c>
      <c r="AL40" s="252">
        <v>78.8</v>
      </c>
      <c r="AM40" s="252">
        <v>79.7</v>
      </c>
      <c r="AN40" s="252">
        <v>79.400000000000006</v>
      </c>
      <c r="AO40" s="252">
        <v>79.400000000000006</v>
      </c>
      <c r="AP40" s="252">
        <v>79.400000000000006</v>
      </c>
      <c r="AQ40" s="252">
        <v>80.2</v>
      </c>
      <c r="AR40" s="252">
        <v>79.3</v>
      </c>
      <c r="AS40" s="252">
        <v>79.8</v>
      </c>
      <c r="AT40" s="251" t="s">
        <v>46</v>
      </c>
      <c r="AU40" s="260">
        <v>65</v>
      </c>
      <c r="AV40" s="260">
        <v>77</v>
      </c>
      <c r="AW40" s="260">
        <v>65</v>
      </c>
      <c r="AX40" s="260">
        <v>91</v>
      </c>
      <c r="AY40" s="260">
        <v>69</v>
      </c>
      <c r="AZ40" s="260">
        <v>82</v>
      </c>
      <c r="BA40" s="260">
        <v>68</v>
      </c>
      <c r="BB40" s="260">
        <v>95</v>
      </c>
      <c r="BC40" s="260">
        <v>73</v>
      </c>
      <c r="BD40" s="260">
        <v>93</v>
      </c>
      <c r="BE40" s="249"/>
    </row>
    <row r="41" spans="1:57">
      <c r="A41" s="249">
        <v>32</v>
      </c>
      <c r="B41" s="257" t="s">
        <v>47</v>
      </c>
      <c r="C41" s="258">
        <v>24848.1</v>
      </c>
      <c r="D41" s="258">
        <v>26324.400000000001</v>
      </c>
      <c r="E41" s="258">
        <v>26426.5</v>
      </c>
      <c r="F41" s="258">
        <v>25942.9</v>
      </c>
      <c r="G41" s="258">
        <v>25717.1</v>
      </c>
      <c r="H41" s="258">
        <v>27103.5</v>
      </c>
      <c r="I41" s="258">
        <v>26737.1</v>
      </c>
      <c r="J41" s="258">
        <v>26329.599999999999</v>
      </c>
      <c r="K41" s="258">
        <v>26168.799999999999</v>
      </c>
      <c r="L41" s="258">
        <v>27683.1</v>
      </c>
      <c r="M41" s="257" t="s">
        <v>47</v>
      </c>
      <c r="N41" s="258">
        <v>12.1</v>
      </c>
      <c r="O41" s="258">
        <v>10.6</v>
      </c>
      <c r="P41" s="258">
        <v>9</v>
      </c>
      <c r="Q41" s="258">
        <v>9.6</v>
      </c>
      <c r="R41" s="258">
        <v>10.9</v>
      </c>
      <c r="S41" s="258">
        <v>10.199999999999999</v>
      </c>
      <c r="T41" s="258">
        <v>8.1999999999999993</v>
      </c>
      <c r="U41" s="258">
        <v>10.3</v>
      </c>
      <c r="V41" s="258">
        <v>10.7</v>
      </c>
      <c r="W41" s="258">
        <v>10.199999999999999</v>
      </c>
      <c r="X41" s="257" t="s">
        <v>47</v>
      </c>
      <c r="Y41" s="258">
        <v>8.8000000000000007</v>
      </c>
      <c r="Z41" s="258">
        <v>8.9</v>
      </c>
      <c r="AA41" s="258">
        <v>9</v>
      </c>
      <c r="AB41" s="258">
        <v>9.3000000000000007</v>
      </c>
      <c r="AC41" s="258">
        <v>9.4</v>
      </c>
      <c r="AD41" s="258">
        <v>9.6</v>
      </c>
      <c r="AE41" s="258">
        <v>8.6</v>
      </c>
      <c r="AF41" s="258">
        <v>8.9</v>
      </c>
      <c r="AG41" s="258">
        <v>8.8000000000000007</v>
      </c>
      <c r="AH41" s="258">
        <v>8.8000000000000007</v>
      </c>
      <c r="AI41" s="251" t="s">
        <v>47</v>
      </c>
      <c r="AJ41" s="252">
        <v>48.4</v>
      </c>
      <c r="AK41" s="252">
        <v>51.1</v>
      </c>
      <c r="AL41" s="252">
        <v>51.1</v>
      </c>
      <c r="AM41" s="252">
        <v>50</v>
      </c>
      <c r="AN41" s="252">
        <v>49.4</v>
      </c>
      <c r="AO41" s="252">
        <v>52</v>
      </c>
      <c r="AP41" s="252">
        <v>51.1</v>
      </c>
      <c r="AQ41" s="252">
        <v>50.1</v>
      </c>
      <c r="AR41" s="252">
        <v>49.5</v>
      </c>
      <c r="AS41" s="252">
        <v>52.2</v>
      </c>
      <c r="AT41" s="251" t="s">
        <v>47</v>
      </c>
      <c r="AU41" s="260">
        <v>981</v>
      </c>
      <c r="AV41" s="260">
        <v>1289</v>
      </c>
      <c r="AW41" s="260">
        <v>939</v>
      </c>
      <c r="AX41" s="260">
        <v>1087</v>
      </c>
      <c r="AY41" s="260">
        <v>1004</v>
      </c>
      <c r="AZ41" s="260">
        <v>1142</v>
      </c>
      <c r="BA41" s="260">
        <v>874</v>
      </c>
      <c r="BB41" s="260">
        <v>1123</v>
      </c>
      <c r="BC41" s="260">
        <v>1002</v>
      </c>
      <c r="BD41" s="260">
        <v>1500</v>
      </c>
      <c r="BE41" s="249"/>
    </row>
    <row r="42" spans="1:57">
      <c r="A42" s="249">
        <v>33</v>
      </c>
      <c r="B42" s="257" t="s">
        <v>43</v>
      </c>
      <c r="C42" s="258">
        <v>29806.5</v>
      </c>
      <c r="D42" s="258">
        <v>29817.5</v>
      </c>
      <c r="E42" s="258">
        <v>30131.3</v>
      </c>
      <c r="F42" s="258">
        <v>30307.7</v>
      </c>
      <c r="G42" s="258">
        <v>30217.599999999999</v>
      </c>
      <c r="H42" s="258">
        <v>30350.400000000001</v>
      </c>
      <c r="I42" s="258">
        <v>30522.1</v>
      </c>
      <c r="J42" s="258">
        <v>30605.1</v>
      </c>
      <c r="K42" s="258">
        <v>30586.9</v>
      </c>
      <c r="L42" s="258">
        <v>30745.8</v>
      </c>
      <c r="M42" s="257" t="s">
        <v>43</v>
      </c>
      <c r="N42" s="258">
        <v>25.3</v>
      </c>
      <c r="O42" s="258">
        <v>25.2</v>
      </c>
      <c r="P42" s="258">
        <v>25.2</v>
      </c>
      <c r="Q42" s="258">
        <v>25.1</v>
      </c>
      <c r="R42" s="258">
        <v>25.3</v>
      </c>
      <c r="S42" s="258">
        <v>25.3</v>
      </c>
      <c r="T42" s="258">
        <v>25.1</v>
      </c>
      <c r="U42" s="258">
        <v>25.1</v>
      </c>
      <c r="V42" s="258">
        <v>24.9</v>
      </c>
      <c r="W42" s="258">
        <v>24.9</v>
      </c>
      <c r="X42" s="257" t="s">
        <v>43</v>
      </c>
      <c r="Y42" s="258">
        <v>5.3</v>
      </c>
      <c r="Z42" s="258">
        <v>5.2</v>
      </c>
      <c r="AA42" s="258">
        <v>5.2</v>
      </c>
      <c r="AB42" s="258">
        <v>5.0999999999999996</v>
      </c>
      <c r="AC42" s="258">
        <v>5.0999999999999996</v>
      </c>
      <c r="AD42" s="258">
        <v>5.2</v>
      </c>
      <c r="AE42" s="258">
        <v>5</v>
      </c>
      <c r="AF42" s="258">
        <v>5</v>
      </c>
      <c r="AG42" s="258">
        <v>4.9000000000000004</v>
      </c>
      <c r="AH42" s="258">
        <v>4.9000000000000004</v>
      </c>
      <c r="AI42" s="251" t="s">
        <v>43</v>
      </c>
      <c r="AJ42" s="252">
        <v>72.400000000000006</v>
      </c>
      <c r="AK42" s="252">
        <v>72.3</v>
      </c>
      <c r="AL42" s="252">
        <v>72.900000000000006</v>
      </c>
      <c r="AM42" s="252">
        <v>73.3</v>
      </c>
      <c r="AN42" s="252">
        <v>73.099999999999994</v>
      </c>
      <c r="AO42" s="252">
        <v>73.400000000000006</v>
      </c>
      <c r="AP42" s="252">
        <v>73.7</v>
      </c>
      <c r="AQ42" s="252">
        <v>73.8</v>
      </c>
      <c r="AR42" s="252">
        <v>73.7</v>
      </c>
      <c r="AS42" s="252">
        <v>74.099999999999994</v>
      </c>
      <c r="AT42" s="251" t="s">
        <v>43</v>
      </c>
      <c r="AU42" s="260">
        <v>361</v>
      </c>
      <c r="AV42" s="260">
        <v>334</v>
      </c>
      <c r="AW42" s="260">
        <v>395</v>
      </c>
      <c r="AX42" s="260">
        <v>434</v>
      </c>
      <c r="AY42" s="260">
        <v>300</v>
      </c>
      <c r="AZ42" s="260">
        <v>321</v>
      </c>
      <c r="BA42" s="260">
        <v>286</v>
      </c>
      <c r="BB42" s="260">
        <v>379</v>
      </c>
      <c r="BC42" s="260">
        <v>310</v>
      </c>
      <c r="BD42" s="260">
        <v>303</v>
      </c>
      <c r="BE42" s="249"/>
    </row>
    <row r="43" spans="1:57">
      <c r="A43" s="249">
        <v>34</v>
      </c>
      <c r="C43" s="249"/>
      <c r="D43" s="249"/>
      <c r="E43" s="249"/>
      <c r="F43" s="249"/>
      <c r="G43" s="249"/>
      <c r="H43" s="249"/>
      <c r="I43" s="249"/>
      <c r="J43" s="249"/>
      <c r="K43" s="249"/>
      <c r="L43" s="249"/>
      <c r="M43" s="254"/>
      <c r="N43" s="249"/>
      <c r="O43" s="249"/>
      <c r="P43" s="249"/>
      <c r="Q43" s="249"/>
      <c r="R43" s="249"/>
      <c r="S43" s="249"/>
      <c r="T43" s="249"/>
      <c r="U43" s="249"/>
      <c r="V43" s="249"/>
      <c r="W43" s="249"/>
      <c r="X43" s="249"/>
      <c r="Y43" s="254"/>
      <c r="Z43" s="254"/>
      <c r="AA43" s="254"/>
      <c r="AB43" s="254"/>
      <c r="AC43" s="254"/>
      <c r="AD43" s="254"/>
      <c r="AE43" s="254"/>
      <c r="AF43" s="254"/>
      <c r="AG43" s="254"/>
      <c r="AH43" s="254"/>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row>
    <row r="44" spans="1:57">
      <c r="A44" s="249">
        <v>35</v>
      </c>
      <c r="C44" s="249"/>
      <c r="D44" s="249"/>
      <c r="E44" s="249"/>
      <c r="F44" s="249"/>
      <c r="G44" s="249"/>
      <c r="H44" s="249"/>
      <c r="I44" s="249"/>
      <c r="J44" s="249"/>
      <c r="K44" s="249"/>
      <c r="L44" s="249"/>
      <c r="M44" s="254"/>
      <c r="N44" s="249"/>
      <c r="O44" s="249"/>
      <c r="P44" s="249"/>
      <c r="Q44" s="249"/>
      <c r="R44" s="249"/>
      <c r="S44" s="249"/>
      <c r="T44" s="249"/>
      <c r="U44" s="249"/>
      <c r="V44" s="249"/>
      <c r="W44" s="249"/>
      <c r="X44" s="249"/>
      <c r="Y44" s="254"/>
      <c r="Z44" s="254"/>
      <c r="AA44" s="254"/>
      <c r="AB44" s="254"/>
      <c r="AC44" s="254"/>
      <c r="AD44" s="254"/>
      <c r="AE44" s="254"/>
      <c r="AF44" s="254"/>
      <c r="AG44" s="254"/>
      <c r="AH44" s="254"/>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row>
    <row r="45" spans="1:57">
      <c r="A45" s="249">
        <v>36</v>
      </c>
      <c r="C45" s="249"/>
      <c r="D45" s="249"/>
      <c r="E45" s="249"/>
      <c r="F45" s="249"/>
      <c r="G45" s="249"/>
      <c r="H45" s="249"/>
      <c r="I45" s="249"/>
      <c r="J45" s="249"/>
      <c r="K45" s="249"/>
      <c r="L45" s="249"/>
      <c r="M45" s="254"/>
      <c r="N45" s="249"/>
      <c r="O45" s="249"/>
      <c r="P45" s="249"/>
      <c r="Q45" s="249"/>
      <c r="R45" s="249"/>
      <c r="S45" s="249"/>
      <c r="T45" s="249"/>
      <c r="U45" s="249"/>
      <c r="V45" s="249"/>
      <c r="W45" s="249"/>
      <c r="X45" s="249"/>
      <c r="Y45" s="254"/>
      <c r="Z45" s="254"/>
      <c r="AA45" s="254"/>
      <c r="AB45" s="254"/>
      <c r="AC45" s="254"/>
      <c r="AD45" s="254"/>
      <c r="AE45" s="254"/>
      <c r="AF45" s="254"/>
      <c r="AG45" s="254"/>
      <c r="AH45" s="254"/>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row>
    <row r="46" spans="1:57">
      <c r="A46" s="249">
        <v>37</v>
      </c>
      <c r="B46" s="257" t="s">
        <v>1</v>
      </c>
      <c r="C46" s="257" t="s">
        <v>8</v>
      </c>
      <c r="D46" s="257" t="s">
        <v>9</v>
      </c>
      <c r="E46" s="257" t="s">
        <v>10</v>
      </c>
      <c r="F46" s="257" t="s">
        <v>58</v>
      </c>
      <c r="G46" s="257" t="s">
        <v>325</v>
      </c>
      <c r="H46" s="257" t="s">
        <v>384</v>
      </c>
      <c r="I46" s="257" t="s">
        <v>409</v>
      </c>
      <c r="J46" s="257" t="s">
        <v>436</v>
      </c>
      <c r="K46" s="257" t="s">
        <v>445</v>
      </c>
      <c r="L46" s="257" t="s">
        <v>545</v>
      </c>
      <c r="M46" s="254"/>
      <c r="N46" s="249"/>
      <c r="O46" s="249"/>
      <c r="P46" s="249"/>
      <c r="Q46" s="249"/>
      <c r="R46" s="249"/>
      <c r="S46" s="249"/>
      <c r="T46" s="249"/>
      <c r="U46" s="249"/>
      <c r="V46" s="249"/>
      <c r="W46" s="249"/>
      <c r="X46" s="249"/>
      <c r="Y46" s="254"/>
      <c r="Z46" s="254"/>
      <c r="AA46" s="254"/>
      <c r="AB46" s="254"/>
      <c r="AC46" s="254"/>
      <c r="AD46" s="254"/>
      <c r="AE46" s="254"/>
      <c r="AF46" s="254"/>
      <c r="AG46" s="254"/>
      <c r="AH46" s="254"/>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row>
    <row r="47" spans="1:57">
      <c r="A47" s="249">
        <v>38</v>
      </c>
      <c r="B47" s="257" t="s">
        <v>11</v>
      </c>
      <c r="C47" s="249"/>
      <c r="D47" s="249"/>
      <c r="E47" s="249"/>
      <c r="F47" s="249"/>
      <c r="G47" s="259">
        <v>1.5512858676167252E-2</v>
      </c>
      <c r="H47" s="259">
        <v>1.6025795810409749E-2</v>
      </c>
      <c r="I47" s="259">
        <v>1.3867841458331531E-2</v>
      </c>
      <c r="J47" s="259">
        <v>1.2731704823402579E-2</v>
      </c>
      <c r="K47" s="259">
        <v>1.2065360818831916E-2</v>
      </c>
      <c r="L47" s="259">
        <v>1.4643242353887587E-2</v>
      </c>
      <c r="M47" s="254"/>
      <c r="N47" s="249"/>
      <c r="O47" s="249"/>
      <c r="P47" s="249"/>
      <c r="Q47" s="249"/>
      <c r="R47" s="249"/>
      <c r="S47" s="249"/>
      <c r="T47" s="249"/>
      <c r="U47" s="249"/>
      <c r="V47" s="249"/>
      <c r="W47" s="249"/>
      <c r="X47" s="249"/>
      <c r="Y47" s="254"/>
      <c r="Z47" s="254"/>
      <c r="AA47" s="254"/>
      <c r="AB47" s="254"/>
      <c r="AC47" s="254"/>
      <c r="AD47" s="254"/>
      <c r="AE47" s="254"/>
      <c r="AF47" s="254"/>
      <c r="AG47" s="254"/>
      <c r="AH47" s="254"/>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row>
    <row r="48" spans="1:57">
      <c r="A48" s="249">
        <v>39</v>
      </c>
      <c r="B48" s="257" t="s">
        <v>12</v>
      </c>
      <c r="C48" s="249"/>
      <c r="D48" s="249"/>
      <c r="E48" s="249"/>
      <c r="F48" s="249"/>
      <c r="G48" s="259">
        <v>1.5632049105517298E-2</v>
      </c>
      <c r="H48" s="259">
        <v>1.6074998573335719E-2</v>
      </c>
      <c r="I48" s="259">
        <v>1.3932093730302908E-2</v>
      </c>
      <c r="J48" s="259">
        <v>1.2782363983577794E-2</v>
      </c>
      <c r="K48" s="259">
        <v>1.2110708921136526E-2</v>
      </c>
      <c r="L48" s="259">
        <v>1.4608096785776903E-2</v>
      </c>
      <c r="M48" s="254"/>
      <c r="N48" s="249"/>
      <c r="O48" s="249"/>
      <c r="P48" s="249"/>
      <c r="Q48" s="249"/>
      <c r="R48" s="249"/>
      <c r="S48" s="249"/>
      <c r="T48" s="249"/>
      <c r="U48" s="249"/>
      <c r="V48" s="249"/>
      <c r="W48" s="249"/>
      <c r="X48" s="249"/>
      <c r="Y48" s="254"/>
      <c r="Z48" s="254"/>
      <c r="AA48" s="254"/>
      <c r="AB48" s="254"/>
      <c r="AC48" s="254"/>
      <c r="AD48" s="254"/>
      <c r="AE48" s="254"/>
      <c r="AF48" s="254"/>
      <c r="AG48" s="254"/>
      <c r="AH48" s="254"/>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row>
    <row r="49" spans="2:34">
      <c r="B49" s="257" t="s">
        <v>13</v>
      </c>
      <c r="C49" s="249"/>
      <c r="D49" s="249"/>
      <c r="E49" s="249"/>
      <c r="F49" s="249"/>
      <c r="G49" s="259">
        <v>1.6511958593006915E-2</v>
      </c>
      <c r="H49" s="259">
        <v>1.7697863008765413E-2</v>
      </c>
      <c r="I49" s="259">
        <v>1.6888424485403286E-2</v>
      </c>
      <c r="J49" s="259">
        <v>1.4718257942469171E-2</v>
      </c>
      <c r="K49" s="259">
        <v>1.1343408627279894E-2</v>
      </c>
      <c r="L49" s="259">
        <v>1.2718000920287187E-2</v>
      </c>
      <c r="M49" s="254"/>
      <c r="N49" s="249"/>
      <c r="O49" s="249"/>
      <c r="P49" s="249"/>
      <c r="Q49" s="249"/>
      <c r="R49" s="249"/>
      <c r="S49" s="249"/>
      <c r="T49" s="249"/>
      <c r="U49" s="249"/>
      <c r="V49" s="249"/>
      <c r="W49" s="249"/>
      <c r="X49" s="249"/>
      <c r="Y49" s="254"/>
      <c r="Z49" s="254"/>
      <c r="AA49" s="254"/>
      <c r="AB49" s="254"/>
      <c r="AC49" s="254"/>
      <c r="AD49" s="254"/>
      <c r="AE49" s="254"/>
      <c r="AF49" s="254"/>
      <c r="AG49" s="254"/>
      <c r="AH49" s="254"/>
    </row>
    <row r="50" spans="2:34">
      <c r="B50" s="257" t="s">
        <v>14</v>
      </c>
      <c r="C50" s="249"/>
      <c r="D50" s="249"/>
      <c r="E50" s="249"/>
      <c r="F50" s="249"/>
      <c r="G50" s="259">
        <v>1.679392936093449E-2</v>
      </c>
      <c r="H50" s="259">
        <v>1.7287979755137295E-2</v>
      </c>
      <c r="I50" s="259">
        <v>1.729196596699234E-2</v>
      </c>
      <c r="J50" s="259">
        <v>1.5603700905864049E-2</v>
      </c>
      <c r="K50" s="259">
        <v>1.1356411099677111E-2</v>
      </c>
      <c r="L50" s="259">
        <v>1.2724127293039622E-2</v>
      </c>
      <c r="M50" s="249"/>
      <c r="N50" s="249"/>
      <c r="O50" s="249"/>
      <c r="P50" s="249"/>
      <c r="Q50" s="249"/>
      <c r="R50" s="249"/>
      <c r="S50" s="249"/>
      <c r="T50" s="249"/>
      <c r="U50" s="249"/>
      <c r="V50" s="249"/>
      <c r="W50" s="249"/>
      <c r="X50" s="250" t="s">
        <v>0</v>
      </c>
      <c r="Y50" s="265" t="s">
        <v>536</v>
      </c>
      <c r="Z50" s="249"/>
      <c r="AA50" s="249"/>
      <c r="AB50" s="249"/>
      <c r="AC50" s="249"/>
      <c r="AD50" s="249"/>
      <c r="AE50" s="249"/>
      <c r="AF50" s="249"/>
      <c r="AG50" s="249"/>
      <c r="AH50" s="249"/>
    </row>
    <row r="51" spans="2:34">
      <c r="B51" s="257" t="s">
        <v>15</v>
      </c>
      <c r="C51" s="249"/>
      <c r="D51" s="249"/>
      <c r="E51" s="249"/>
      <c r="F51" s="249"/>
      <c r="G51" s="259">
        <v>1.6792443654401579E-2</v>
      </c>
      <c r="H51" s="259">
        <v>1.7279027271787095E-2</v>
      </c>
      <c r="I51" s="259">
        <v>1.7353984351328844E-2</v>
      </c>
      <c r="J51" s="259">
        <v>1.5685435411339821E-2</v>
      </c>
      <c r="K51" s="259">
        <v>1.1556653945709705E-2</v>
      </c>
      <c r="L51" s="259">
        <v>1.2919907587850998E-2</v>
      </c>
      <c r="M51" s="249"/>
      <c r="N51" s="249"/>
      <c r="O51" s="249"/>
      <c r="P51" s="249"/>
      <c r="Q51" s="249"/>
      <c r="R51" s="249"/>
      <c r="S51" s="249"/>
      <c r="T51" s="249"/>
      <c r="U51" s="249"/>
      <c r="V51" s="249"/>
      <c r="W51" s="249"/>
      <c r="X51" s="249">
        <v>24</v>
      </c>
      <c r="Y51" s="256">
        <v>25</v>
      </c>
      <c r="Z51" s="256">
        <v>26</v>
      </c>
      <c r="AA51" s="256">
        <v>27</v>
      </c>
      <c r="AB51" s="256">
        <v>28</v>
      </c>
      <c r="AC51" s="256">
        <v>29</v>
      </c>
      <c r="AD51" s="256">
        <v>30</v>
      </c>
      <c r="AE51" s="256">
        <v>31</v>
      </c>
      <c r="AF51" s="256">
        <v>32</v>
      </c>
      <c r="AG51" s="256">
        <v>33</v>
      </c>
      <c r="AH51" s="256">
        <v>34</v>
      </c>
    </row>
    <row r="52" spans="2:34">
      <c r="B52" s="257" t="s">
        <v>16</v>
      </c>
      <c r="C52" s="249"/>
      <c r="D52" s="249"/>
      <c r="E52" s="249"/>
      <c r="F52" s="249"/>
      <c r="G52" s="259">
        <v>1.687568017646246E-2</v>
      </c>
      <c r="H52" s="259">
        <v>1.7412359956631818E-2</v>
      </c>
      <c r="I52" s="259">
        <v>1.7531487880833696E-2</v>
      </c>
      <c r="J52" s="259">
        <v>1.5872491843422543E-2</v>
      </c>
      <c r="K52" s="259">
        <v>1.1701329157792983E-2</v>
      </c>
      <c r="L52" s="259">
        <v>1.305067526765602E-2</v>
      </c>
      <c r="M52" s="249"/>
      <c r="N52" s="249"/>
      <c r="O52" s="249"/>
      <c r="P52" s="249"/>
      <c r="Q52" s="249"/>
      <c r="R52" s="249"/>
      <c r="S52" s="249"/>
      <c r="T52" s="249"/>
      <c r="U52" s="249"/>
      <c r="V52" s="249"/>
      <c r="W52" s="249"/>
      <c r="X52" s="251" t="s">
        <v>1</v>
      </c>
      <c r="Y52" s="257" t="s">
        <v>8</v>
      </c>
      <c r="Z52" s="257" t="s">
        <v>9</v>
      </c>
      <c r="AA52" s="257" t="s">
        <v>10</v>
      </c>
      <c r="AB52" s="257" t="s">
        <v>58</v>
      </c>
      <c r="AC52" s="257" t="s">
        <v>325</v>
      </c>
      <c r="AD52" s="257" t="s">
        <v>384</v>
      </c>
      <c r="AE52" s="257" t="s">
        <v>409</v>
      </c>
      <c r="AF52" s="257" t="s">
        <v>436</v>
      </c>
      <c r="AG52" s="257" t="s">
        <v>445</v>
      </c>
      <c r="AH52" s="257" t="s">
        <v>545</v>
      </c>
    </row>
    <row r="53" spans="2:34">
      <c r="B53" s="257" t="s">
        <v>35</v>
      </c>
      <c r="C53" s="249"/>
      <c r="D53" s="249"/>
      <c r="E53" s="249"/>
      <c r="F53" s="249"/>
      <c r="G53" s="259">
        <v>1.6498762592805472E-2</v>
      </c>
      <c r="H53" s="259">
        <v>2.1792844435659209E-2</v>
      </c>
      <c r="I53" s="259">
        <v>1.9882643906697028E-2</v>
      </c>
      <c r="J53" s="259">
        <v>1.5639105082099203E-2</v>
      </c>
      <c r="K53" s="259">
        <v>1.0943609669724408E-2</v>
      </c>
      <c r="L53" s="259">
        <v>1.2719446728248762E-2</v>
      </c>
      <c r="M53" s="249"/>
      <c r="N53" s="249"/>
      <c r="O53" s="249"/>
      <c r="P53" s="249"/>
      <c r="Q53" s="249"/>
      <c r="R53" s="249"/>
      <c r="S53" s="249"/>
      <c r="T53" s="249"/>
      <c r="U53" s="249"/>
      <c r="V53" s="249"/>
      <c r="W53" s="249"/>
      <c r="X53" s="251" t="s">
        <v>11</v>
      </c>
      <c r="Y53" s="257">
        <v>11.8</v>
      </c>
      <c r="Z53" s="257">
        <v>11.9</v>
      </c>
      <c r="AA53" s="257">
        <v>12</v>
      </c>
      <c r="AB53" s="257">
        <v>12</v>
      </c>
      <c r="AC53" s="257">
        <v>12</v>
      </c>
      <c r="AD53" s="257">
        <v>12.1</v>
      </c>
      <c r="AE53" s="257">
        <v>12</v>
      </c>
      <c r="AF53" s="257">
        <v>12.1</v>
      </c>
      <c r="AG53" s="257">
        <v>12.1</v>
      </c>
      <c r="AH53" s="257">
        <v>12.2</v>
      </c>
    </row>
    <row r="54" spans="2:34">
      <c r="B54" s="257" t="s">
        <v>17</v>
      </c>
      <c r="C54" s="249"/>
      <c r="D54" s="249"/>
      <c r="E54" s="249"/>
      <c r="F54" s="249"/>
      <c r="G54" s="259">
        <v>-3.8385586545073291E-3</v>
      </c>
      <c r="H54" s="259">
        <v>1.1464911102154085E-2</v>
      </c>
      <c r="I54" s="259">
        <v>2.8343039348108778E-3</v>
      </c>
      <c r="J54" s="259">
        <v>2.626208854582579E-2</v>
      </c>
      <c r="K54" s="263">
        <v>6.7712045616534766E-3</v>
      </c>
      <c r="L54" s="263">
        <v>1.0294443214522886E-2</v>
      </c>
      <c r="M54" s="249"/>
      <c r="N54" s="249"/>
      <c r="O54" s="249"/>
      <c r="P54" s="249"/>
      <c r="Q54" s="249"/>
      <c r="R54" s="249"/>
      <c r="S54" s="249"/>
      <c r="T54" s="249"/>
      <c r="U54" s="249"/>
      <c r="V54" s="249"/>
      <c r="W54" s="249"/>
      <c r="X54" s="251" t="s">
        <v>12</v>
      </c>
      <c r="Y54" s="257">
        <v>11.8</v>
      </c>
      <c r="Z54" s="257">
        <v>11.9</v>
      </c>
      <c r="AA54" s="257">
        <v>12</v>
      </c>
      <c r="AB54" s="257">
        <v>11.9</v>
      </c>
      <c r="AC54" s="257">
        <v>12</v>
      </c>
      <c r="AD54" s="257">
        <v>12</v>
      </c>
      <c r="AE54" s="257">
        <v>12</v>
      </c>
      <c r="AF54" s="257">
        <v>12</v>
      </c>
      <c r="AG54" s="257">
        <v>12.1</v>
      </c>
      <c r="AH54" s="257">
        <v>12.1</v>
      </c>
    </row>
    <row r="55" spans="2:34">
      <c r="B55" s="257" t="s">
        <v>18</v>
      </c>
      <c r="C55" s="249"/>
      <c r="D55" s="249"/>
      <c r="E55" s="249"/>
      <c r="F55" s="249"/>
      <c r="G55" s="259">
        <v>7.0816636727926152E-3</v>
      </c>
      <c r="H55" s="259">
        <v>5.6166469294536281E-3</v>
      </c>
      <c r="I55" s="259">
        <v>-1.839624191058109E-2</v>
      </c>
      <c r="J55" s="259">
        <v>-1.923589811974924E-2</v>
      </c>
      <c r="K55" s="263">
        <v>1.7836929304016813E-2</v>
      </c>
      <c r="L55" s="262">
        <v>4.0644662023485045E-2</v>
      </c>
      <c r="M55" s="249"/>
      <c r="N55" s="249"/>
      <c r="O55" s="249"/>
      <c r="P55" s="249"/>
      <c r="Q55" s="249"/>
      <c r="R55" s="249"/>
      <c r="S55" s="249"/>
      <c r="T55" s="249"/>
      <c r="U55" s="249"/>
      <c r="V55" s="249"/>
      <c r="W55" s="249"/>
      <c r="X55" s="251" t="s">
        <v>13</v>
      </c>
      <c r="Y55" s="257">
        <v>11.8</v>
      </c>
      <c r="Z55" s="257">
        <v>11.9</v>
      </c>
      <c r="AA55" s="257">
        <v>12</v>
      </c>
      <c r="AB55" s="257">
        <v>12</v>
      </c>
      <c r="AC55" s="257">
        <v>12</v>
      </c>
      <c r="AD55" s="257">
        <v>12.1</v>
      </c>
      <c r="AE55" s="257">
        <v>12.1</v>
      </c>
      <c r="AF55" s="257">
        <v>12.2</v>
      </c>
      <c r="AG55" s="257">
        <v>12.3</v>
      </c>
      <c r="AH55" s="257">
        <v>12.4</v>
      </c>
    </row>
    <row r="56" spans="2:34">
      <c r="B56" s="257" t="s">
        <v>26</v>
      </c>
      <c r="C56" s="249"/>
      <c r="D56" s="249"/>
      <c r="E56" s="249"/>
      <c r="F56" s="249"/>
      <c r="G56" s="259">
        <v>-9.8586920801835287E-4</v>
      </c>
      <c r="H56" s="259">
        <v>9.2503987240828423E-3</v>
      </c>
      <c r="I56" s="259">
        <v>5.193342510324106E-3</v>
      </c>
      <c r="J56" s="259">
        <v>5.6161642243883758E-3</v>
      </c>
      <c r="K56" s="263">
        <v>5.7236842105263808E-3</v>
      </c>
      <c r="L56" s="263">
        <v>1.9469026548672552E-2</v>
      </c>
      <c r="M56" s="249"/>
      <c r="N56" s="249"/>
      <c r="O56" s="249"/>
      <c r="P56" s="249"/>
      <c r="Q56" s="249"/>
      <c r="R56" s="249"/>
      <c r="S56" s="249"/>
      <c r="T56" s="249"/>
      <c r="U56" s="249"/>
      <c r="V56" s="249"/>
      <c r="W56" s="249"/>
      <c r="X56" s="251" t="s">
        <v>14</v>
      </c>
      <c r="Y56" s="257">
        <v>12.9</v>
      </c>
      <c r="Z56" s="257">
        <v>13.1</v>
      </c>
      <c r="AA56" s="257">
        <v>13.2</v>
      </c>
      <c r="AB56" s="257">
        <v>13.2</v>
      </c>
      <c r="AC56" s="257">
        <v>13.1</v>
      </c>
      <c r="AD56" s="257">
        <v>13.3</v>
      </c>
      <c r="AE56" s="257">
        <v>13.3</v>
      </c>
      <c r="AF56" s="257">
        <v>13.5</v>
      </c>
      <c r="AG56" s="257">
        <v>13.5</v>
      </c>
      <c r="AH56" s="257">
        <v>13.7</v>
      </c>
    </row>
    <row r="57" spans="2:34">
      <c r="B57" s="257" t="s">
        <v>28</v>
      </c>
      <c r="C57" s="249"/>
      <c r="D57" s="249"/>
      <c r="E57" s="249"/>
      <c r="F57" s="249"/>
      <c r="G57" s="259">
        <v>-1.1594202898550732E-2</v>
      </c>
      <c r="H57" s="259">
        <v>1.5602836879432536E-2</v>
      </c>
      <c r="I57" s="259">
        <v>2.3761809332951689E-2</v>
      </c>
      <c r="J57" s="259">
        <v>1.613359750919896E-2</v>
      </c>
      <c r="K57" s="263">
        <v>4.5454545454545414E-2</v>
      </c>
      <c r="L57" s="263">
        <v>3.5474860335195535E-2</v>
      </c>
      <c r="M57" s="249"/>
      <c r="N57" s="249"/>
      <c r="O57" s="249"/>
      <c r="P57" s="249"/>
      <c r="Q57" s="249"/>
      <c r="R57" s="249"/>
      <c r="S57" s="249"/>
      <c r="T57" s="249"/>
      <c r="U57" s="249"/>
      <c r="V57" s="249"/>
      <c r="W57" s="249"/>
      <c r="X57" s="251" t="s">
        <v>15</v>
      </c>
      <c r="Y57" s="257">
        <v>13</v>
      </c>
      <c r="Z57" s="257">
        <v>13.2</v>
      </c>
      <c r="AA57" s="257">
        <v>13.3</v>
      </c>
      <c r="AB57" s="257">
        <v>13.3</v>
      </c>
      <c r="AC57" s="257">
        <v>13.3</v>
      </c>
      <c r="AD57" s="257">
        <v>13.4</v>
      </c>
      <c r="AE57" s="257">
        <v>13.4</v>
      </c>
      <c r="AF57" s="257">
        <v>13.6</v>
      </c>
      <c r="AG57" s="257">
        <v>13.7</v>
      </c>
      <c r="AH57" s="257">
        <v>13.8</v>
      </c>
    </row>
    <row r="58" spans="2:34">
      <c r="B58" s="257" t="s">
        <v>19</v>
      </c>
      <c r="C58" s="249"/>
      <c r="D58" s="249"/>
      <c r="E58" s="249"/>
      <c r="F58" s="249"/>
      <c r="G58" s="259">
        <v>1.4899748605064822E-2</v>
      </c>
      <c r="H58" s="259">
        <v>1.3164290343486762E-2</v>
      </c>
      <c r="I58" s="259">
        <v>1.614663325519361E-2</v>
      </c>
      <c r="J58" s="259">
        <v>2.1881617424624356E-2</v>
      </c>
      <c r="K58" s="263">
        <v>1.6976800386660162E-2</v>
      </c>
      <c r="L58" s="263">
        <v>1.3912765362011692E-2</v>
      </c>
      <c r="M58" s="249"/>
      <c r="N58" s="249"/>
      <c r="O58" s="249"/>
      <c r="P58" s="249"/>
      <c r="Q58" s="249"/>
      <c r="R58" s="249"/>
      <c r="S58" s="249"/>
      <c r="T58" s="249"/>
      <c r="U58" s="249"/>
      <c r="V58" s="249"/>
      <c r="W58" s="249"/>
      <c r="X58" s="251" t="s">
        <v>16</v>
      </c>
      <c r="Y58" s="257">
        <v>13.1</v>
      </c>
      <c r="Z58" s="257">
        <v>13.3</v>
      </c>
      <c r="AA58" s="257">
        <v>13.4</v>
      </c>
      <c r="AB58" s="257">
        <v>13.4</v>
      </c>
      <c r="AC58" s="257">
        <v>13.3</v>
      </c>
      <c r="AD58" s="257">
        <v>13.4</v>
      </c>
      <c r="AE58" s="257">
        <v>13.5</v>
      </c>
      <c r="AF58" s="257">
        <v>13.6</v>
      </c>
      <c r="AG58" s="257">
        <v>13.7</v>
      </c>
      <c r="AH58" s="257">
        <v>13.9</v>
      </c>
    </row>
    <row r="59" spans="2:34">
      <c r="B59" s="257" t="s">
        <v>20</v>
      </c>
      <c r="C59" s="249"/>
      <c r="D59" s="249"/>
      <c r="E59" s="249"/>
      <c r="F59" s="249"/>
      <c r="G59" s="259">
        <v>2.7686620648032845E-2</v>
      </c>
      <c r="H59" s="259">
        <v>3.2880709235775907E-2</v>
      </c>
      <c r="I59" s="259">
        <v>2.7359017308766109E-2</v>
      </c>
      <c r="J59" s="259">
        <v>1.5876540468524603E-2</v>
      </c>
      <c r="K59" s="263">
        <v>-1.0901082767480252E-2</v>
      </c>
      <c r="L59" s="263">
        <v>-1.1661596407359087E-2</v>
      </c>
      <c r="M59" s="249"/>
      <c r="N59" s="249"/>
      <c r="O59" s="249"/>
      <c r="P59" s="249"/>
      <c r="Q59" s="249"/>
      <c r="R59" s="249"/>
      <c r="S59" s="249"/>
      <c r="T59" s="249"/>
      <c r="U59" s="249"/>
      <c r="V59" s="249"/>
      <c r="W59" s="249"/>
      <c r="X59" s="251" t="s">
        <v>35</v>
      </c>
      <c r="Y59" s="257">
        <v>9.9</v>
      </c>
      <c r="Z59" s="257">
        <v>10.4</v>
      </c>
      <c r="AA59" s="257">
        <v>8.4</v>
      </c>
      <c r="AB59" s="257">
        <v>9.1999999999999993</v>
      </c>
      <c r="AC59" s="257">
        <v>8.8000000000000007</v>
      </c>
      <c r="AD59" s="257">
        <v>10.7</v>
      </c>
      <c r="AE59" s="257">
        <v>10.5</v>
      </c>
      <c r="AF59" s="257">
        <v>11.4</v>
      </c>
      <c r="AG59" s="257">
        <v>10.7</v>
      </c>
      <c r="AH59" s="257">
        <v>10.7</v>
      </c>
    </row>
    <row r="60" spans="2:34">
      <c r="B60" s="257" t="s">
        <v>21</v>
      </c>
      <c r="C60" s="249"/>
      <c r="D60" s="249"/>
      <c r="E60" s="249"/>
      <c r="F60" s="249"/>
      <c r="G60" s="259">
        <v>2.8518704915281301E-3</v>
      </c>
      <c r="H60" s="259">
        <v>1.7320261437908435E-2</v>
      </c>
      <c r="I60" s="259">
        <v>-1.8820180294164102E-2</v>
      </c>
      <c r="J60" s="259">
        <v>-5.8823529411765607E-3</v>
      </c>
      <c r="K60" s="263">
        <v>3.1281365005018547E-2</v>
      </c>
      <c r="L60" s="262">
        <v>-5.7822036620623907E-3</v>
      </c>
      <c r="M60" s="249"/>
      <c r="N60" s="249"/>
      <c r="O60" s="249"/>
      <c r="P60" s="249"/>
      <c r="Q60" s="249"/>
      <c r="R60" s="249"/>
      <c r="S60" s="249"/>
      <c r="T60" s="249"/>
      <c r="U60" s="249"/>
      <c r="V60" s="249"/>
      <c r="W60" s="249"/>
      <c r="X60" s="251" t="s">
        <v>17</v>
      </c>
      <c r="Y60" s="257">
        <v>7.9</v>
      </c>
      <c r="Z60" s="257">
        <v>8.1</v>
      </c>
      <c r="AA60" s="257">
        <v>8</v>
      </c>
      <c r="AB60" s="257">
        <v>8</v>
      </c>
      <c r="AC60" s="257">
        <v>7.9</v>
      </c>
      <c r="AD60" s="257">
        <v>7.9</v>
      </c>
      <c r="AE60" s="257">
        <v>8</v>
      </c>
      <c r="AF60" s="257">
        <v>7.9</v>
      </c>
      <c r="AG60" s="257">
        <v>8.1</v>
      </c>
      <c r="AH60" s="257">
        <v>8.3000000000000007</v>
      </c>
    </row>
    <row r="61" spans="2:34">
      <c r="B61" s="257" t="s">
        <v>41</v>
      </c>
      <c r="C61" s="249"/>
      <c r="D61" s="249"/>
      <c r="E61" s="249"/>
      <c r="F61" s="249"/>
      <c r="G61" s="259">
        <v>1.6781411359725329E-3</v>
      </c>
      <c r="H61" s="259">
        <v>4.7152096807845378E-3</v>
      </c>
      <c r="I61" s="259">
        <v>5.6804046770047023E-3</v>
      </c>
      <c r="J61" s="259">
        <v>7.4805505685218154E-3</v>
      </c>
      <c r="K61" s="263">
        <v>5.3266892907770647E-3</v>
      </c>
      <c r="L61" s="263">
        <v>6.5204751225182989E-3</v>
      </c>
      <c r="M61" s="249"/>
      <c r="N61" s="249"/>
      <c r="O61" s="249"/>
      <c r="P61" s="249"/>
      <c r="Q61" s="249"/>
      <c r="R61" s="249"/>
      <c r="S61" s="249"/>
      <c r="T61" s="249"/>
      <c r="U61" s="249"/>
      <c r="V61" s="249"/>
      <c r="W61" s="249"/>
      <c r="X61" s="251" t="s">
        <v>18</v>
      </c>
      <c r="Y61" s="257">
        <v>8</v>
      </c>
      <c r="Z61" s="257">
        <v>7.8</v>
      </c>
      <c r="AA61" s="257">
        <v>7.5</v>
      </c>
      <c r="AB61" s="257">
        <v>7.5</v>
      </c>
      <c r="AC61" s="257">
        <v>7.7</v>
      </c>
      <c r="AD61" s="257">
        <v>7.9</v>
      </c>
      <c r="AE61" s="257">
        <v>7.5</v>
      </c>
      <c r="AF61" s="257">
        <v>8.1999999999999993</v>
      </c>
      <c r="AG61" s="257">
        <v>8.1999999999999993</v>
      </c>
      <c r="AH61" s="257">
        <v>8.5</v>
      </c>
    </row>
    <row r="62" spans="2:34">
      <c r="B62" s="257" t="s">
        <v>25</v>
      </c>
      <c r="C62" s="249"/>
      <c r="D62" s="249"/>
      <c r="E62" s="249"/>
      <c r="F62" s="249"/>
      <c r="G62" s="259">
        <v>5.7712871707567004E-3</v>
      </c>
      <c r="H62" s="259">
        <v>5.770141998991285E-3</v>
      </c>
      <c r="I62" s="259">
        <v>3.713769837498937E-3</v>
      </c>
      <c r="J62" s="259">
        <v>3.8975671822543134E-3</v>
      </c>
      <c r="K62" s="263">
        <v>3.7230939294377041E-3</v>
      </c>
      <c r="L62" s="263">
        <v>1.1884408173190142E-2</v>
      </c>
      <c r="M62" s="249"/>
      <c r="N62" s="249"/>
      <c r="O62" s="249"/>
      <c r="P62" s="249"/>
      <c r="Q62" s="249"/>
      <c r="R62" s="249"/>
      <c r="S62" s="249"/>
      <c r="T62" s="249"/>
      <c r="U62" s="249"/>
      <c r="V62" s="249"/>
      <c r="W62" s="249"/>
      <c r="X62" s="251" t="s">
        <v>26</v>
      </c>
      <c r="Y62" s="257">
        <v>4.0999999999999996</v>
      </c>
      <c r="Z62" s="257">
        <v>3.8</v>
      </c>
      <c r="AA62" s="257">
        <v>4</v>
      </c>
      <c r="AB62" s="257">
        <v>3.6</v>
      </c>
      <c r="AC62" s="257">
        <v>3.7</v>
      </c>
      <c r="AD62" s="257">
        <v>3.6</v>
      </c>
      <c r="AE62" s="257">
        <v>3.6</v>
      </c>
      <c r="AF62" s="257">
        <v>3.6</v>
      </c>
      <c r="AG62" s="257">
        <v>3.9</v>
      </c>
      <c r="AH62" s="257">
        <v>4.0999999999999996</v>
      </c>
    </row>
    <row r="63" spans="2:34">
      <c r="B63" s="257" t="s">
        <v>49</v>
      </c>
      <c r="C63" s="249"/>
      <c r="D63" s="249"/>
      <c r="E63" s="249"/>
      <c r="F63" s="249"/>
      <c r="G63" s="259">
        <v>2.537793370557373E-2</v>
      </c>
      <c r="H63" s="259">
        <v>2.3004858806972894E-2</v>
      </c>
      <c r="I63" s="259">
        <v>2.9422037082831087E-2</v>
      </c>
      <c r="J63" s="259">
        <v>2.32003797711271E-2</v>
      </c>
      <c r="K63" s="263">
        <v>5.9313436948165155E-3</v>
      </c>
      <c r="L63" s="263">
        <v>8.3543782665667088E-3</v>
      </c>
      <c r="M63" s="249"/>
      <c r="N63" s="249"/>
      <c r="O63" s="249"/>
      <c r="P63" s="249"/>
      <c r="Q63" s="249"/>
      <c r="R63" s="249"/>
      <c r="S63" s="249"/>
      <c r="T63" s="249"/>
      <c r="U63" s="249"/>
      <c r="V63" s="249"/>
      <c r="W63" s="249"/>
      <c r="X63" s="251" t="s">
        <v>28</v>
      </c>
      <c r="Y63" s="257">
        <v>16.2</v>
      </c>
      <c r="Z63" s="257">
        <v>16.5</v>
      </c>
      <c r="AA63" s="257">
        <v>17.8</v>
      </c>
      <c r="AB63" s="257">
        <v>18.3</v>
      </c>
      <c r="AC63" s="257">
        <v>18.600000000000001</v>
      </c>
      <c r="AD63" s="257">
        <v>19.7</v>
      </c>
      <c r="AE63" s="257">
        <v>19.7</v>
      </c>
      <c r="AF63" s="257">
        <v>18.5</v>
      </c>
      <c r="AG63" s="257">
        <v>18</v>
      </c>
      <c r="AH63" s="257">
        <v>18.3</v>
      </c>
    </row>
    <row r="64" spans="2:34">
      <c r="B64" s="257" t="s">
        <v>23</v>
      </c>
      <c r="C64" s="249"/>
      <c r="D64" s="249"/>
      <c r="E64" s="249"/>
      <c r="F64" s="249"/>
      <c r="G64" s="259">
        <v>2.8411399384758118E-2</v>
      </c>
      <c r="H64" s="259">
        <v>2.0959595959595845E-2</v>
      </c>
      <c r="I64" s="259">
        <v>1.8717763851145319E-2</v>
      </c>
      <c r="J64" s="259">
        <v>2.5727788808411756E-3</v>
      </c>
      <c r="K64" s="263">
        <v>1.3742698309676449E-2</v>
      </c>
      <c r="L64" s="263">
        <v>2.2700414983373385E-2</v>
      </c>
      <c r="M64" s="249"/>
      <c r="N64" s="249"/>
      <c r="O64" s="249"/>
      <c r="P64" s="249"/>
      <c r="Q64" s="249"/>
      <c r="R64" s="249"/>
      <c r="S64" s="249"/>
      <c r="T64" s="249"/>
      <c r="U64" s="249"/>
      <c r="V64" s="249"/>
      <c r="W64" s="249"/>
      <c r="X64" s="251" t="s">
        <v>19</v>
      </c>
      <c r="Y64" s="257">
        <v>15.5</v>
      </c>
      <c r="Z64" s="257">
        <v>16.2</v>
      </c>
      <c r="AA64" s="257">
        <v>15.7</v>
      </c>
      <c r="AB64" s="257">
        <v>16</v>
      </c>
      <c r="AC64" s="257">
        <v>14.6</v>
      </c>
      <c r="AD64" s="257">
        <v>15.6</v>
      </c>
      <c r="AE64" s="257">
        <v>14.4</v>
      </c>
      <c r="AF64" s="257">
        <v>12.9</v>
      </c>
      <c r="AG64" s="257">
        <v>12.7</v>
      </c>
      <c r="AH64" s="257">
        <v>13.9</v>
      </c>
    </row>
    <row r="65" spans="2:34">
      <c r="B65" s="257" t="s">
        <v>32</v>
      </c>
      <c r="C65" s="249"/>
      <c r="D65" s="249"/>
      <c r="E65" s="249"/>
      <c r="F65" s="249"/>
      <c r="G65" s="259">
        <v>3.3794200416003894E-2</v>
      </c>
      <c r="H65" s="259">
        <v>3.2947782683816484E-2</v>
      </c>
      <c r="I65" s="259">
        <v>2.7813911686100035E-2</v>
      </c>
      <c r="J65" s="259">
        <v>3.3496790088361372E-2</v>
      </c>
      <c r="K65" s="263">
        <v>2.3197462481655107E-2</v>
      </c>
      <c r="L65" s="263">
        <v>1.5425717272621542E-2</v>
      </c>
      <c r="M65" s="249"/>
      <c r="N65" s="249"/>
      <c r="O65" s="249"/>
      <c r="P65" s="249"/>
      <c r="Q65" s="249"/>
      <c r="R65" s="249"/>
      <c r="S65" s="249"/>
      <c r="T65" s="249"/>
      <c r="U65" s="249"/>
      <c r="V65" s="249"/>
      <c r="W65" s="249"/>
      <c r="X65" s="251" t="s">
        <v>20</v>
      </c>
      <c r="Y65" s="257">
        <v>8.3000000000000007</v>
      </c>
      <c r="Z65" s="257">
        <v>8.5</v>
      </c>
      <c r="AA65" s="257">
        <v>8.3000000000000007</v>
      </c>
      <c r="AB65" s="257">
        <v>8.1999999999999993</v>
      </c>
      <c r="AC65" s="257">
        <v>8.1</v>
      </c>
      <c r="AD65" s="257">
        <v>8.1</v>
      </c>
      <c r="AE65" s="257">
        <v>8.1</v>
      </c>
      <c r="AF65" s="257">
        <v>8.1</v>
      </c>
      <c r="AG65" s="257">
        <v>8.1999999999999993</v>
      </c>
      <c r="AH65" s="257">
        <v>8</v>
      </c>
    </row>
    <row r="66" spans="2:34">
      <c r="B66" s="257" t="s">
        <v>44</v>
      </c>
      <c r="C66" s="249"/>
      <c r="D66" s="249"/>
      <c r="E66" s="249"/>
      <c r="F66" s="249"/>
      <c r="G66" s="259">
        <v>2.2941176470588243E-2</v>
      </c>
      <c r="H66" s="259">
        <v>2.5466893039049143E-2</v>
      </c>
      <c r="I66" s="259">
        <v>4.2613636363636465E-2</v>
      </c>
      <c r="J66" s="259">
        <v>4.3427909669947917E-2</v>
      </c>
      <c r="K66" s="263">
        <v>3.392754456584246E-2</v>
      </c>
      <c r="L66" s="263">
        <v>2.5938189845474691E-2</v>
      </c>
      <c r="M66" s="249"/>
      <c r="N66" s="249"/>
      <c r="O66" s="249"/>
      <c r="P66" s="249"/>
      <c r="Q66" s="249"/>
      <c r="R66" s="249"/>
      <c r="S66" s="249"/>
      <c r="T66" s="249"/>
      <c r="U66" s="249"/>
      <c r="V66" s="249"/>
      <c r="W66" s="249"/>
      <c r="X66" s="251" t="s">
        <v>21</v>
      </c>
      <c r="Y66" s="257">
        <v>7.4</v>
      </c>
      <c r="Z66" s="257">
        <v>8.3000000000000007</v>
      </c>
      <c r="AA66" s="257">
        <v>8.4</v>
      </c>
      <c r="AB66" s="257">
        <v>7.7</v>
      </c>
      <c r="AC66" s="257">
        <v>13.1</v>
      </c>
      <c r="AD66" s="257">
        <v>12.6</v>
      </c>
      <c r="AE66" s="257">
        <v>11.9</v>
      </c>
      <c r="AF66" s="257">
        <v>12.1</v>
      </c>
      <c r="AG66" s="257">
        <v>12.8</v>
      </c>
      <c r="AH66" s="257">
        <v>12</v>
      </c>
    </row>
    <row r="67" spans="2:34">
      <c r="B67" s="257" t="s">
        <v>22</v>
      </c>
      <c r="C67" s="249"/>
      <c r="D67" s="249"/>
      <c r="E67" s="249"/>
      <c r="F67" s="249"/>
      <c r="G67" s="259">
        <v>2.2794156990743275E-2</v>
      </c>
      <c r="H67" s="259">
        <v>2.8358681875792158E-2</v>
      </c>
      <c r="I67" s="259">
        <v>3.0533952711519374E-2</v>
      </c>
      <c r="J67" s="259">
        <v>3.1834523003178239E-2</v>
      </c>
      <c r="K67" s="263">
        <v>3.5678786293486864E-2</v>
      </c>
      <c r="L67" s="263">
        <v>2.4700867868330478E-2</v>
      </c>
      <c r="M67" s="249"/>
      <c r="N67" s="249"/>
      <c r="O67" s="249"/>
      <c r="P67" s="249"/>
      <c r="Q67" s="249"/>
      <c r="R67" s="249"/>
      <c r="S67" s="249"/>
      <c r="T67" s="249"/>
      <c r="U67" s="249"/>
      <c r="V67" s="249"/>
      <c r="W67" s="249"/>
      <c r="X67" s="251" t="s">
        <v>41</v>
      </c>
      <c r="Y67" s="257">
        <v>2.4</v>
      </c>
      <c r="Z67" s="257">
        <v>3.4</v>
      </c>
      <c r="AA67" s="257">
        <v>3.4</v>
      </c>
      <c r="AB67" s="257">
        <v>3.2</v>
      </c>
      <c r="AC67" s="257">
        <v>3</v>
      </c>
      <c r="AD67" s="257">
        <v>3.6</v>
      </c>
      <c r="AE67" s="257">
        <v>4.3</v>
      </c>
      <c r="AF67" s="257">
        <v>2.6</v>
      </c>
      <c r="AG67" s="257">
        <v>2.6</v>
      </c>
      <c r="AH67" s="257">
        <v>2.9</v>
      </c>
    </row>
    <row r="68" spans="2:34">
      <c r="B68" s="257" t="s">
        <v>27</v>
      </c>
      <c r="C68" s="249"/>
      <c r="D68" s="249"/>
      <c r="E68" s="249"/>
      <c r="F68" s="249"/>
      <c r="G68" s="259">
        <v>1.051175019026318E-2</v>
      </c>
      <c r="H68" s="259">
        <v>2.0181758637628944E-2</v>
      </c>
      <c r="I68" s="259">
        <v>9.8298625535067075E-3</v>
      </c>
      <c r="J68" s="259">
        <v>8.3703233988585701E-3</v>
      </c>
      <c r="K68" s="263">
        <v>1.2465538332329107E-2</v>
      </c>
      <c r="L68" s="263">
        <v>3.7407095310066918E-3</v>
      </c>
      <c r="M68" s="249"/>
      <c r="N68" s="249"/>
      <c r="O68" s="249"/>
      <c r="P68" s="249"/>
      <c r="Q68" s="249"/>
      <c r="R68" s="249"/>
      <c r="S68" s="249"/>
      <c r="T68" s="249"/>
      <c r="U68" s="249"/>
      <c r="V68" s="249"/>
      <c r="W68" s="249"/>
      <c r="X68" s="251" t="s">
        <v>25</v>
      </c>
      <c r="Y68" s="257">
        <v>13.4</v>
      </c>
      <c r="Z68" s="257">
        <v>13.3</v>
      </c>
      <c r="AA68" s="257">
        <v>13.1</v>
      </c>
      <c r="AB68" s="257">
        <v>12.9</v>
      </c>
      <c r="AC68" s="257">
        <v>13.2</v>
      </c>
      <c r="AD68" s="257">
        <v>13.5</v>
      </c>
      <c r="AE68" s="257">
        <v>13.8</v>
      </c>
      <c r="AF68" s="257">
        <v>13.8</v>
      </c>
      <c r="AG68" s="257">
        <v>13.9</v>
      </c>
      <c r="AH68" s="257">
        <v>14.2</v>
      </c>
    </row>
    <row r="69" spans="2:34">
      <c r="B69" s="257" t="s">
        <v>29</v>
      </c>
      <c r="C69" s="249"/>
      <c r="D69" s="249"/>
      <c r="E69" s="249"/>
      <c r="F69" s="249"/>
      <c r="G69" s="259">
        <v>3.4993584509506181E-3</v>
      </c>
      <c r="H69" s="259">
        <v>-3.9044556729443958E-3</v>
      </c>
      <c r="I69" s="259">
        <v>-1.1001604400641796E-2</v>
      </c>
      <c r="J69" s="259">
        <v>-1.4234875444839812E-2</v>
      </c>
      <c r="K69" s="263">
        <v>-1.1740090666046643E-2</v>
      </c>
      <c r="L69" s="262">
        <v>-8.3006686649756967E-3</v>
      </c>
      <c r="M69" s="249"/>
      <c r="N69" s="249"/>
      <c r="O69" s="249"/>
      <c r="P69" s="249"/>
      <c r="Q69" s="249"/>
      <c r="R69" s="249"/>
      <c r="S69" s="249"/>
      <c r="T69" s="249"/>
      <c r="U69" s="249"/>
      <c r="V69" s="249"/>
      <c r="W69" s="249"/>
      <c r="X69" s="251" t="s">
        <v>49</v>
      </c>
      <c r="Y69" s="257">
        <v>13.7</v>
      </c>
      <c r="Z69" s="257">
        <v>14.2</v>
      </c>
      <c r="AA69" s="257">
        <v>14.1</v>
      </c>
      <c r="AB69" s="257">
        <v>14.2</v>
      </c>
      <c r="AC69" s="257">
        <v>14</v>
      </c>
      <c r="AD69" s="257">
        <v>14.2</v>
      </c>
      <c r="AE69" s="257">
        <v>14.1</v>
      </c>
      <c r="AF69" s="257">
        <v>14.3</v>
      </c>
      <c r="AG69" s="257">
        <v>14.7</v>
      </c>
      <c r="AH69" s="257">
        <v>14.7</v>
      </c>
    </row>
    <row r="70" spans="2:34">
      <c r="B70" s="257" t="s">
        <v>30</v>
      </c>
      <c r="C70" s="249"/>
      <c r="D70" s="249"/>
      <c r="E70" s="249"/>
      <c r="F70" s="249"/>
      <c r="G70" s="259">
        <v>1.6953106773466065E-2</v>
      </c>
      <c r="H70" s="259">
        <v>1.8247613181398226E-2</v>
      </c>
      <c r="I70" s="259">
        <v>1.07412203854651E-2</v>
      </c>
      <c r="J70" s="259">
        <v>6.820968730840038E-3</v>
      </c>
      <c r="K70" s="263">
        <v>-1.0094058270245454E-2</v>
      </c>
      <c r="L70" s="263">
        <v>-8.2419659735349926E-3</v>
      </c>
      <c r="M70" s="249"/>
      <c r="N70" s="249"/>
      <c r="O70" s="249"/>
      <c r="P70" s="249"/>
      <c r="Q70" s="249"/>
      <c r="R70" s="249"/>
      <c r="S70" s="249"/>
      <c r="T70" s="249"/>
      <c r="U70" s="249"/>
      <c r="V70" s="249"/>
      <c r="W70" s="249"/>
      <c r="X70" s="251" t="s">
        <v>23</v>
      </c>
      <c r="Y70" s="257">
        <v>11.8</v>
      </c>
      <c r="Z70" s="257">
        <v>11.7</v>
      </c>
      <c r="AA70" s="257">
        <v>11.8</v>
      </c>
      <c r="AB70" s="257">
        <v>11.8</v>
      </c>
      <c r="AC70" s="257">
        <v>11.9</v>
      </c>
      <c r="AD70" s="257">
        <v>11.9</v>
      </c>
      <c r="AE70" s="257">
        <v>11.9</v>
      </c>
      <c r="AF70" s="257">
        <v>12</v>
      </c>
      <c r="AG70" s="257">
        <v>11.8</v>
      </c>
      <c r="AH70" s="257">
        <v>11.7</v>
      </c>
    </row>
    <row r="71" spans="2:34">
      <c r="B71" s="257" t="s">
        <v>31</v>
      </c>
      <c r="C71" s="249"/>
      <c r="D71" s="249"/>
      <c r="E71" s="249"/>
      <c r="F71" s="249"/>
      <c r="G71" s="259">
        <v>1.3709361535448439E-2</v>
      </c>
      <c r="H71" s="259">
        <v>-3.4762456546928444E-3</v>
      </c>
      <c r="I71" s="259">
        <v>2.1377672209026199E-2</v>
      </c>
      <c r="J71" s="259">
        <v>3.5855003940110208E-2</v>
      </c>
      <c r="K71" s="263">
        <v>3.9026275115919606E-2</v>
      </c>
      <c r="L71" s="263">
        <v>3.953488372093017E-2</v>
      </c>
      <c r="M71" s="249"/>
      <c r="N71" s="249"/>
      <c r="O71" s="249"/>
      <c r="P71" s="249"/>
      <c r="Q71" s="249"/>
      <c r="R71" s="249"/>
      <c r="S71" s="249"/>
      <c r="T71" s="249"/>
      <c r="U71" s="249"/>
      <c r="V71" s="249"/>
      <c r="W71" s="249"/>
      <c r="X71" s="251" t="s">
        <v>32</v>
      </c>
      <c r="Y71" s="257">
        <v>7.7</v>
      </c>
      <c r="Z71" s="257">
        <v>7.8</v>
      </c>
      <c r="AA71" s="257">
        <v>7.9</v>
      </c>
      <c r="AB71" s="257">
        <v>8</v>
      </c>
      <c r="AC71" s="257">
        <v>7.8</v>
      </c>
      <c r="AD71" s="257">
        <v>7.7</v>
      </c>
      <c r="AE71" s="257">
        <v>7.5</v>
      </c>
      <c r="AF71" s="257">
        <v>6.8</v>
      </c>
      <c r="AG71" s="257">
        <v>7</v>
      </c>
      <c r="AH71" s="257">
        <v>8.1</v>
      </c>
    </row>
    <row r="72" spans="2:34">
      <c r="B72" s="257" t="s">
        <v>56</v>
      </c>
      <c r="C72" s="249"/>
      <c r="D72" s="249"/>
      <c r="E72" s="249"/>
      <c r="F72" s="249"/>
      <c r="G72" s="259">
        <v>2.4113887274840318E-2</v>
      </c>
      <c r="H72" s="259">
        <v>2.1010217297452893E-2</v>
      </c>
      <c r="I72" s="259">
        <v>2.3952095808383422E-2</v>
      </c>
      <c r="J72" s="259">
        <v>2.7272727272727337E-2</v>
      </c>
      <c r="K72" s="263">
        <v>3.3475177304964632E-2</v>
      </c>
      <c r="L72" s="263">
        <v>3.3262861169838009E-2</v>
      </c>
      <c r="M72" s="249"/>
      <c r="N72" s="249"/>
      <c r="O72" s="249"/>
      <c r="P72" s="249"/>
      <c r="Q72" s="249"/>
      <c r="R72" s="249"/>
      <c r="S72" s="249"/>
      <c r="T72" s="249"/>
      <c r="U72" s="249"/>
      <c r="V72" s="249"/>
      <c r="W72" s="249"/>
      <c r="X72" s="251" t="s">
        <v>44</v>
      </c>
      <c r="Y72" s="257">
        <v>9.9</v>
      </c>
      <c r="Z72" s="257">
        <v>10</v>
      </c>
      <c r="AA72" s="257">
        <v>10.199999999999999</v>
      </c>
      <c r="AB72" s="257">
        <v>10.4</v>
      </c>
      <c r="AC72" s="257">
        <v>9.4</v>
      </c>
      <c r="AD72" s="257">
        <v>8.9</v>
      </c>
      <c r="AE72" s="257">
        <v>8.6</v>
      </c>
      <c r="AF72" s="257">
        <v>8.1</v>
      </c>
      <c r="AG72" s="257">
        <v>8.6999999999999993</v>
      </c>
      <c r="AH72" s="257">
        <v>8.1999999999999993</v>
      </c>
    </row>
    <row r="73" spans="2:34">
      <c r="B73" s="257" t="s">
        <v>33</v>
      </c>
      <c r="C73" s="249"/>
      <c r="D73" s="249"/>
      <c r="E73" s="249"/>
      <c r="F73" s="249"/>
      <c r="G73" s="259">
        <v>2.9164329781267373E-2</v>
      </c>
      <c r="H73" s="259">
        <v>3.8968166849616015E-2</v>
      </c>
      <c r="I73" s="259">
        <v>2.9569892473118253E-2</v>
      </c>
      <c r="J73" s="259">
        <v>4.5529347229840811E-2</v>
      </c>
      <c r="K73" s="263">
        <v>3.5422343324250649E-2</v>
      </c>
      <c r="L73" s="263">
        <v>2.165874273639723E-2</v>
      </c>
      <c r="M73" s="249"/>
      <c r="N73" s="249"/>
      <c r="O73" s="249"/>
      <c r="P73" s="249"/>
      <c r="Q73" s="249"/>
      <c r="R73" s="249"/>
      <c r="S73" s="249"/>
      <c r="T73" s="249"/>
      <c r="U73" s="249"/>
      <c r="V73" s="249"/>
      <c r="W73" s="249"/>
      <c r="X73" s="251" t="s">
        <v>22</v>
      </c>
      <c r="Y73" s="257">
        <v>11.2</v>
      </c>
      <c r="Z73" s="257">
        <v>11.8</v>
      </c>
      <c r="AA73" s="257">
        <v>11.6</v>
      </c>
      <c r="AB73" s="257">
        <v>11</v>
      </c>
      <c r="AC73" s="257">
        <v>10.4</v>
      </c>
      <c r="AD73" s="257">
        <v>10.6</v>
      </c>
      <c r="AE73" s="257">
        <v>10.3</v>
      </c>
      <c r="AF73" s="257">
        <v>10.4</v>
      </c>
      <c r="AG73" s="257">
        <v>10</v>
      </c>
      <c r="AH73" s="257">
        <v>10</v>
      </c>
    </row>
    <row r="74" spans="2:34">
      <c r="B74" s="257" t="s">
        <v>34</v>
      </c>
      <c r="C74" s="249"/>
      <c r="D74" s="249"/>
      <c r="E74" s="249"/>
      <c r="F74" s="249"/>
      <c r="G74" s="259">
        <v>7.2504252175749073E-3</v>
      </c>
      <c r="H74" s="259">
        <v>1.1366435150977905E-2</v>
      </c>
      <c r="I74" s="259">
        <v>1.5429713851172977E-2</v>
      </c>
      <c r="J74" s="259">
        <v>1.9093636274220449E-2</v>
      </c>
      <c r="K74" s="263">
        <v>2.0892137407402922E-2</v>
      </c>
      <c r="L74" s="263">
        <v>1.7935636270653976E-2</v>
      </c>
      <c r="M74" s="249"/>
      <c r="N74" s="249"/>
      <c r="O74" s="249"/>
      <c r="P74" s="249"/>
      <c r="Q74" s="249"/>
      <c r="R74" s="249"/>
      <c r="S74" s="249"/>
      <c r="T74" s="249"/>
      <c r="U74" s="249"/>
      <c r="V74" s="249"/>
      <c r="W74" s="249"/>
      <c r="X74" s="251" t="s">
        <v>27</v>
      </c>
      <c r="Y74" s="257">
        <v>7.4</v>
      </c>
      <c r="Z74" s="257">
        <v>7.3</v>
      </c>
      <c r="AA74" s="257">
        <v>7.4</v>
      </c>
      <c r="AB74" s="257">
        <v>6.9</v>
      </c>
      <c r="AC74" s="257">
        <v>6.9</v>
      </c>
      <c r="AD74" s="257">
        <v>7</v>
      </c>
      <c r="AE74" s="257">
        <v>6.9</v>
      </c>
      <c r="AF74" s="257">
        <v>6.7</v>
      </c>
      <c r="AG74" s="257">
        <v>6.4</v>
      </c>
      <c r="AH74" s="257">
        <v>5.9</v>
      </c>
    </row>
    <row r="75" spans="2:34">
      <c r="B75" s="257" t="s">
        <v>45</v>
      </c>
      <c r="C75" s="249"/>
      <c r="D75" s="249"/>
      <c r="E75" s="249"/>
      <c r="F75" s="249"/>
      <c r="G75" s="259">
        <v>5.8257044346687881E-3</v>
      </c>
      <c r="H75" s="259">
        <v>-4.6977763858440102E-3</v>
      </c>
      <c r="I75" s="259">
        <v>3.9057922899665698E-4</v>
      </c>
      <c r="J75" s="259">
        <v>-1.2598425196849172E-3</v>
      </c>
      <c r="K75" s="263">
        <v>-3.7037037037037646E-3</v>
      </c>
      <c r="L75" s="263">
        <v>4.798615481434787E-3</v>
      </c>
      <c r="M75" s="249"/>
      <c r="N75" s="249"/>
      <c r="O75" s="249"/>
      <c r="P75" s="249"/>
      <c r="Q75" s="249"/>
      <c r="R75" s="249"/>
      <c r="S75" s="249"/>
      <c r="T75" s="249"/>
      <c r="U75" s="249"/>
      <c r="V75" s="249"/>
      <c r="W75" s="249"/>
      <c r="X75" s="251" t="s">
        <v>29</v>
      </c>
      <c r="Y75" s="257">
        <v>10.5</v>
      </c>
      <c r="Z75" s="257">
        <v>10.7</v>
      </c>
      <c r="AA75" s="257">
        <v>11.1</v>
      </c>
      <c r="AB75" s="257">
        <v>10.8</v>
      </c>
      <c r="AC75" s="257">
        <v>10.4</v>
      </c>
      <c r="AD75" s="257">
        <v>10.8</v>
      </c>
      <c r="AE75" s="257">
        <v>11</v>
      </c>
      <c r="AF75" s="257">
        <v>11.1</v>
      </c>
      <c r="AG75" s="257">
        <v>11.4</v>
      </c>
      <c r="AH75" s="257">
        <v>11.9</v>
      </c>
    </row>
    <row r="76" spans="2:34">
      <c r="B76" s="257" t="s">
        <v>36</v>
      </c>
      <c r="C76" s="249"/>
      <c r="D76" s="249"/>
      <c r="E76" s="249"/>
      <c r="F76" s="249"/>
      <c r="G76" s="259">
        <v>1.0749302869479171E-2</v>
      </c>
      <c r="H76" s="259">
        <v>1.1603570133530194E-2</v>
      </c>
      <c r="I76" s="259">
        <v>-1.1276499774470761E-4</v>
      </c>
      <c r="J76" s="259">
        <v>8.3121363440352702E-4</v>
      </c>
      <c r="K76" s="263">
        <v>1.3915110831410393E-2</v>
      </c>
      <c r="L76" s="263">
        <v>1.6136639478797843E-2</v>
      </c>
      <c r="M76" s="249"/>
      <c r="N76" s="249"/>
      <c r="O76" s="249"/>
      <c r="P76" s="249"/>
      <c r="Q76" s="249"/>
      <c r="R76" s="249"/>
      <c r="S76" s="249"/>
      <c r="T76" s="249"/>
      <c r="U76" s="249"/>
      <c r="V76" s="249"/>
      <c r="W76" s="249"/>
      <c r="X76" s="251" t="s">
        <v>30</v>
      </c>
      <c r="Y76" s="257">
        <v>2.7</v>
      </c>
      <c r="Z76" s="257">
        <v>3.2</v>
      </c>
      <c r="AA76" s="257">
        <v>3.3</v>
      </c>
      <c r="AB76" s="257">
        <v>3.9</v>
      </c>
      <c r="AC76" s="257">
        <v>3.7</v>
      </c>
      <c r="AD76" s="257">
        <v>3.3</v>
      </c>
      <c r="AE76" s="257">
        <v>3.1</v>
      </c>
      <c r="AF76" s="257">
        <v>2.8</v>
      </c>
      <c r="AG76" s="257">
        <v>2.6</v>
      </c>
      <c r="AH76" s="257">
        <v>2.6</v>
      </c>
    </row>
    <row r="77" spans="2:34">
      <c r="B77" s="257" t="s">
        <v>37</v>
      </c>
      <c r="C77" s="249"/>
      <c r="D77" s="249"/>
      <c r="E77" s="249"/>
      <c r="F77" s="249"/>
      <c r="G77" s="259">
        <v>1.2269794168904058E-2</v>
      </c>
      <c r="H77" s="259">
        <v>7.8191673394072403E-3</v>
      </c>
      <c r="I77" s="259">
        <v>1.8658609714470087E-2</v>
      </c>
      <c r="J77" s="259">
        <v>1.8940884988538187E-2</v>
      </c>
      <c r="K77" s="263">
        <v>2.9918805108996471E-2</v>
      </c>
      <c r="L77" s="263">
        <v>3.0530507621183922E-2</v>
      </c>
      <c r="M77" s="249"/>
      <c r="N77" s="249"/>
      <c r="O77" s="249"/>
      <c r="P77" s="249"/>
      <c r="Q77" s="249"/>
      <c r="R77" s="249"/>
      <c r="S77" s="249"/>
      <c r="T77" s="249"/>
      <c r="U77" s="249"/>
      <c r="V77" s="249"/>
      <c r="W77" s="249"/>
      <c r="X77" s="251" t="s">
        <v>31</v>
      </c>
      <c r="Y77" s="257">
        <v>1.9</v>
      </c>
      <c r="Z77" s="257">
        <v>1.7</v>
      </c>
      <c r="AA77" s="257">
        <v>1.7</v>
      </c>
      <c r="AB77" s="257">
        <v>2.1</v>
      </c>
      <c r="AC77" s="257">
        <v>1.8</v>
      </c>
      <c r="AD77" s="257">
        <v>2</v>
      </c>
      <c r="AE77" s="257">
        <v>1.6</v>
      </c>
      <c r="AF77" s="257">
        <v>1.4</v>
      </c>
      <c r="AG77" s="257">
        <v>1.7</v>
      </c>
      <c r="AH77" s="257">
        <v>1.5</v>
      </c>
    </row>
    <row r="78" spans="2:34">
      <c r="B78" s="257" t="s">
        <v>38</v>
      </c>
      <c r="C78" s="249"/>
      <c r="D78" s="249"/>
      <c r="E78" s="249"/>
      <c r="F78" s="249"/>
      <c r="G78" s="259">
        <v>1.0437494498307665E-3</v>
      </c>
      <c r="H78" s="259">
        <v>-1.3315100043184147E-2</v>
      </c>
      <c r="I78" s="259">
        <v>-1.281580537032001E-2</v>
      </c>
      <c r="J78" s="259">
        <v>-7.7972709551656916E-3</v>
      </c>
      <c r="K78" s="263">
        <v>1.1984322395859559E-2</v>
      </c>
      <c r="L78" s="262">
        <v>4.7426264984073763E-2</v>
      </c>
      <c r="M78" s="249"/>
      <c r="N78" s="249"/>
      <c r="O78" s="249"/>
      <c r="P78" s="249"/>
      <c r="Q78" s="249"/>
      <c r="R78" s="249"/>
      <c r="S78" s="249"/>
      <c r="T78" s="249"/>
      <c r="U78" s="249"/>
      <c r="V78" s="249"/>
      <c r="W78" s="249"/>
      <c r="X78" s="251" t="s">
        <v>56</v>
      </c>
      <c r="Y78" s="257">
        <v>7.9</v>
      </c>
      <c r="Z78" s="257">
        <v>9</v>
      </c>
      <c r="AA78" s="257">
        <v>10.3</v>
      </c>
      <c r="AB78" s="257">
        <v>9.3000000000000007</v>
      </c>
      <c r="AC78" s="257">
        <v>7.7</v>
      </c>
      <c r="AD78" s="257">
        <v>7.2</v>
      </c>
      <c r="AE78" s="257">
        <v>8.6</v>
      </c>
      <c r="AF78" s="257">
        <v>8.3000000000000007</v>
      </c>
      <c r="AG78" s="257">
        <v>7.9</v>
      </c>
      <c r="AH78" s="257">
        <v>8.6</v>
      </c>
    </row>
    <row r="79" spans="2:34">
      <c r="B79" s="257" t="s">
        <v>40</v>
      </c>
      <c r="C79" s="249"/>
      <c r="D79" s="249"/>
      <c r="E79" s="249"/>
      <c r="F79" s="249"/>
      <c r="G79" s="259">
        <v>2.9156484368416447E-2</v>
      </c>
      <c r="H79" s="259">
        <v>3.1235664539805752E-2</v>
      </c>
      <c r="I79" s="259">
        <v>2.7570789865871692E-2</v>
      </c>
      <c r="J79" s="259">
        <v>2.3014013890601204E-2</v>
      </c>
      <c r="K79" s="263">
        <v>1.7972652092033137E-2</v>
      </c>
      <c r="L79" s="263">
        <v>1.075703655774829E-2</v>
      </c>
      <c r="M79" s="249"/>
      <c r="N79" s="249"/>
      <c r="O79" s="249"/>
      <c r="P79" s="249"/>
      <c r="Q79" s="249"/>
      <c r="R79" s="249"/>
      <c r="S79" s="249"/>
      <c r="T79" s="249"/>
      <c r="U79" s="249"/>
      <c r="V79" s="249"/>
      <c r="W79" s="249"/>
      <c r="X79" s="251" t="s">
        <v>33</v>
      </c>
      <c r="Y79" s="257">
        <v>6.1</v>
      </c>
      <c r="Z79" s="257">
        <v>6.3</v>
      </c>
      <c r="AA79" s="257">
        <v>6.8</v>
      </c>
      <c r="AB79" s="257">
        <v>6.5</v>
      </c>
      <c r="AC79" s="257">
        <v>6.5</v>
      </c>
      <c r="AD79" s="257">
        <v>6.5</v>
      </c>
      <c r="AE79" s="257">
        <v>6.5</v>
      </c>
      <c r="AF79" s="257">
        <v>6.6</v>
      </c>
      <c r="AG79" s="257">
        <v>5.5</v>
      </c>
      <c r="AH79" s="257">
        <v>4.9000000000000004</v>
      </c>
    </row>
    <row r="80" spans="2:34">
      <c r="B80" s="257" t="s">
        <v>39</v>
      </c>
      <c r="C80" s="249"/>
      <c r="D80" s="249"/>
      <c r="E80" s="249"/>
      <c r="F80" s="249"/>
      <c r="G80" s="259">
        <v>1.8152938506921235E-3</v>
      </c>
      <c r="H80" s="259">
        <v>1.1035091591260482E-3</v>
      </c>
      <c r="I80" s="259">
        <v>-1.1651965588587498E-2</v>
      </c>
      <c r="J80" s="259">
        <v>1.2994224788982711E-2</v>
      </c>
      <c r="K80" s="263">
        <v>4.0996602491506273E-2</v>
      </c>
      <c r="L80" s="262">
        <v>3.7257495590828915E-2</v>
      </c>
      <c r="M80" s="249"/>
      <c r="N80" s="249"/>
      <c r="O80" s="249"/>
      <c r="P80" s="249"/>
      <c r="Q80" s="249"/>
      <c r="R80" s="249"/>
      <c r="S80" s="249"/>
      <c r="T80" s="249"/>
      <c r="U80" s="249"/>
      <c r="V80" s="249"/>
      <c r="W80" s="249"/>
      <c r="X80" s="251" t="s">
        <v>34</v>
      </c>
      <c r="Y80" s="257">
        <v>16.3</v>
      </c>
      <c r="Z80" s="257">
        <v>16.7</v>
      </c>
      <c r="AA80" s="257">
        <v>16.899999999999999</v>
      </c>
      <c r="AB80" s="257">
        <v>16.8</v>
      </c>
      <c r="AC80" s="257">
        <v>16.8</v>
      </c>
      <c r="AD80" s="257">
        <v>17.100000000000001</v>
      </c>
      <c r="AE80" s="257">
        <v>17.2</v>
      </c>
      <c r="AF80" s="257">
        <v>17.600000000000001</v>
      </c>
      <c r="AG80" s="257">
        <v>18</v>
      </c>
      <c r="AH80" s="257">
        <v>18.100000000000001</v>
      </c>
    </row>
    <row r="81" spans="2:34">
      <c r="B81" s="257" t="s">
        <v>24</v>
      </c>
      <c r="C81" s="249"/>
      <c r="D81" s="249"/>
      <c r="E81" s="249"/>
      <c r="F81" s="249"/>
      <c r="G81" s="259">
        <v>3.2569527857340796E-2</v>
      </c>
      <c r="H81" s="259">
        <v>2.3426920646384408E-2</v>
      </c>
      <c r="I81" s="259">
        <v>2.6254770165998753E-2</v>
      </c>
      <c r="J81" s="259">
        <v>2.295869999219291E-2</v>
      </c>
      <c r="K81" s="263">
        <v>2.1760771330141981E-2</v>
      </c>
      <c r="L81" s="263">
        <v>2.741697172848756E-2</v>
      </c>
      <c r="M81" s="249"/>
      <c r="N81" s="249"/>
      <c r="O81" s="249"/>
      <c r="P81" s="249"/>
      <c r="Q81" s="249"/>
      <c r="R81" s="249"/>
      <c r="S81" s="249"/>
      <c r="T81" s="249"/>
      <c r="U81" s="249"/>
      <c r="V81" s="249"/>
      <c r="W81" s="249"/>
      <c r="X81" s="251" t="s">
        <v>45</v>
      </c>
      <c r="Y81" s="257">
        <v>6.8</v>
      </c>
      <c r="Z81" s="257">
        <v>7.6</v>
      </c>
      <c r="AA81" s="257">
        <v>7.9</v>
      </c>
      <c r="AB81" s="257">
        <v>7.6</v>
      </c>
      <c r="AC81" s="257">
        <v>7.8</v>
      </c>
      <c r="AD81" s="257">
        <v>8.4</v>
      </c>
      <c r="AE81" s="257">
        <v>8.9</v>
      </c>
      <c r="AF81" s="257">
        <v>7.7</v>
      </c>
      <c r="AG81" s="257">
        <v>7.3</v>
      </c>
      <c r="AH81" s="257">
        <v>8.1999999999999993</v>
      </c>
    </row>
    <row r="82" spans="2:34">
      <c r="B82" s="257" t="s">
        <v>42</v>
      </c>
      <c r="C82" s="249"/>
      <c r="D82" s="249"/>
      <c r="E82" s="249"/>
      <c r="F82" s="249"/>
      <c r="G82" s="259">
        <v>1.7239110409264402E-2</v>
      </c>
      <c r="H82" s="259">
        <v>2.0691579557406303E-2</v>
      </c>
      <c r="I82" s="259">
        <v>1.311074575270843E-2</v>
      </c>
      <c r="J82" s="259">
        <v>1.4069148367508388E-2</v>
      </c>
      <c r="K82" s="263">
        <v>2.3091849935316988E-2</v>
      </c>
      <c r="L82" s="263">
        <v>1.840052152335292E-2</v>
      </c>
      <c r="M82" s="249"/>
      <c r="N82" s="249"/>
      <c r="O82" s="249"/>
      <c r="P82" s="249"/>
      <c r="Q82" s="249"/>
      <c r="R82" s="249"/>
      <c r="S82" s="249"/>
      <c r="T82" s="249"/>
      <c r="U82" s="249"/>
      <c r="V82" s="249"/>
      <c r="W82" s="249"/>
      <c r="X82" s="251" t="s">
        <v>36</v>
      </c>
      <c r="Y82" s="257">
        <v>22.5</v>
      </c>
      <c r="Z82" s="257">
        <v>22.1</v>
      </c>
      <c r="AA82" s="257">
        <v>22</v>
      </c>
      <c r="AB82" s="257">
        <v>22.1</v>
      </c>
      <c r="AC82" s="257">
        <v>22.3</v>
      </c>
      <c r="AD82" s="257">
        <v>22.2</v>
      </c>
      <c r="AE82" s="257">
        <v>21.8</v>
      </c>
      <c r="AF82" s="257">
        <v>21.4</v>
      </c>
      <c r="AG82" s="257">
        <v>21.2</v>
      </c>
      <c r="AH82" s="257">
        <v>21.2</v>
      </c>
    </row>
    <row r="83" spans="2:34">
      <c r="B83" s="257" t="s">
        <v>46</v>
      </c>
      <c r="C83" s="249"/>
      <c r="D83" s="249"/>
      <c r="E83" s="249"/>
      <c r="F83" s="249"/>
      <c r="G83" s="259">
        <v>1.0851361582050467E-2</v>
      </c>
      <c r="H83" s="259">
        <v>1.0684887533533471E-2</v>
      </c>
      <c r="I83" s="259">
        <v>1.4208203053154067E-2</v>
      </c>
      <c r="J83" s="259">
        <v>1.2236851050329678E-2</v>
      </c>
      <c r="K83" s="263">
        <v>3.24542689846119E-3</v>
      </c>
      <c r="L83" s="263">
        <v>9.8459583928856009E-3</v>
      </c>
      <c r="M83" s="249"/>
      <c r="N83" s="249"/>
      <c r="O83" s="249"/>
      <c r="P83" s="249"/>
      <c r="Q83" s="249"/>
      <c r="R83" s="249"/>
      <c r="S83" s="249"/>
      <c r="T83" s="249"/>
      <c r="U83" s="249"/>
      <c r="V83" s="249"/>
      <c r="W83" s="249"/>
      <c r="X83" s="251" t="s">
        <v>37</v>
      </c>
      <c r="Y83" s="257">
        <v>18.3</v>
      </c>
      <c r="Z83" s="257">
        <v>18.8</v>
      </c>
      <c r="AA83" s="257">
        <v>18.7</v>
      </c>
      <c r="AB83" s="257">
        <v>19.100000000000001</v>
      </c>
      <c r="AC83" s="257">
        <v>19</v>
      </c>
      <c r="AD83" s="257">
        <v>19.2</v>
      </c>
      <c r="AE83" s="257">
        <v>18.8</v>
      </c>
      <c r="AF83" s="257">
        <v>19.100000000000001</v>
      </c>
      <c r="AG83" s="257">
        <v>18.5</v>
      </c>
      <c r="AH83" s="257">
        <v>19</v>
      </c>
    </row>
    <row r="84" spans="2:34">
      <c r="B84" s="257" t="s">
        <v>47</v>
      </c>
      <c r="C84" s="249"/>
      <c r="D84" s="249"/>
      <c r="E84" s="249"/>
      <c r="F84" s="249"/>
      <c r="G84" s="259">
        <v>3.4972492866657712E-2</v>
      </c>
      <c r="H84" s="259">
        <v>2.9596116150795382E-2</v>
      </c>
      <c r="I84" s="259">
        <v>1.1753353641231312E-2</v>
      </c>
      <c r="J84" s="259">
        <v>1.4905812380265671E-2</v>
      </c>
      <c r="K84" s="263">
        <v>1.7564188808224968E-2</v>
      </c>
      <c r="L84" s="263">
        <v>2.1384692013946438E-2</v>
      </c>
      <c r="M84" s="249"/>
      <c r="N84" s="249"/>
      <c r="O84" s="249"/>
      <c r="P84" s="249"/>
      <c r="Q84" s="249"/>
      <c r="R84" s="249"/>
      <c r="S84" s="249"/>
      <c r="T84" s="249"/>
      <c r="U84" s="249"/>
      <c r="V84" s="249"/>
      <c r="W84" s="249"/>
      <c r="X84" s="251" t="s">
        <v>38</v>
      </c>
      <c r="Y84" s="257">
        <v>1</v>
      </c>
      <c r="Z84" s="257">
        <v>1.2</v>
      </c>
      <c r="AA84" s="257">
        <v>0.9</v>
      </c>
      <c r="AB84" s="257">
        <v>1</v>
      </c>
      <c r="AC84" s="257">
        <v>1</v>
      </c>
      <c r="AD84" s="257">
        <v>1</v>
      </c>
      <c r="AE84" s="257">
        <v>1</v>
      </c>
      <c r="AF84" s="257">
        <v>1</v>
      </c>
      <c r="AG84" s="257">
        <v>0.9</v>
      </c>
      <c r="AH84" s="257">
        <v>0.9</v>
      </c>
    </row>
    <row r="85" spans="2:34">
      <c r="B85" s="257" t="s">
        <v>43</v>
      </c>
      <c r="C85" s="249"/>
      <c r="D85" s="249"/>
      <c r="E85" s="249"/>
      <c r="F85" s="249"/>
      <c r="G85" s="259">
        <v>1.3792293627229002E-2</v>
      </c>
      <c r="H85" s="259">
        <v>1.7872055001257658E-2</v>
      </c>
      <c r="I85" s="259">
        <v>1.2969901730094602E-2</v>
      </c>
      <c r="J85" s="259">
        <v>9.8126878647999405E-3</v>
      </c>
      <c r="K85" s="263">
        <v>1.2221354442444321E-2</v>
      </c>
      <c r="L85" s="263">
        <v>1.3027834888502232E-2</v>
      </c>
      <c r="M85" s="249"/>
      <c r="N85" s="249"/>
      <c r="O85" s="249"/>
      <c r="P85" s="249"/>
      <c r="Q85" s="249"/>
      <c r="R85" s="249"/>
      <c r="S85" s="249"/>
      <c r="T85" s="249"/>
      <c r="U85" s="249"/>
      <c r="V85" s="249"/>
      <c r="W85" s="249"/>
      <c r="X85" s="251" t="s">
        <v>40</v>
      </c>
      <c r="Y85" s="257">
        <v>8.8000000000000007</v>
      </c>
      <c r="Z85" s="257">
        <v>9.1999999999999993</v>
      </c>
      <c r="AA85" s="257">
        <v>9.1</v>
      </c>
      <c r="AB85" s="257">
        <v>8.6</v>
      </c>
      <c r="AC85" s="257">
        <v>8.6</v>
      </c>
      <c r="AD85" s="257">
        <v>8.4</v>
      </c>
      <c r="AE85" s="257">
        <v>8.1999999999999993</v>
      </c>
      <c r="AF85" s="257">
        <v>8.4</v>
      </c>
      <c r="AG85" s="257">
        <v>8</v>
      </c>
      <c r="AH85" s="257">
        <v>8</v>
      </c>
    </row>
    <row r="86" spans="2:34">
      <c r="C86" s="249"/>
      <c r="D86" s="249"/>
      <c r="E86" s="249"/>
      <c r="F86" s="249"/>
      <c r="G86" s="249"/>
      <c r="H86" s="249"/>
      <c r="I86" s="249"/>
      <c r="J86" s="249"/>
      <c r="K86" s="249"/>
      <c r="L86" s="249"/>
      <c r="M86" s="249"/>
      <c r="N86" s="249"/>
      <c r="O86" s="249"/>
      <c r="P86" s="249"/>
      <c r="Q86" s="249"/>
      <c r="R86" s="249"/>
      <c r="S86" s="249"/>
      <c r="T86" s="249"/>
      <c r="U86" s="249"/>
      <c r="V86" s="249"/>
      <c r="W86" s="249"/>
      <c r="X86" s="251" t="s">
        <v>39</v>
      </c>
      <c r="Y86" s="257">
        <v>14.2</v>
      </c>
      <c r="Z86" s="257">
        <v>14.9</v>
      </c>
      <c r="AA86" s="257">
        <v>16.100000000000001</v>
      </c>
      <c r="AB86" s="257">
        <v>15</v>
      </c>
      <c r="AC86" s="257">
        <v>14.7</v>
      </c>
      <c r="AD86" s="257">
        <v>14.9</v>
      </c>
      <c r="AE86" s="257">
        <v>14.3</v>
      </c>
      <c r="AF86" s="257">
        <v>14.6</v>
      </c>
      <c r="AG86" s="257">
        <v>15.5</v>
      </c>
      <c r="AH86" s="257">
        <v>15.2</v>
      </c>
    </row>
    <row r="87" spans="2:34">
      <c r="C87" s="249"/>
      <c r="D87" s="249"/>
      <c r="E87" s="249"/>
      <c r="F87" s="249"/>
      <c r="G87" s="249"/>
      <c r="H87" s="249"/>
      <c r="I87" s="249"/>
      <c r="J87" s="249"/>
      <c r="K87" s="249"/>
      <c r="L87" s="249"/>
      <c r="M87" s="249"/>
      <c r="N87" s="249"/>
      <c r="O87" s="249"/>
      <c r="P87" s="249"/>
      <c r="Q87" s="249"/>
      <c r="R87" s="249"/>
      <c r="S87" s="249"/>
      <c r="T87" s="249"/>
      <c r="U87" s="249"/>
      <c r="V87" s="249"/>
      <c r="W87" s="249"/>
      <c r="X87" s="251" t="s">
        <v>24</v>
      </c>
      <c r="Y87" s="257">
        <v>20.3</v>
      </c>
      <c r="Z87" s="257">
        <v>20.8</v>
      </c>
      <c r="AA87" s="257">
        <v>21.2</v>
      </c>
      <c r="AB87" s="257">
        <v>21.3</v>
      </c>
      <c r="AC87" s="257">
        <v>21.6</v>
      </c>
      <c r="AD87" s="257">
        <v>21.4</v>
      </c>
      <c r="AE87" s="257">
        <v>22</v>
      </c>
      <c r="AF87" s="257">
        <v>22.1</v>
      </c>
      <c r="AG87" s="257">
        <v>22.3</v>
      </c>
      <c r="AH87" s="257">
        <v>22.5</v>
      </c>
    </row>
    <row r="88" spans="2:34">
      <c r="C88" s="249"/>
      <c r="D88" s="249"/>
      <c r="E88" s="249"/>
      <c r="F88" s="249"/>
      <c r="G88" s="249"/>
      <c r="H88" s="249"/>
      <c r="I88" s="249"/>
      <c r="J88" s="249"/>
      <c r="K88" s="249"/>
      <c r="L88" s="249"/>
      <c r="M88" s="249"/>
      <c r="N88" s="249"/>
      <c r="O88" s="249"/>
      <c r="P88" s="249"/>
      <c r="Q88" s="249"/>
      <c r="R88" s="249"/>
      <c r="S88" s="249"/>
      <c r="T88" s="249"/>
      <c r="U88" s="249"/>
      <c r="V88" s="249"/>
      <c r="W88" s="249"/>
      <c r="X88" s="251" t="s">
        <v>42</v>
      </c>
      <c r="Y88" s="257">
        <v>15.2</v>
      </c>
      <c r="Z88" s="257">
        <v>14.9</v>
      </c>
      <c r="AA88" s="257">
        <v>15.1</v>
      </c>
      <c r="AB88" s="257">
        <v>15.1</v>
      </c>
      <c r="AC88" s="257">
        <v>15</v>
      </c>
      <c r="AD88" s="257">
        <v>14.8</v>
      </c>
      <c r="AE88" s="257">
        <v>14.4</v>
      </c>
      <c r="AF88" s="257">
        <v>14.7</v>
      </c>
      <c r="AG88" s="257">
        <v>15.1</v>
      </c>
      <c r="AH88" s="257">
        <v>14.6</v>
      </c>
    </row>
    <row r="89" spans="2:34">
      <c r="C89" s="249"/>
      <c r="D89" s="249"/>
      <c r="E89" s="249"/>
      <c r="F89" s="249"/>
      <c r="G89" s="249"/>
      <c r="H89" s="249"/>
      <c r="I89" s="249"/>
      <c r="J89" s="249"/>
      <c r="K89" s="249"/>
      <c r="L89" s="249"/>
      <c r="M89" s="249"/>
      <c r="N89" s="249"/>
      <c r="O89" s="249"/>
      <c r="P89" s="249"/>
      <c r="Q89" s="249"/>
      <c r="R89" s="249"/>
      <c r="S89" s="249"/>
      <c r="T89" s="249"/>
      <c r="U89" s="249"/>
      <c r="V89" s="249"/>
      <c r="W89" s="249"/>
      <c r="X89" s="251" t="s">
        <v>46</v>
      </c>
      <c r="Y89" s="257">
        <v>11.8</v>
      </c>
      <c r="Z89" s="257">
        <v>11.7</v>
      </c>
      <c r="AA89" s="257">
        <v>11.9</v>
      </c>
      <c r="AB89" s="257">
        <v>11.9</v>
      </c>
      <c r="AC89" s="257">
        <v>11.6</v>
      </c>
      <c r="AD89" s="257">
        <v>11.5</v>
      </c>
      <c r="AE89" s="257">
        <v>11.2</v>
      </c>
      <c r="AF89" s="257">
        <v>11.6</v>
      </c>
      <c r="AG89" s="257">
        <v>11.4</v>
      </c>
      <c r="AH89" s="257">
        <v>11.5</v>
      </c>
    </row>
    <row r="90" spans="2:34">
      <c r="C90" s="249"/>
      <c r="D90" s="249"/>
      <c r="E90" s="249"/>
      <c r="F90" s="249"/>
      <c r="G90" s="249"/>
      <c r="H90" s="249"/>
      <c r="I90" s="249"/>
      <c r="J90" s="249"/>
      <c r="K90" s="249"/>
      <c r="L90" s="249"/>
      <c r="M90" s="249"/>
      <c r="N90" s="249"/>
      <c r="O90" s="249"/>
      <c r="P90" s="249"/>
      <c r="Q90" s="249"/>
      <c r="R90" s="249"/>
      <c r="S90" s="249"/>
      <c r="T90" s="249"/>
      <c r="U90" s="249"/>
      <c r="V90" s="249"/>
      <c r="W90" s="249"/>
      <c r="X90" s="251" t="s">
        <v>47</v>
      </c>
      <c r="Y90" s="257">
        <v>8.8000000000000007</v>
      </c>
      <c r="Z90" s="257">
        <v>8.9</v>
      </c>
      <c r="AA90" s="257">
        <v>9</v>
      </c>
      <c r="AB90" s="257">
        <v>9.3000000000000007</v>
      </c>
      <c r="AC90" s="257">
        <v>9.4</v>
      </c>
      <c r="AD90" s="257">
        <v>9.6</v>
      </c>
      <c r="AE90" s="257">
        <v>8.6</v>
      </c>
      <c r="AF90" s="257">
        <v>8.9</v>
      </c>
      <c r="AG90" s="257">
        <v>8.8000000000000007</v>
      </c>
      <c r="AH90" s="257">
        <v>8.8000000000000007</v>
      </c>
    </row>
    <row r="91" spans="2:34">
      <c r="C91" s="249"/>
      <c r="D91" s="249"/>
      <c r="E91" s="249"/>
      <c r="F91" s="249"/>
      <c r="G91" s="249"/>
      <c r="H91" s="249"/>
      <c r="I91" s="249"/>
      <c r="J91" s="249"/>
      <c r="K91" s="249"/>
      <c r="L91" s="249"/>
      <c r="M91" s="249"/>
      <c r="N91" s="249"/>
      <c r="O91" s="249"/>
      <c r="P91" s="249"/>
      <c r="Q91" s="249"/>
      <c r="R91" s="249"/>
      <c r="S91" s="249"/>
      <c r="T91" s="249"/>
      <c r="U91" s="249"/>
      <c r="V91" s="249"/>
      <c r="W91" s="249"/>
      <c r="X91" s="251" t="s">
        <v>43</v>
      </c>
      <c r="Y91" s="257">
        <v>5.3</v>
      </c>
      <c r="Z91" s="257">
        <v>5.2</v>
      </c>
      <c r="AA91" s="257">
        <v>5.2</v>
      </c>
      <c r="AB91" s="257">
        <v>5.0999999999999996</v>
      </c>
      <c r="AC91" s="257">
        <v>5.0999999999999996</v>
      </c>
      <c r="AD91" s="257">
        <v>5.2</v>
      </c>
      <c r="AE91" s="257">
        <v>5</v>
      </c>
      <c r="AF91" s="257">
        <v>5</v>
      </c>
      <c r="AG91" s="257">
        <v>4.9000000000000004</v>
      </c>
      <c r="AH91" s="257">
        <v>4.9000000000000004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29AB9"/>
  </sheetPr>
  <dimension ref="A1:BD91"/>
  <sheetViews>
    <sheetView showZeros="0" zoomScale="70" zoomScaleNormal="70" workbookViewId="0">
      <selection activeCell="C4" sqref="C4"/>
    </sheetView>
  </sheetViews>
  <sheetFormatPr defaultRowHeight="15"/>
  <cols>
    <col min="1" max="1" width="8.85546875" style="269"/>
    <col min="2" max="2" width="20" style="269" customWidth="1"/>
    <col min="3" max="3" width="11.42578125" style="269" customWidth="1"/>
    <col min="4" max="12" width="10.85546875" style="269" customWidth="1"/>
    <col min="13" max="13" width="22.140625" style="269" customWidth="1"/>
    <col min="14" max="23" width="8.85546875" style="269"/>
    <col min="24" max="24" width="18.5703125" style="269" customWidth="1"/>
    <col min="25" max="34" width="8.85546875" style="277"/>
    <col min="35" max="35" width="28.85546875" style="271" customWidth="1"/>
    <col min="36" max="45" width="8.85546875" style="269"/>
    <col min="46" max="46" width="16.140625" style="269" customWidth="1"/>
    <col min="47" max="56" width="8.85546875" style="269"/>
  </cols>
  <sheetData>
    <row r="1" spans="1:56">
      <c r="B1" s="278" t="s">
        <v>0</v>
      </c>
      <c r="C1" s="278" t="s">
        <v>408</v>
      </c>
      <c r="M1" s="278" t="s">
        <v>410</v>
      </c>
      <c r="N1" s="314" t="s">
        <v>48</v>
      </c>
      <c r="X1" s="278" t="s">
        <v>412</v>
      </c>
      <c r="Y1" s="278" t="s">
        <v>550</v>
      </c>
      <c r="Z1" s="271"/>
      <c r="AA1" s="271"/>
      <c r="AB1" s="271"/>
      <c r="AC1" s="271"/>
      <c r="AD1" s="271"/>
      <c r="AE1" s="271"/>
      <c r="AF1" s="271"/>
      <c r="AG1" s="271"/>
      <c r="AH1" s="271"/>
      <c r="AI1" s="271" t="s">
        <v>437</v>
      </c>
      <c r="AT1" s="269" t="s">
        <v>417</v>
      </c>
    </row>
    <row r="2" spans="1:56">
      <c r="A2" s="269">
        <v>1</v>
      </c>
      <c r="B2" s="269">
        <v>2</v>
      </c>
      <c r="C2" s="269">
        <v>3</v>
      </c>
      <c r="D2" s="269">
        <v>4</v>
      </c>
      <c r="E2" s="269">
        <v>5</v>
      </c>
      <c r="F2" s="269">
        <v>6</v>
      </c>
      <c r="G2" s="269">
        <v>7</v>
      </c>
      <c r="H2" s="269">
        <v>8</v>
      </c>
      <c r="I2" s="269">
        <v>9</v>
      </c>
      <c r="J2" s="269">
        <v>10</v>
      </c>
      <c r="K2" s="269">
        <v>11</v>
      </c>
      <c r="L2" s="269">
        <v>12</v>
      </c>
      <c r="M2" s="269">
        <v>13</v>
      </c>
      <c r="N2" s="269">
        <v>14</v>
      </c>
      <c r="O2" s="269">
        <v>15</v>
      </c>
      <c r="P2" s="269">
        <v>16</v>
      </c>
      <c r="Q2" s="269">
        <v>17</v>
      </c>
      <c r="R2" s="269">
        <v>18</v>
      </c>
      <c r="S2" s="269">
        <v>19</v>
      </c>
      <c r="T2" s="269">
        <v>20</v>
      </c>
      <c r="U2" s="269">
        <v>21</v>
      </c>
      <c r="V2" s="269">
        <v>22</v>
      </c>
      <c r="W2" s="269">
        <v>23</v>
      </c>
      <c r="X2" s="269">
        <v>24</v>
      </c>
      <c r="Y2" s="271">
        <v>25</v>
      </c>
      <c r="Z2" s="271">
        <v>26</v>
      </c>
      <c r="AA2" s="271">
        <v>27</v>
      </c>
      <c r="AB2" s="271">
        <v>28</v>
      </c>
      <c r="AC2" s="271">
        <v>29</v>
      </c>
      <c r="AD2" s="271">
        <v>30</v>
      </c>
      <c r="AE2" s="271">
        <v>31</v>
      </c>
      <c r="AF2" s="271">
        <v>32</v>
      </c>
      <c r="AG2" s="271">
        <v>33</v>
      </c>
      <c r="AH2" s="271">
        <v>34</v>
      </c>
      <c r="AI2" s="271">
        <v>35</v>
      </c>
      <c r="AJ2" s="269">
        <v>36</v>
      </c>
      <c r="AK2" s="269">
        <v>37</v>
      </c>
      <c r="AL2" s="269">
        <v>38</v>
      </c>
      <c r="AM2" s="269">
        <v>39</v>
      </c>
      <c r="AN2" s="269">
        <v>40</v>
      </c>
      <c r="AO2" s="269">
        <v>41</v>
      </c>
      <c r="AP2" s="269">
        <v>42</v>
      </c>
      <c r="AQ2" s="269">
        <v>43</v>
      </c>
      <c r="AR2" s="269">
        <v>44</v>
      </c>
      <c r="AS2" s="269">
        <v>45</v>
      </c>
      <c r="AT2" s="269">
        <v>46</v>
      </c>
      <c r="AU2" s="269">
        <v>47</v>
      </c>
      <c r="AV2" s="269">
        <v>48</v>
      </c>
      <c r="AW2" s="269">
        <v>49</v>
      </c>
      <c r="AX2" s="269">
        <v>50</v>
      </c>
      <c r="AY2" s="269">
        <v>51</v>
      </c>
      <c r="AZ2" s="269">
        <v>52</v>
      </c>
      <c r="BA2" s="269">
        <v>53</v>
      </c>
      <c r="BB2" s="269">
        <v>54</v>
      </c>
      <c r="BC2" s="269">
        <v>55</v>
      </c>
      <c r="BD2" s="269">
        <v>56</v>
      </c>
    </row>
    <row r="3" spans="1:56">
      <c r="B3" s="206" t="s">
        <v>1</v>
      </c>
      <c r="C3" s="285" t="str">
        <f>'Data-total_employment'!C3</f>
        <v>2016Q1</v>
      </c>
      <c r="D3" s="285" t="str">
        <f>'Data-total_employment'!D3</f>
        <v>2016Q2</v>
      </c>
      <c r="E3" s="285" t="str">
        <f>'Data-total_employment'!E3</f>
        <v>2016Q3</v>
      </c>
      <c r="F3" s="285" t="str">
        <f>'Data-total_employment'!F3</f>
        <v>2016Q4</v>
      </c>
      <c r="G3" s="285" t="str">
        <f>'Data-total_employment'!G3</f>
        <v>2017Q1</v>
      </c>
      <c r="H3" s="285" t="str">
        <f>'Data-total_employment'!H3</f>
        <v>2017Q2</v>
      </c>
      <c r="I3" s="285" t="str">
        <f>'Data-total_employment'!I3</f>
        <v>2017Q3</v>
      </c>
      <c r="J3" s="285" t="str">
        <f>'Data-total_employment'!J3</f>
        <v>2017Q4</v>
      </c>
      <c r="K3" s="285" t="str">
        <f>'Data-total_employment'!K3</f>
        <v>2018Q1</v>
      </c>
      <c r="L3" s="285" t="str">
        <f>'Data-total_employment'!L3</f>
        <v>2018Q2</v>
      </c>
      <c r="M3" s="285" t="str">
        <f>'Data-total_employment'!M3</f>
        <v>GEO/TIME</v>
      </c>
      <c r="N3" s="285" t="str">
        <f>'Data-total_employment'!N3</f>
        <v>2016Q1</v>
      </c>
      <c r="O3" s="285" t="str">
        <f>'Data-total_employment'!O3</f>
        <v>2016Q2</v>
      </c>
      <c r="P3" s="285" t="str">
        <f>'Data-total_employment'!P3</f>
        <v>2016Q3</v>
      </c>
      <c r="Q3" s="285" t="str">
        <f>'Data-total_employment'!Q3</f>
        <v>2016Q4</v>
      </c>
      <c r="R3" s="285" t="str">
        <f>'Data-total_employment'!R3</f>
        <v>2017Q1</v>
      </c>
      <c r="S3" s="285" t="str">
        <f>'Data-total_employment'!S3</f>
        <v>2017Q2</v>
      </c>
      <c r="T3" s="285" t="str">
        <f>'Data-total_employment'!T3</f>
        <v>2017Q3</v>
      </c>
      <c r="U3" s="285" t="str">
        <f>'Data-total_employment'!U3</f>
        <v>2017Q4</v>
      </c>
      <c r="V3" s="285" t="str">
        <f>'Data-total_employment'!V3</f>
        <v>2018Q1</v>
      </c>
      <c r="W3" s="285" t="str">
        <f>'Data-total_employment'!W3</f>
        <v>2018Q2</v>
      </c>
      <c r="X3" s="285" t="str">
        <f>'Data-total_employment'!X3</f>
        <v>GEO/TIME</v>
      </c>
      <c r="Y3" s="285" t="str">
        <f>'Data-total_employment'!Y3</f>
        <v>2016Q1</v>
      </c>
      <c r="Z3" s="285" t="str">
        <f>'Data-total_employment'!Z3</f>
        <v>2016Q2</v>
      </c>
      <c r="AA3" s="285" t="str">
        <f>'Data-total_employment'!AA3</f>
        <v>2016Q3</v>
      </c>
      <c r="AB3" s="285" t="str">
        <f>'Data-total_employment'!AB3</f>
        <v>2016Q4</v>
      </c>
      <c r="AC3" s="285" t="str">
        <f>'Data-total_employment'!AC3</f>
        <v>2017Q1</v>
      </c>
      <c r="AD3" s="285" t="str">
        <f>'Data-total_employment'!AD3</f>
        <v>2017Q2</v>
      </c>
      <c r="AE3" s="285" t="str">
        <f>'Data-total_employment'!AE3</f>
        <v>2017Q3</v>
      </c>
      <c r="AF3" s="285" t="str">
        <f>'Data-total_employment'!AF3</f>
        <v>2017Q4</v>
      </c>
      <c r="AG3" s="285" t="str">
        <f>'Data-total_employment'!AG3</f>
        <v>2018Q1</v>
      </c>
      <c r="AH3" s="285" t="str">
        <f>'Data-total_employment'!AH3</f>
        <v>2018Q2</v>
      </c>
      <c r="AI3" s="285" t="str">
        <f>'Data-total_employment'!AI3</f>
        <v>GEO/TIME</v>
      </c>
      <c r="AJ3" s="285" t="str">
        <f>'Data-total_employment'!AJ3</f>
        <v>2016Q1</v>
      </c>
      <c r="AK3" s="285" t="str">
        <f>'Data-total_employment'!AK3</f>
        <v>2016Q2</v>
      </c>
      <c r="AL3" s="285" t="str">
        <f>'Data-total_employment'!AL3</f>
        <v>2016Q3</v>
      </c>
      <c r="AM3" s="285" t="str">
        <f>'Data-total_employment'!AM3</f>
        <v>2016Q4</v>
      </c>
      <c r="AN3" s="285" t="str">
        <f>'Data-total_employment'!AN3</f>
        <v>2017Q1</v>
      </c>
      <c r="AO3" s="285" t="str">
        <f>'Data-total_employment'!AO3</f>
        <v>2017Q2</v>
      </c>
      <c r="AP3" s="285" t="str">
        <f>'Data-total_employment'!AP3</f>
        <v>2017Q3</v>
      </c>
      <c r="AQ3" s="285" t="str">
        <f>'Data-total_employment'!AQ3</f>
        <v>2017Q4</v>
      </c>
      <c r="AR3" s="285" t="str">
        <f>'Data-total_employment'!AR3</f>
        <v>2018Q1</v>
      </c>
      <c r="AS3" s="285" t="str">
        <f>'Data-total_employment'!AS3</f>
        <v>2018Q2</v>
      </c>
      <c r="AT3" s="285" t="str">
        <f>'Data-total_employment'!AT3</f>
        <v>GEO/TIME</v>
      </c>
      <c r="AU3" s="285" t="e">
        <f>'Data-total_employment'!#REF!</f>
        <v>#REF!</v>
      </c>
      <c r="AV3" s="285" t="e">
        <f>'Data-total_employment'!#REF!</f>
        <v>#REF!</v>
      </c>
      <c r="AW3" s="285" t="e">
        <f>'Data-total_employment'!#REF!</f>
        <v>#REF!</v>
      </c>
      <c r="AX3" s="285" t="e">
        <f>'Data-total_employment'!#REF!</f>
        <v>#REF!</v>
      </c>
      <c r="AY3" s="285" t="e">
        <f>'Data-total_employment'!#REF!</f>
        <v>#REF!</v>
      </c>
      <c r="AZ3" s="285" t="e">
        <f>'Data-total_employment'!#REF!</f>
        <v>#REF!</v>
      </c>
      <c r="BA3" s="285" t="e">
        <f>'Data-total_employment'!#REF!</f>
        <v>#REF!</v>
      </c>
      <c r="BB3" s="285" t="e">
        <f>'Data-total_employment'!#REF!</f>
        <v>#REF!</v>
      </c>
      <c r="BC3" s="285" t="e">
        <f>'Data-total_employment'!#REF!</f>
        <v>#REF!</v>
      </c>
      <c r="BD3" s="285" t="e">
        <f>'Data-total_employment'!#REF!</f>
        <v>#REF!</v>
      </c>
    </row>
    <row r="4" spans="1:56">
      <c r="A4" s="269">
        <v>1</v>
      </c>
      <c r="B4" s="285" t="s">
        <v>11</v>
      </c>
      <c r="C4" s="286">
        <f>'Data-total_employment'!C4-last_qrtr_totalemp!D4</f>
        <v>1056.7000000000116</v>
      </c>
      <c r="D4" s="286">
        <f>'Data-total_employment'!D4-last_qrtr_totalemp!E4</f>
        <v>1565.0999999999767</v>
      </c>
      <c r="E4" s="286">
        <f>'Data-total_employment'!E4-last_qrtr_totalemp!F4</f>
        <v>3381.5</v>
      </c>
      <c r="F4" s="286">
        <f>'Data-total_employment'!F4-last_qrtr_totalemp!G4</f>
        <v>3744.5</v>
      </c>
      <c r="G4" s="286">
        <f>'Data-total_employment'!G4-last_qrtr_totalemp!H4</f>
        <v>227.20000000001164</v>
      </c>
      <c r="H4" s="286">
        <f>'Data-total_employment'!H4-last_qrtr_totalemp!I4</f>
        <v>1768.3999999999942</v>
      </c>
      <c r="I4" s="286">
        <f>'Data-total_employment'!I4-last_qrtr_totalemp!J4</f>
        <v>3837.5</v>
      </c>
      <c r="J4" s="286">
        <f>'Data-total_employment'!J4-last_qrtr_totalemp!K4</f>
        <v>4153.2999999999884</v>
      </c>
      <c r="K4" s="286">
        <f>'Data-total_employment'!K4-last_qrtr_totalemp!L4</f>
        <v>-11.600000000005821</v>
      </c>
      <c r="L4" s="286">
        <f>'Data-total_employment'!L4</f>
        <v>224474.1</v>
      </c>
      <c r="M4" s="285" t="s">
        <v>11</v>
      </c>
      <c r="N4" s="286">
        <f>'Data-total_employment'!N4-last_qrtr_totalemp!O4</f>
        <v>0.10000000000000142</v>
      </c>
      <c r="O4" s="286">
        <f>'Data-total_employment'!O4-last_qrtr_totalemp!P4</f>
        <v>0.30000000000000071</v>
      </c>
      <c r="P4" s="286">
        <f>'Data-total_employment'!P4-last_qrtr_totalemp!Q4</f>
        <v>-0.30000000000000071</v>
      </c>
      <c r="Q4" s="286">
        <f>'Data-total_employment'!Q4-last_qrtr_totalemp!R4</f>
        <v>-0.30000000000000071</v>
      </c>
      <c r="R4" s="286">
        <f>'Data-total_employment'!R4-last_qrtr_totalemp!S4</f>
        <v>0.10000000000000142</v>
      </c>
      <c r="S4" s="286">
        <f>'Data-total_employment'!S4-last_qrtr_totalemp!T4</f>
        <v>0.30000000000000071</v>
      </c>
      <c r="T4" s="286">
        <f>'Data-total_employment'!T4-last_qrtr_totalemp!U4</f>
        <v>-0.39999999999999858</v>
      </c>
      <c r="U4" s="286">
        <f>'Data-total_employment'!U4-last_qrtr_totalemp!V4</f>
        <v>-0.30000000000000071</v>
      </c>
      <c r="V4" s="286">
        <f>'Data-total_employment'!V4-last_qrtr_totalemp!W4</f>
        <v>-0.10000000000000142</v>
      </c>
      <c r="W4" s="286">
        <f>'Data-total_employment'!W4</f>
        <v>19.3</v>
      </c>
      <c r="X4" s="285" t="s">
        <v>11</v>
      </c>
      <c r="Y4" s="286">
        <f>'Data-total_employment'!Y4-last_qrtr_totalemp!Z4</f>
        <v>9.9999999999999645E-2</v>
      </c>
      <c r="Z4" s="286">
        <f>'Data-total_employment'!Z4-last_qrtr_totalemp!AA4</f>
        <v>9.9999999999999645E-2</v>
      </c>
      <c r="AA4" s="286">
        <f>'Data-total_employment'!AA4-last_qrtr_totalemp!AB4</f>
        <v>0</v>
      </c>
      <c r="AB4" s="286">
        <f>'Data-total_employment'!AB4-last_qrtr_totalemp!AC4</f>
        <v>9.9999999999999645E-2</v>
      </c>
      <c r="AC4" s="286">
        <f>'Data-total_employment'!AC4-last_qrtr_totalemp!AD4</f>
        <v>0</v>
      </c>
      <c r="AD4" s="286">
        <f>'Data-total_employment'!AD4-last_qrtr_totalemp!AE4</f>
        <v>0.19999999999999929</v>
      </c>
      <c r="AE4" s="286">
        <f>'Data-total_employment'!AE4-last_qrtr_totalemp!AF4</f>
        <v>9.9999999999999645E-2</v>
      </c>
      <c r="AF4" s="286">
        <f>'Data-total_employment'!AF4-last_qrtr_totalemp!AG4</f>
        <v>9.9999999999999645E-2</v>
      </c>
      <c r="AG4" s="286">
        <f>'Data-total_employment'!AG4-last_qrtr_totalemp!AH4</f>
        <v>0</v>
      </c>
      <c r="AH4" s="286">
        <f>'Data-total_employment'!AH4</f>
        <v>12.1</v>
      </c>
      <c r="AI4" s="279" t="s">
        <v>11</v>
      </c>
      <c r="AJ4" s="286">
        <f>'Data-total_employment'!AJ4-last_qrtr_totalemp!AK4</f>
        <v>0.20000000000000284</v>
      </c>
      <c r="AK4" s="286">
        <f>'Data-total_employment'!AK4-last_qrtr_totalemp!AL4</f>
        <v>0.5</v>
      </c>
      <c r="AL4" s="286">
        <f>'Data-total_employment'!AL4-last_qrtr_totalemp!AM4</f>
        <v>1.0999999999999943</v>
      </c>
      <c r="AM4" s="286">
        <f>'Data-total_employment'!AM4-last_qrtr_totalemp!AN4</f>
        <v>1.2000000000000028</v>
      </c>
      <c r="AN4" s="286">
        <f>'Data-total_employment'!AN4-last_qrtr_totalemp!AO4</f>
        <v>0.10000000000000853</v>
      </c>
      <c r="AO4" s="286">
        <f>'Data-total_employment'!AO4-last_qrtr_totalemp!AP4</f>
        <v>0.60000000000000853</v>
      </c>
      <c r="AP4" s="286">
        <f>'Data-total_employment'!AP4-last_qrtr_totalemp!AQ4</f>
        <v>1.2999999999999972</v>
      </c>
      <c r="AQ4" s="286">
        <f>'Data-total_employment'!AQ4-last_qrtr_totalemp!AR4</f>
        <v>1.3999999999999915</v>
      </c>
      <c r="AR4" s="286">
        <f>'Data-total_employment'!AR4-last_qrtr_totalemp!AS4</f>
        <v>9.9999999999994316E-2</v>
      </c>
      <c r="AS4" s="286">
        <f>'Data-total_employment'!AS4</f>
        <v>68.599999999999994</v>
      </c>
      <c r="AU4" s="286"/>
      <c r="AV4" s="286"/>
      <c r="AW4" s="286"/>
      <c r="AX4" s="286"/>
      <c r="AY4" s="286"/>
      <c r="AZ4" s="286"/>
      <c r="BA4" s="286"/>
      <c r="BB4" s="286"/>
      <c r="BC4" s="286"/>
      <c r="BD4" s="286"/>
    </row>
    <row r="5" spans="1:56">
      <c r="A5" s="269">
        <v>2</v>
      </c>
      <c r="B5" s="285" t="s">
        <v>12</v>
      </c>
      <c r="C5" s="286">
        <f>'Data-total_employment'!C5-last_qrtr_totalemp!D5</f>
        <v>1104.1000000000058</v>
      </c>
      <c r="D5" s="286">
        <f>'Data-total_employment'!D5-last_qrtr_totalemp!E5</f>
        <v>1581.2000000000116</v>
      </c>
      <c r="E5" s="286">
        <f>'Data-total_employment'!E5-last_qrtr_totalemp!F5</f>
        <v>3324</v>
      </c>
      <c r="F5" s="286">
        <f>'Data-total_employment'!F5-last_qrtr_totalemp!G5</f>
        <v>3706.6999999999825</v>
      </c>
      <c r="G5" s="286">
        <f>'Data-total_employment'!G5-last_qrtr_totalemp!H5</f>
        <v>280.5</v>
      </c>
      <c r="H5" s="286">
        <f>'Data-total_employment'!H5-last_qrtr_totalemp!I5</f>
        <v>1762.1000000000058</v>
      </c>
      <c r="I5" s="286">
        <f>'Data-total_employment'!I5-last_qrtr_totalemp!J5</f>
        <v>3738.8000000000175</v>
      </c>
      <c r="J5" s="286">
        <f>'Data-total_employment'!J5-last_qrtr_totalemp!K5</f>
        <v>4067.8999999999942</v>
      </c>
      <c r="K5" s="286">
        <f>'Data-total_employment'!K5-last_qrtr_totalemp!L5</f>
        <v>8.2999999999883585</v>
      </c>
      <c r="L5" s="286">
        <f>'Data-total_employment'!L5</f>
        <v>222829.9</v>
      </c>
      <c r="M5" s="285" t="s">
        <v>12</v>
      </c>
      <c r="N5" s="286">
        <f>'Data-total_employment'!N5-last_qrtr_totalemp!O5</f>
        <v>9.9999999999997868E-2</v>
      </c>
      <c r="O5" s="286">
        <f>'Data-total_employment'!O5-last_qrtr_totalemp!P5</f>
        <v>0.30000000000000071</v>
      </c>
      <c r="P5" s="286">
        <f>'Data-total_employment'!P5-last_qrtr_totalemp!Q5</f>
        <v>-0.30000000000000071</v>
      </c>
      <c r="Q5" s="286">
        <f>'Data-total_employment'!Q5-last_qrtr_totalemp!R5</f>
        <v>-0.29999999999999716</v>
      </c>
      <c r="R5" s="286">
        <f>'Data-total_employment'!R5-last_qrtr_totalemp!S5</f>
        <v>9.9999999999997868E-2</v>
      </c>
      <c r="S5" s="286">
        <f>'Data-total_employment'!S5-last_qrtr_totalemp!T5</f>
        <v>0.30000000000000071</v>
      </c>
      <c r="T5" s="286">
        <f>'Data-total_employment'!T5-last_qrtr_totalemp!U5</f>
        <v>-0.40000000000000213</v>
      </c>
      <c r="U5" s="286">
        <f>'Data-total_employment'!U5-last_qrtr_totalemp!V5</f>
        <v>-0.30000000000000071</v>
      </c>
      <c r="V5" s="286">
        <f>'Data-total_employment'!V5-last_qrtr_totalemp!W5</f>
        <v>-0.10000000000000142</v>
      </c>
      <c r="W5" s="286">
        <f>'Data-total_employment'!W5</f>
        <v>19.399999999999999</v>
      </c>
      <c r="X5" s="285" t="s">
        <v>12</v>
      </c>
      <c r="Y5" s="286">
        <f>'Data-total_employment'!Y5-last_qrtr_totalemp!Z5</f>
        <v>9.9999999999999645E-2</v>
      </c>
      <c r="Z5" s="286">
        <f>'Data-total_employment'!Z5-last_qrtr_totalemp!AA5</f>
        <v>0</v>
      </c>
      <c r="AA5" s="286">
        <f>'Data-total_employment'!AA5-last_qrtr_totalemp!AB5</f>
        <v>9.9999999999999645E-2</v>
      </c>
      <c r="AB5" s="286">
        <f>'Data-total_employment'!AB5-last_qrtr_totalemp!AC5</f>
        <v>9.9999999999999645E-2</v>
      </c>
      <c r="AC5" s="286">
        <f>'Data-total_employment'!AC5-last_qrtr_totalemp!AD5</f>
        <v>9.9999999999999645E-2</v>
      </c>
      <c r="AD5" s="286">
        <f>'Data-total_employment'!AD5-last_qrtr_totalemp!AE5</f>
        <v>0.19999999999999929</v>
      </c>
      <c r="AE5" s="286">
        <f>'Data-total_employment'!AE5-last_qrtr_totalemp!AF5</f>
        <v>0.19999999999999929</v>
      </c>
      <c r="AF5" s="286">
        <f>'Data-total_employment'!AF5-last_qrtr_totalemp!AG5</f>
        <v>9.9999999999999645E-2</v>
      </c>
      <c r="AG5" s="286">
        <f>'Data-total_employment'!AG5-last_qrtr_totalemp!AH5</f>
        <v>9.9999999999999645E-2</v>
      </c>
      <c r="AH5" s="286">
        <f>'Data-total_employment'!AH5</f>
        <v>12.1</v>
      </c>
      <c r="AI5" s="279" t="s">
        <v>12</v>
      </c>
      <c r="AJ5" s="286">
        <f>'Data-total_employment'!AJ5-last_qrtr_totalemp!AK5</f>
        <v>0.20000000000000284</v>
      </c>
      <c r="AK5" s="286">
        <f>'Data-total_employment'!AK5-last_qrtr_totalemp!AL5</f>
        <v>0.5</v>
      </c>
      <c r="AL5" s="286">
        <f>'Data-total_employment'!AL5-last_qrtr_totalemp!AM5</f>
        <v>1.1000000000000085</v>
      </c>
      <c r="AM5" s="286">
        <f>'Data-total_employment'!AM5-last_qrtr_totalemp!AN5</f>
        <v>1.2000000000000028</v>
      </c>
      <c r="AN5" s="286">
        <f>'Data-total_employment'!AN5-last_qrtr_totalemp!AO5</f>
        <v>0.20000000000000284</v>
      </c>
      <c r="AO5" s="286">
        <f>'Data-total_employment'!AO5-last_qrtr_totalemp!AP5</f>
        <v>0.70000000000000284</v>
      </c>
      <c r="AP5" s="286">
        <f>'Data-total_employment'!AP5-last_qrtr_totalemp!AQ5</f>
        <v>1.2000000000000028</v>
      </c>
      <c r="AQ5" s="286">
        <f>'Data-total_employment'!AQ5-last_qrtr_totalemp!AR5</f>
        <v>1.2999999999999972</v>
      </c>
      <c r="AR5" s="286">
        <f>'Data-total_employment'!AR5-last_qrtr_totalemp!AS5</f>
        <v>0.20000000000000284</v>
      </c>
      <c r="AS5" s="286">
        <f>'Data-total_employment'!AS5</f>
        <v>68.7</v>
      </c>
      <c r="AU5" s="286"/>
      <c r="AV5" s="286"/>
      <c r="AW5" s="286"/>
      <c r="AX5" s="286"/>
      <c r="AY5" s="286"/>
      <c r="AZ5" s="286"/>
      <c r="BA5" s="286"/>
      <c r="BB5" s="286"/>
      <c r="BC5" s="286"/>
      <c r="BD5" s="286"/>
    </row>
    <row r="6" spans="1:56">
      <c r="A6" s="269">
        <v>3</v>
      </c>
      <c r="B6" s="285" t="s">
        <v>13</v>
      </c>
      <c r="C6" s="286">
        <f>'Data-total_employment'!C6-last_qrtr_totalemp!D6</f>
        <v>1412.6000000000058</v>
      </c>
      <c r="D6" s="286">
        <f>'Data-total_employment'!D6-last_qrtr_totalemp!E6</f>
        <v>1733.7000000000116</v>
      </c>
      <c r="E6" s="286">
        <f>'Data-total_employment'!E6-last_qrtr_totalemp!F6</f>
        <v>2945.9000000000233</v>
      </c>
      <c r="F6" s="286">
        <f>'Data-total_employment'!F6-last_qrtr_totalemp!G6</f>
        <v>2841.2999999999884</v>
      </c>
      <c r="G6" s="286">
        <f>'Data-total_employment'!G6-last_qrtr_totalemp!H6</f>
        <v>348.60000000000582</v>
      </c>
      <c r="H6" s="286">
        <f>'Data-total_employment'!H6-last_qrtr_totalemp!I6</f>
        <v>1041.1000000000058</v>
      </c>
      <c r="I6" s="286">
        <f>'Data-total_employment'!I6-last_qrtr_totalemp!J6</f>
        <v>2793.2000000000116</v>
      </c>
      <c r="J6" s="286">
        <f>'Data-total_employment'!J6-last_qrtr_totalemp!K6</f>
        <v>3307</v>
      </c>
      <c r="K6" s="286">
        <f>'Data-total_employment'!K6-last_qrtr_totalemp!L6</f>
        <v>556.70000000001164</v>
      </c>
      <c r="L6" s="286">
        <f>'Data-total_employment'!L6</f>
        <v>178536</v>
      </c>
      <c r="M6" s="285" t="s">
        <v>13</v>
      </c>
      <c r="N6" s="286">
        <f>'Data-total_employment'!N6-last_qrtr_totalemp!O6</f>
        <v>0.19999999999999929</v>
      </c>
      <c r="O6" s="286">
        <f>'Data-total_employment'!O6-last_qrtr_totalemp!P6</f>
        <v>0.39999999999999858</v>
      </c>
      <c r="P6" s="286">
        <f>'Data-total_employment'!P6-last_qrtr_totalemp!Q6</f>
        <v>-0.19999999999999929</v>
      </c>
      <c r="Q6" s="286">
        <f>'Data-total_employment'!Q6-last_qrtr_totalemp!R6</f>
        <v>-0.30000000000000071</v>
      </c>
      <c r="R6" s="286">
        <f>'Data-total_employment'!R6-last_qrtr_totalemp!S6</f>
        <v>0</v>
      </c>
      <c r="S6" s="286">
        <f>'Data-total_employment'!S6-last_qrtr_totalemp!T6</f>
        <v>0.29999999999999716</v>
      </c>
      <c r="T6" s="286">
        <f>'Data-total_employment'!T6-last_qrtr_totalemp!U6</f>
        <v>-0.5</v>
      </c>
      <c r="U6" s="286">
        <f>'Data-total_employment'!U6-last_qrtr_totalemp!V6</f>
        <v>-0.30000000000000071</v>
      </c>
      <c r="V6" s="286">
        <f>'Data-total_employment'!V6-last_qrtr_totalemp!W6</f>
        <v>-9.9999999999997868E-2</v>
      </c>
      <c r="W6" s="286">
        <f>'Data-total_employment'!W6</f>
        <v>22.7</v>
      </c>
      <c r="X6" s="285" t="s">
        <v>13</v>
      </c>
      <c r="Y6" s="286">
        <f>'Data-total_employment'!Y6-last_qrtr_totalemp!Z6</f>
        <v>9.9999999999999645E-2</v>
      </c>
      <c r="Z6" s="286">
        <f>'Data-total_employment'!Z6-last_qrtr_totalemp!AA6</f>
        <v>9.9999999999999645E-2</v>
      </c>
      <c r="AA6" s="286">
        <f>'Data-total_employment'!AA6-last_qrtr_totalemp!AB6</f>
        <v>9.9999999999999645E-2</v>
      </c>
      <c r="AB6" s="286">
        <f>'Data-total_employment'!AB6-last_qrtr_totalemp!AC6</f>
        <v>0.30000000000000071</v>
      </c>
      <c r="AC6" s="286">
        <f>'Data-total_employment'!AC6-last_qrtr_totalemp!AD6</f>
        <v>0.20000000000000107</v>
      </c>
      <c r="AD6" s="286">
        <f>'Data-total_employment'!AD6-last_qrtr_totalemp!AE6</f>
        <v>0.30000000000000071</v>
      </c>
      <c r="AE6" s="286">
        <f>'Data-total_employment'!AE6-last_qrtr_totalemp!AF6</f>
        <v>0.30000000000000071</v>
      </c>
      <c r="AF6" s="286">
        <f>'Data-total_employment'!AF6-last_qrtr_totalemp!AG6</f>
        <v>0.29999999999999893</v>
      </c>
      <c r="AG6" s="286">
        <f>'Data-total_employment'!AG6-last_qrtr_totalemp!AH6</f>
        <v>0.19999999999999929</v>
      </c>
      <c r="AH6" s="286">
        <f>'Data-total_employment'!AH6</f>
        <v>12.6</v>
      </c>
      <c r="AI6" s="279" t="s">
        <v>13</v>
      </c>
      <c r="AJ6" s="286">
        <f>'Data-total_employment'!AJ6-last_qrtr_totalemp!AK6</f>
        <v>0.29999999999999716</v>
      </c>
      <c r="AK6" s="286">
        <f>'Data-total_employment'!AK6-last_qrtr_totalemp!AL6</f>
        <v>0.5</v>
      </c>
      <c r="AL6" s="286">
        <f>'Data-total_employment'!AL6-last_qrtr_totalemp!AM6</f>
        <v>1</v>
      </c>
      <c r="AM6" s="286">
        <f>'Data-total_employment'!AM6-last_qrtr_totalemp!AN6</f>
        <v>1.1000000000000085</v>
      </c>
      <c r="AN6" s="286">
        <f>'Data-total_employment'!AN6-last_qrtr_totalemp!AO6</f>
        <v>0</v>
      </c>
      <c r="AO6" s="286">
        <f>'Data-total_employment'!AO6-last_qrtr_totalemp!AP6</f>
        <v>0.40000000000000568</v>
      </c>
      <c r="AP6" s="286">
        <f>'Data-total_employment'!AP6-last_qrtr_totalemp!AQ6</f>
        <v>1</v>
      </c>
      <c r="AQ6" s="286">
        <f>'Data-total_employment'!AQ6-last_qrtr_totalemp!AR6</f>
        <v>1.2999999999999972</v>
      </c>
      <c r="AR6" s="286">
        <f>'Data-total_employment'!AR6-last_qrtr_totalemp!AS6</f>
        <v>0.20000000000000284</v>
      </c>
      <c r="AS6" s="286">
        <f>'Data-total_employment'!AS6</f>
        <v>68.7</v>
      </c>
      <c r="AT6" s="271"/>
      <c r="AU6" s="286"/>
      <c r="AV6" s="286"/>
      <c r="AW6" s="286"/>
      <c r="AX6" s="286"/>
      <c r="AY6" s="286"/>
      <c r="AZ6" s="286"/>
      <c r="BA6" s="286"/>
      <c r="BB6" s="286"/>
      <c r="BC6" s="286"/>
      <c r="BD6" s="286"/>
    </row>
    <row r="7" spans="1:56">
      <c r="A7" s="269">
        <v>4</v>
      </c>
      <c r="B7" s="285" t="s">
        <v>14</v>
      </c>
      <c r="C7" s="286">
        <f>'Data-total_employment'!C7-last_qrtr_totalemp!D7</f>
        <v>992.89999999999418</v>
      </c>
      <c r="D7" s="286">
        <f>'Data-total_employment'!D7-last_qrtr_totalemp!E7</f>
        <v>1496</v>
      </c>
      <c r="E7" s="286">
        <f>'Data-total_employment'!E7-last_qrtr_totalemp!F7</f>
        <v>2653.2000000000116</v>
      </c>
      <c r="F7" s="286">
        <f>'Data-total_employment'!F7-last_qrtr_totalemp!G7</f>
        <v>2461.3999999999942</v>
      </c>
      <c r="G7" s="286">
        <f>'Data-total_employment'!G7-last_qrtr_totalemp!H7</f>
        <v>181.30000000001746</v>
      </c>
      <c r="H7" s="286">
        <f>'Data-total_employment'!H7-last_qrtr_totalemp!I7</f>
        <v>880.39999999999418</v>
      </c>
      <c r="I7" s="286">
        <f>'Data-total_employment'!I7-last_qrtr_totalemp!J7</f>
        <v>2516.8000000000175</v>
      </c>
      <c r="J7" s="286">
        <f>'Data-total_employment'!J7-last_qrtr_totalemp!K7</f>
        <v>2949.6999999999825</v>
      </c>
      <c r="K7" s="286">
        <f>'Data-total_employment'!K7-last_qrtr_totalemp!L7</f>
        <v>332.30000000001746</v>
      </c>
      <c r="L7" s="286">
        <f>'Data-total_employment'!L7</f>
        <v>146724.79999999999</v>
      </c>
      <c r="M7" s="285" t="s">
        <v>14</v>
      </c>
      <c r="N7" s="286">
        <f>'Data-total_employment'!N7-last_qrtr_totalemp!O7</f>
        <v>0.19999999999999929</v>
      </c>
      <c r="O7" s="286">
        <f>'Data-total_employment'!O7-last_qrtr_totalemp!P7</f>
        <v>0.20000000000000284</v>
      </c>
      <c r="P7" s="286">
        <f>'Data-total_employment'!P7-last_qrtr_totalemp!Q7</f>
        <v>-0.30000000000000071</v>
      </c>
      <c r="Q7" s="286">
        <f>'Data-total_employment'!Q7-last_qrtr_totalemp!R7</f>
        <v>-0.29999999999999716</v>
      </c>
      <c r="R7" s="286">
        <f>'Data-total_employment'!R7-last_qrtr_totalemp!S7</f>
        <v>0.19999999999999929</v>
      </c>
      <c r="S7" s="286">
        <f>'Data-total_employment'!S7-last_qrtr_totalemp!T7</f>
        <v>0.39999999999999858</v>
      </c>
      <c r="T7" s="286">
        <f>'Data-total_employment'!T7-last_qrtr_totalemp!U7</f>
        <v>-0.40000000000000213</v>
      </c>
      <c r="U7" s="286">
        <f>'Data-total_employment'!U7-last_qrtr_totalemp!V7</f>
        <v>-0.30000000000000071</v>
      </c>
      <c r="V7" s="286">
        <f>'Data-total_employment'!V7-last_qrtr_totalemp!W7</f>
        <v>-0.19999999999999929</v>
      </c>
      <c r="W7" s="286">
        <f>'Data-total_employment'!W7</f>
        <v>21.5</v>
      </c>
      <c r="X7" s="285" t="s">
        <v>14</v>
      </c>
      <c r="Y7" s="286">
        <f>'Data-total_employment'!Y7-last_qrtr_totalemp!Z7</f>
        <v>9.9999999999999645E-2</v>
      </c>
      <c r="Z7" s="286">
        <f>'Data-total_employment'!Z7-last_qrtr_totalemp!AA7</f>
        <v>0.10000000000000142</v>
      </c>
      <c r="AA7" s="286">
        <f>'Data-total_employment'!AA7-last_qrtr_totalemp!AB7</f>
        <v>0.10000000000000142</v>
      </c>
      <c r="AB7" s="286">
        <f>'Data-total_employment'!AB7-last_qrtr_totalemp!AC7</f>
        <v>0.40000000000000036</v>
      </c>
      <c r="AC7" s="286">
        <f>'Data-total_employment'!AC7-last_qrtr_totalemp!AD7</f>
        <v>0.19999999999999929</v>
      </c>
      <c r="AD7" s="286">
        <f>'Data-total_employment'!AD7-last_qrtr_totalemp!AE7</f>
        <v>0.39999999999999858</v>
      </c>
      <c r="AE7" s="286">
        <f>'Data-total_employment'!AE7-last_qrtr_totalemp!AF7</f>
        <v>0.30000000000000071</v>
      </c>
      <c r="AF7" s="286">
        <f>'Data-total_employment'!AF7-last_qrtr_totalemp!AG7</f>
        <v>0.40000000000000036</v>
      </c>
      <c r="AG7" s="286">
        <f>'Data-total_employment'!AG7-last_qrtr_totalemp!AH7</f>
        <v>0.20000000000000107</v>
      </c>
      <c r="AH7" s="286">
        <f>'Data-total_employment'!AH7</f>
        <v>14</v>
      </c>
      <c r="AI7" s="279" t="s">
        <v>14</v>
      </c>
      <c r="AJ7" s="286">
        <f>'Data-total_employment'!AJ7-last_qrtr_totalemp!AK7</f>
        <v>0.19999999999998863</v>
      </c>
      <c r="AK7" s="286">
        <f>'Data-total_employment'!AK7-last_qrtr_totalemp!AL7</f>
        <v>0.5</v>
      </c>
      <c r="AL7" s="286">
        <f>'Data-total_employment'!AL7-last_qrtr_totalemp!AM7</f>
        <v>1.1000000000000085</v>
      </c>
      <c r="AM7" s="286">
        <f>'Data-total_employment'!AM7-last_qrtr_totalemp!AN7</f>
        <v>1.2000000000000028</v>
      </c>
      <c r="AN7" s="286">
        <f>'Data-total_employment'!AN7-last_qrtr_totalemp!AO7</f>
        <v>0</v>
      </c>
      <c r="AO7" s="286">
        <f>'Data-total_employment'!AO7-last_qrtr_totalemp!AP7</f>
        <v>0.39999999999999147</v>
      </c>
      <c r="AP7" s="286">
        <f>'Data-total_employment'!AP7-last_qrtr_totalemp!AQ7</f>
        <v>1.0999999999999943</v>
      </c>
      <c r="AQ7" s="286">
        <f>'Data-total_employment'!AQ7-last_qrtr_totalemp!AR7</f>
        <v>1.3999999999999915</v>
      </c>
      <c r="AR7" s="286">
        <f>'Data-total_employment'!AR7-last_qrtr_totalemp!AS7</f>
        <v>0.20000000000000284</v>
      </c>
      <c r="AS7" s="286">
        <f>'Data-total_employment'!AS7</f>
        <v>67.3</v>
      </c>
      <c r="AU7" s="286"/>
      <c r="AV7" s="286"/>
      <c r="AW7" s="286"/>
      <c r="AX7" s="286"/>
      <c r="AY7" s="286"/>
      <c r="AZ7" s="286"/>
      <c r="BA7" s="286"/>
      <c r="BB7" s="286"/>
      <c r="BC7" s="286"/>
      <c r="BD7" s="286"/>
    </row>
    <row r="8" spans="1:56">
      <c r="A8" s="269">
        <v>5</v>
      </c>
      <c r="B8" s="285" t="s">
        <v>15</v>
      </c>
      <c r="C8" s="286">
        <f>'Data-total_employment'!C8-last_qrtr_totalemp!D8</f>
        <v>983.90000000002328</v>
      </c>
      <c r="D8" s="286">
        <f>'Data-total_employment'!D8-last_qrtr_totalemp!E8</f>
        <v>1486.2000000000116</v>
      </c>
      <c r="E8" s="286">
        <f>'Data-total_employment'!E8-last_qrtr_totalemp!F8</f>
        <v>2631.2000000000116</v>
      </c>
      <c r="F8" s="286">
        <f>'Data-total_employment'!F8-last_qrtr_totalemp!G8</f>
        <v>2455.4000000000233</v>
      </c>
      <c r="G8" s="286">
        <f>'Data-total_employment'!G8-last_qrtr_totalemp!H8</f>
        <v>209.30000000001746</v>
      </c>
      <c r="H8" s="286">
        <f>'Data-total_employment'!H8-last_qrtr_totalemp!I8</f>
        <v>895.5</v>
      </c>
      <c r="I8" s="286">
        <f>'Data-total_employment'!I8-last_qrtr_totalemp!J8</f>
        <v>2519.0999999999767</v>
      </c>
      <c r="J8" s="286">
        <f>'Data-total_employment'!J8-last_qrtr_totalemp!K8</f>
        <v>2939.1999999999825</v>
      </c>
      <c r="K8" s="286">
        <f>'Data-total_employment'!K8-last_qrtr_totalemp!L8</f>
        <v>347.89999999999418</v>
      </c>
      <c r="L8" s="286">
        <f>'Data-total_employment'!L8</f>
        <v>145406.20000000001</v>
      </c>
      <c r="M8" s="285" t="s">
        <v>15</v>
      </c>
      <c r="N8" s="286">
        <f>'Data-total_employment'!N8-last_qrtr_totalemp!O8</f>
        <v>0.10000000000000142</v>
      </c>
      <c r="O8" s="286">
        <f>'Data-total_employment'!O8-last_qrtr_totalemp!P8</f>
        <v>0.30000000000000071</v>
      </c>
      <c r="P8" s="286">
        <f>'Data-total_employment'!P8-last_qrtr_totalemp!Q8</f>
        <v>-0.30000000000000071</v>
      </c>
      <c r="Q8" s="286">
        <f>'Data-total_employment'!Q8-last_qrtr_totalemp!R8</f>
        <v>-0.30000000000000071</v>
      </c>
      <c r="R8" s="286">
        <f>'Data-total_employment'!R8-last_qrtr_totalemp!S8</f>
        <v>0.19999999999999929</v>
      </c>
      <c r="S8" s="286">
        <f>'Data-total_employment'!S8-last_qrtr_totalemp!T8</f>
        <v>0.40000000000000213</v>
      </c>
      <c r="T8" s="286">
        <f>'Data-total_employment'!T8-last_qrtr_totalemp!U8</f>
        <v>-0.39999999999999858</v>
      </c>
      <c r="U8" s="286">
        <f>'Data-total_employment'!U8-last_qrtr_totalemp!V8</f>
        <v>-0.39999999999999858</v>
      </c>
      <c r="V8" s="286">
        <f>'Data-total_employment'!V8-last_qrtr_totalemp!W8</f>
        <v>-0.10000000000000142</v>
      </c>
      <c r="W8" s="286">
        <f>'Data-total_employment'!W8</f>
        <v>21.7</v>
      </c>
      <c r="X8" s="285" t="s">
        <v>15</v>
      </c>
      <c r="Y8" s="286">
        <f>'Data-total_employment'!Y8-last_qrtr_totalemp!Z8</f>
        <v>0.10000000000000142</v>
      </c>
      <c r="Z8" s="286">
        <f>'Data-total_employment'!Z8-last_qrtr_totalemp!AA8</f>
        <v>9.9999999999999645E-2</v>
      </c>
      <c r="AA8" s="286">
        <f>'Data-total_employment'!AA8-last_qrtr_totalemp!AB8</f>
        <v>9.9999999999999645E-2</v>
      </c>
      <c r="AB8" s="286">
        <f>'Data-total_employment'!AB8-last_qrtr_totalemp!AC8</f>
        <v>0.29999999999999893</v>
      </c>
      <c r="AC8" s="286">
        <f>'Data-total_employment'!AC8-last_qrtr_totalemp!AD8</f>
        <v>0.19999999999999929</v>
      </c>
      <c r="AD8" s="286">
        <f>'Data-total_employment'!AD8-last_qrtr_totalemp!AE8</f>
        <v>0.40000000000000036</v>
      </c>
      <c r="AE8" s="286">
        <f>'Data-total_employment'!AE8-last_qrtr_totalemp!AF8</f>
        <v>0.40000000000000036</v>
      </c>
      <c r="AF8" s="286">
        <f>'Data-total_employment'!AF8-last_qrtr_totalemp!AG8</f>
        <v>0.30000000000000071</v>
      </c>
      <c r="AG8" s="286">
        <f>'Data-total_employment'!AG8-last_qrtr_totalemp!AH8</f>
        <v>0.19999999999999929</v>
      </c>
      <c r="AH8" s="286">
        <f>'Data-total_employment'!AH8</f>
        <v>14.1</v>
      </c>
      <c r="AI8" s="279" t="s">
        <v>15</v>
      </c>
      <c r="AJ8" s="286">
        <f>'Data-total_employment'!AJ8-last_qrtr_totalemp!AK8</f>
        <v>0.19999999999998863</v>
      </c>
      <c r="AK8" s="286">
        <f>'Data-total_employment'!AK8-last_qrtr_totalemp!AL8</f>
        <v>0.5</v>
      </c>
      <c r="AL8" s="286">
        <f>'Data-total_employment'!AL8-last_qrtr_totalemp!AM8</f>
        <v>1.1000000000000085</v>
      </c>
      <c r="AM8" s="286">
        <f>'Data-total_employment'!AM8-last_qrtr_totalemp!AN8</f>
        <v>1.1000000000000085</v>
      </c>
      <c r="AN8" s="286">
        <f>'Data-total_employment'!AN8-last_qrtr_totalemp!AO8</f>
        <v>0.10000000000000853</v>
      </c>
      <c r="AO8" s="286">
        <f>'Data-total_employment'!AO8-last_qrtr_totalemp!AP8</f>
        <v>0.39999999999999147</v>
      </c>
      <c r="AP8" s="286">
        <f>'Data-total_employment'!AP8-last_qrtr_totalemp!AQ8</f>
        <v>1.0999999999999943</v>
      </c>
      <c r="AQ8" s="286">
        <f>'Data-total_employment'!AQ8-last_qrtr_totalemp!AR8</f>
        <v>1.3999999999999915</v>
      </c>
      <c r="AR8" s="286">
        <f>'Data-total_employment'!AR8-last_qrtr_totalemp!AS8</f>
        <v>0.10000000000000853</v>
      </c>
      <c r="AS8" s="286">
        <f>'Data-total_employment'!AS8</f>
        <v>67.2</v>
      </c>
      <c r="AU8" s="286"/>
      <c r="AV8" s="286"/>
      <c r="AW8" s="286"/>
      <c r="AX8" s="286"/>
      <c r="AY8" s="286"/>
      <c r="AZ8" s="286"/>
      <c r="BA8" s="286"/>
      <c r="BB8" s="286"/>
      <c r="BC8" s="286"/>
      <c r="BD8" s="286"/>
    </row>
    <row r="9" spans="1:56">
      <c r="A9" s="269">
        <v>6</v>
      </c>
      <c r="B9" s="285" t="s">
        <v>16</v>
      </c>
      <c r="C9" s="286">
        <f>'Data-total_employment'!C9-last_qrtr_totalemp!D9</f>
        <v>994.39999999999418</v>
      </c>
      <c r="D9" s="286">
        <f>'Data-total_employment'!D9-last_qrtr_totalemp!E9</f>
        <v>1491.3999999999942</v>
      </c>
      <c r="E9" s="286">
        <f>'Data-total_employment'!E9-last_qrtr_totalemp!F9</f>
        <v>2639.3000000000175</v>
      </c>
      <c r="F9" s="286">
        <f>'Data-total_employment'!F9-last_qrtr_totalemp!G9</f>
        <v>2457</v>
      </c>
      <c r="G9" s="286">
        <f>'Data-total_employment'!G9-last_qrtr_totalemp!H9</f>
        <v>226.5</v>
      </c>
      <c r="H9" s="286">
        <f>'Data-total_employment'!H9-last_qrtr_totalemp!I9</f>
        <v>898.29999999998836</v>
      </c>
      <c r="I9" s="286">
        <f>'Data-total_employment'!I9-last_qrtr_totalemp!J9</f>
        <v>2508.7000000000116</v>
      </c>
      <c r="J9" s="286">
        <f>'Data-total_employment'!J9-last_qrtr_totalemp!K9</f>
        <v>2921.2999999999884</v>
      </c>
      <c r="K9" s="286">
        <f>'Data-total_employment'!K9-last_qrtr_totalemp!L9</f>
        <v>344</v>
      </c>
      <c r="L9" s="286">
        <f>'Data-total_employment'!L9</f>
        <v>144531.6</v>
      </c>
      <c r="M9" s="285" t="s">
        <v>16</v>
      </c>
      <c r="N9" s="286">
        <f>'Data-total_employment'!N9-last_qrtr_totalemp!O9</f>
        <v>0.10000000000000142</v>
      </c>
      <c r="O9" s="286">
        <f>'Data-total_employment'!O9-last_qrtr_totalemp!P9</f>
        <v>0.29999999999999716</v>
      </c>
      <c r="P9" s="286">
        <f>'Data-total_employment'!P9-last_qrtr_totalemp!Q9</f>
        <v>-0.30000000000000071</v>
      </c>
      <c r="Q9" s="286">
        <f>'Data-total_employment'!Q9-last_qrtr_totalemp!R9</f>
        <v>-0.30000000000000071</v>
      </c>
      <c r="R9" s="286">
        <f>'Data-total_employment'!R9-last_qrtr_totalemp!S9</f>
        <v>0.10000000000000142</v>
      </c>
      <c r="S9" s="286">
        <f>'Data-total_employment'!S9-last_qrtr_totalemp!T9</f>
        <v>0.39999999999999858</v>
      </c>
      <c r="T9" s="286">
        <f>'Data-total_employment'!T9-last_qrtr_totalemp!U9</f>
        <v>-0.40000000000000213</v>
      </c>
      <c r="U9" s="286">
        <f>'Data-total_employment'!U9-last_qrtr_totalemp!V9</f>
        <v>-0.30000000000000071</v>
      </c>
      <c r="V9" s="286">
        <f>'Data-total_employment'!V9-last_qrtr_totalemp!W9</f>
        <v>-0.19999999999999929</v>
      </c>
      <c r="W9" s="286">
        <f>'Data-total_employment'!W9</f>
        <v>21.8</v>
      </c>
      <c r="X9" s="285" t="s">
        <v>16</v>
      </c>
      <c r="Y9" s="286">
        <f>'Data-total_employment'!Y9-last_qrtr_totalemp!Z9</f>
        <v>0</v>
      </c>
      <c r="Z9" s="286">
        <f>'Data-total_employment'!Z9-last_qrtr_totalemp!AA9</f>
        <v>0</v>
      </c>
      <c r="AA9" s="286">
        <f>'Data-total_employment'!AA9-last_qrtr_totalemp!AB9</f>
        <v>9.9999999999999645E-2</v>
      </c>
      <c r="AB9" s="286">
        <f>'Data-total_employment'!AB9-last_qrtr_totalemp!AC9</f>
        <v>0.39999999999999858</v>
      </c>
      <c r="AC9" s="286">
        <f>'Data-total_employment'!AC9-last_qrtr_totalemp!AD9</f>
        <v>0.29999999999999893</v>
      </c>
      <c r="AD9" s="286">
        <f>'Data-total_employment'!AD9-last_qrtr_totalemp!AE9</f>
        <v>0.40000000000000036</v>
      </c>
      <c r="AE9" s="286">
        <f>'Data-total_employment'!AE9-last_qrtr_totalemp!AF9</f>
        <v>0.40000000000000036</v>
      </c>
      <c r="AF9" s="286">
        <f>'Data-total_employment'!AF9-last_qrtr_totalemp!AG9</f>
        <v>0.40000000000000036</v>
      </c>
      <c r="AG9" s="286">
        <f>'Data-total_employment'!AG9-last_qrtr_totalemp!AH9</f>
        <v>0.19999999999999929</v>
      </c>
      <c r="AH9" s="286">
        <f>'Data-total_employment'!AH9</f>
        <v>14.2</v>
      </c>
      <c r="AI9" s="279" t="s">
        <v>16</v>
      </c>
      <c r="AJ9" s="286">
        <f>'Data-total_employment'!AJ9-last_qrtr_totalemp!AK9</f>
        <v>0.19999999999998863</v>
      </c>
      <c r="AK9" s="286">
        <f>'Data-total_employment'!AK9-last_qrtr_totalemp!AL9</f>
        <v>0.5</v>
      </c>
      <c r="AL9" s="286">
        <f>'Data-total_employment'!AL9-last_qrtr_totalemp!AM9</f>
        <v>1.1000000000000085</v>
      </c>
      <c r="AM9" s="286">
        <f>'Data-total_employment'!AM9-last_qrtr_totalemp!AN9</f>
        <v>1.2000000000000028</v>
      </c>
      <c r="AN9" s="286">
        <f>'Data-total_employment'!AN9-last_qrtr_totalemp!AO9</f>
        <v>0.10000000000000853</v>
      </c>
      <c r="AO9" s="286">
        <f>'Data-total_employment'!AO9-last_qrtr_totalemp!AP9</f>
        <v>0.5</v>
      </c>
      <c r="AP9" s="286">
        <f>'Data-total_employment'!AP9-last_qrtr_totalemp!AQ9</f>
        <v>1.0999999999999943</v>
      </c>
      <c r="AQ9" s="286">
        <f>'Data-total_employment'!AQ9-last_qrtr_totalemp!AR9</f>
        <v>1.3999999999999915</v>
      </c>
      <c r="AR9" s="286">
        <f>'Data-total_employment'!AR9-last_qrtr_totalemp!AS9</f>
        <v>0.20000000000000284</v>
      </c>
      <c r="AS9" s="286">
        <f>'Data-total_employment'!AS9</f>
        <v>67.2</v>
      </c>
      <c r="AU9" s="286"/>
      <c r="AV9" s="286"/>
      <c r="AW9" s="286"/>
      <c r="AX9" s="286"/>
      <c r="AY9" s="286"/>
      <c r="AZ9" s="286"/>
      <c r="BA9" s="286"/>
      <c r="BB9" s="286"/>
      <c r="BC9" s="286"/>
      <c r="BD9" s="286"/>
    </row>
    <row r="10" spans="1:56">
      <c r="A10" s="269">
        <v>7</v>
      </c>
      <c r="B10" s="285" t="s">
        <v>35</v>
      </c>
      <c r="C10" s="286">
        <f>'Data-total_employment'!C10-last_qrtr_totalemp!D10</f>
        <v>19.100000000000364</v>
      </c>
      <c r="D10" s="286">
        <f>'Data-total_employment'!D10-last_qrtr_totalemp!E10</f>
        <v>11.199999999999818</v>
      </c>
      <c r="E10" s="286">
        <f>'Data-total_employment'!E10-last_qrtr_totalemp!F10</f>
        <v>107.5</v>
      </c>
      <c r="F10" s="286">
        <f>'Data-total_employment'!F10-last_qrtr_totalemp!G10</f>
        <v>96.5</v>
      </c>
      <c r="G10" s="286">
        <f>'Data-total_employment'!G10-last_qrtr_totalemp!H10</f>
        <v>-24.599999999999454</v>
      </c>
      <c r="H10" s="286">
        <f>'Data-total_employment'!H10-last_qrtr_totalemp!I10</f>
        <v>-18.199999999999818</v>
      </c>
      <c r="I10" s="286">
        <f>'Data-total_employment'!I10-last_qrtr_totalemp!J10</f>
        <v>65</v>
      </c>
      <c r="J10" s="286">
        <f>'Data-total_employment'!J10-last_qrtr_totalemp!K10</f>
        <v>103.80000000000018</v>
      </c>
      <c r="K10" s="286">
        <f>'Data-total_employment'!K10-last_qrtr_totalemp!L10</f>
        <v>-12.199999999999818</v>
      </c>
      <c r="L10" s="286">
        <f>'Data-total_employment'!L10</f>
        <v>4240.1000000000004</v>
      </c>
      <c r="M10" s="285" t="s">
        <v>35</v>
      </c>
      <c r="N10" s="286">
        <f>'Data-total_employment'!N10-last_qrtr_totalemp!O10</f>
        <v>0.5</v>
      </c>
      <c r="O10" s="286">
        <f>'Data-total_employment'!O10-last_qrtr_totalemp!P10</f>
        <v>1.2999999999999972</v>
      </c>
      <c r="P10" s="286">
        <f>'Data-total_employment'!P10-last_qrtr_totalemp!Q10</f>
        <v>-0.10000000000000142</v>
      </c>
      <c r="Q10" s="286">
        <f>'Data-total_employment'!Q10-last_qrtr_totalemp!R10</f>
        <v>-0.10000000000000142</v>
      </c>
      <c r="R10" s="286">
        <f>'Data-total_employment'!R10-last_qrtr_totalemp!S10</f>
        <v>0.60000000000000142</v>
      </c>
      <c r="S10" s="286">
        <f>'Data-total_employment'!S10-last_qrtr_totalemp!T10</f>
        <v>0.90000000000000213</v>
      </c>
      <c r="T10" s="286">
        <f>'Data-total_employment'!T10-last_qrtr_totalemp!U10</f>
        <v>-0.89999999999999858</v>
      </c>
      <c r="U10" s="286">
        <f>'Data-total_employment'!U10-last_qrtr_totalemp!V10</f>
        <v>-0.69999999999999929</v>
      </c>
      <c r="V10" s="286">
        <f>'Data-total_employment'!V10-last_qrtr_totalemp!W10</f>
        <v>0.29999999999999716</v>
      </c>
      <c r="W10" s="286">
        <f>'Data-total_employment'!W10</f>
        <v>27.3</v>
      </c>
      <c r="X10" s="285" t="s">
        <v>35</v>
      </c>
      <c r="Y10" s="286">
        <f>'Data-total_employment'!Y10-last_qrtr_totalemp!Z10</f>
        <v>-0.19999999999999929</v>
      </c>
      <c r="Z10" s="286">
        <f>'Data-total_employment'!Z10-last_qrtr_totalemp!AA10</f>
        <v>-0.20000000000000018</v>
      </c>
      <c r="AA10" s="286">
        <f>'Data-total_employment'!AA10-last_qrtr_totalemp!AB10</f>
        <v>-9.9999999999999645E-2</v>
      </c>
      <c r="AB10" s="286">
        <f>'Data-total_employment'!AB10-last_qrtr_totalemp!AC10</f>
        <v>9.9999999999999645E-2</v>
      </c>
      <c r="AC10" s="286">
        <f>'Data-total_employment'!AC10-last_qrtr_totalemp!AD10</f>
        <v>0.19999999999999929</v>
      </c>
      <c r="AD10" s="286">
        <f>'Data-total_employment'!AD10-last_qrtr_totalemp!AE10</f>
        <v>0.30000000000000071</v>
      </c>
      <c r="AE10" s="286">
        <f>'Data-total_employment'!AE10-last_qrtr_totalemp!AF10</f>
        <v>0.19999999999999929</v>
      </c>
      <c r="AF10" s="286">
        <f>'Data-total_employment'!AF10-last_qrtr_totalemp!AG10</f>
        <v>-9.9999999999999645E-2</v>
      </c>
      <c r="AG10" s="286">
        <f>'Data-total_employment'!AG10-last_qrtr_totalemp!AH10</f>
        <v>-0.40000000000000036</v>
      </c>
      <c r="AH10" s="286">
        <f>'Data-total_employment'!AH10</f>
        <v>8</v>
      </c>
      <c r="AI10" s="279" t="s">
        <v>35</v>
      </c>
      <c r="AJ10" s="286">
        <f>'Data-total_employment'!AJ10-last_qrtr_totalemp!AK10</f>
        <v>-0.39999999999999147</v>
      </c>
      <c r="AK10" s="286">
        <f>'Data-total_employment'!AK10-last_qrtr_totalemp!AL10</f>
        <v>-0.69999999999998863</v>
      </c>
      <c r="AL10" s="286">
        <f>'Data-total_employment'!AL10-last_qrtr_totalemp!AM10</f>
        <v>1.2999999999999972</v>
      </c>
      <c r="AM10" s="286">
        <f>'Data-total_employment'!AM10-last_qrtr_totalemp!AN10</f>
        <v>1.3999999999999915</v>
      </c>
      <c r="AN10" s="286">
        <f>'Data-total_employment'!AN10-last_qrtr_totalemp!AO10</f>
        <v>-0.40000000000000568</v>
      </c>
      <c r="AO10" s="286">
        <f>'Data-total_employment'!AO10-last_qrtr_totalemp!AP10</f>
        <v>-0.39999999999999147</v>
      </c>
      <c r="AP10" s="286">
        <f>'Data-total_employment'!AP10-last_qrtr_totalemp!AQ10</f>
        <v>1.1000000000000085</v>
      </c>
      <c r="AQ10" s="286">
        <f>'Data-total_employment'!AQ10-last_qrtr_totalemp!AR10</f>
        <v>1.7000000000000028</v>
      </c>
      <c r="AR10" s="286">
        <f>'Data-total_employment'!AR10-last_qrtr_totalemp!AS10</f>
        <v>-0.20000000000000284</v>
      </c>
      <c r="AS10" s="286">
        <f>'Data-total_employment'!AS10</f>
        <v>73</v>
      </c>
      <c r="AT10" s="279" t="s">
        <v>35</v>
      </c>
      <c r="AU10" s="286">
        <f>'Data-total_employment'!AU10-last_qrtr_totalemp!AV10</f>
        <v>2</v>
      </c>
      <c r="AV10" s="286">
        <f>'Data-total_employment'!AV10-last_qrtr_totalemp!AW10</f>
        <v>-4</v>
      </c>
      <c r="AW10" s="286">
        <f>'Data-total_employment'!AW10-last_qrtr_totalemp!AX10</f>
        <v>1</v>
      </c>
      <c r="AX10" s="286">
        <f>'Data-total_employment'!AX10-last_qrtr_totalemp!AY10</f>
        <v>17</v>
      </c>
      <c r="AY10" s="286">
        <f>'Data-total_employment'!AY10-last_qrtr_totalemp!AZ10</f>
        <v>4</v>
      </c>
      <c r="AZ10" s="286">
        <f>'Data-total_employment'!AZ10-last_qrtr_totalemp!BA10</f>
        <v>-23</v>
      </c>
      <c r="BA10" s="286">
        <f>'Data-total_employment'!BA10-last_qrtr_totalemp!BB10</f>
        <v>3</v>
      </c>
      <c r="BB10" s="286">
        <f>'Data-total_employment'!BB10-last_qrtr_totalemp!BC10</f>
        <v>5</v>
      </c>
      <c r="BC10" s="286">
        <f>'Data-total_employment'!BC10-last_qrtr_totalemp!BD10</f>
        <v>-9</v>
      </c>
      <c r="BD10" s="286">
        <f>'Data-total_employment'!BD10</f>
        <v>65</v>
      </c>
    </row>
    <row r="11" spans="1:56">
      <c r="A11" s="269">
        <v>8</v>
      </c>
      <c r="B11" s="285" t="s">
        <v>17</v>
      </c>
      <c r="C11" s="286">
        <f>'Data-total_employment'!C11-last_qrtr_totalemp!D11</f>
        <v>23.800000000000182</v>
      </c>
      <c r="D11" s="286">
        <f>'Data-total_employment'!D11-last_qrtr_totalemp!E11</f>
        <v>0.8999999999996362</v>
      </c>
      <c r="E11" s="286">
        <f>'Data-total_employment'!E11-last_qrtr_totalemp!F11</f>
        <v>20.5</v>
      </c>
      <c r="F11" s="286">
        <f>'Data-total_employment'!F11-last_qrtr_totalemp!G11</f>
        <v>137.19999999999982</v>
      </c>
      <c r="G11" s="286">
        <f>'Data-total_employment'!G11-last_qrtr_totalemp!H11</f>
        <v>3</v>
      </c>
      <c r="H11" s="286">
        <f>'Data-total_employment'!H11-last_qrtr_totalemp!I11</f>
        <v>34.600000000000364</v>
      </c>
      <c r="I11" s="286">
        <f>'Data-total_employment'!I11-last_qrtr_totalemp!J11</f>
        <v>-24.900000000000546</v>
      </c>
      <c r="J11" s="286">
        <f>'Data-total_employment'!J11-last_qrtr_totalemp!K11</f>
        <v>143.60000000000036</v>
      </c>
      <c r="K11" s="286">
        <f>'Data-total_employment'!K11-last_qrtr_totalemp!L11</f>
        <v>94.600000000000364</v>
      </c>
      <c r="L11" s="286">
        <f>'Data-total_employment'!L11</f>
        <v>4643.3</v>
      </c>
      <c r="M11" s="285" t="s">
        <v>17</v>
      </c>
      <c r="N11" s="286">
        <f>'Data-total_employment'!N11-last_qrtr_totalemp!O11</f>
        <v>-0.40000000000000213</v>
      </c>
      <c r="O11" s="286">
        <f>'Data-total_employment'!O11-last_qrtr_totalemp!P11</f>
        <v>1.1999999999999993</v>
      </c>
      <c r="P11" s="286">
        <f>'Data-total_employment'!P11-last_qrtr_totalemp!Q11</f>
        <v>0.60000000000000142</v>
      </c>
      <c r="Q11" s="286">
        <f>'Data-total_employment'!Q11-last_qrtr_totalemp!R11</f>
        <v>0.60000000000000142</v>
      </c>
      <c r="R11" s="286">
        <f>'Data-total_employment'!R11-last_qrtr_totalemp!S11</f>
        <v>-1.3000000000000007</v>
      </c>
      <c r="S11" s="286">
        <f>'Data-total_employment'!S11-last_qrtr_totalemp!T11</f>
        <v>0.80000000000000071</v>
      </c>
      <c r="T11" s="286">
        <f>'Data-total_employment'!T11-last_qrtr_totalemp!U11</f>
        <v>-0.30000000000000071</v>
      </c>
      <c r="U11" s="286">
        <f>'Data-total_employment'!U11-last_qrtr_totalemp!V11</f>
        <v>1.1000000000000014</v>
      </c>
      <c r="V11" s="286">
        <f>'Data-total_employment'!V11-last_qrtr_totalemp!W11</f>
        <v>-0.80000000000000071</v>
      </c>
      <c r="W11" s="286">
        <f>'Data-total_employment'!W11</f>
        <v>24.6</v>
      </c>
      <c r="X11" s="285" t="s">
        <v>17</v>
      </c>
      <c r="Y11" s="286">
        <f>'Data-total_employment'!Y11-last_qrtr_totalemp!Z11</f>
        <v>-9.9999999999999645E-2</v>
      </c>
      <c r="Z11" s="286">
        <f>'Data-total_employment'!Z11-last_qrtr_totalemp!AA11</f>
        <v>0.5</v>
      </c>
      <c r="AA11" s="286">
        <f>'Data-total_employment'!AA11-last_qrtr_totalemp!AB11</f>
        <v>-9.9999999999999645E-2</v>
      </c>
      <c r="AB11" s="286">
        <f>'Data-total_employment'!AB11-last_qrtr_totalemp!AC11</f>
        <v>0.49999999999999911</v>
      </c>
      <c r="AC11" s="286">
        <f>'Data-total_employment'!AC11-last_qrtr_totalemp!AD11</f>
        <v>0.19999999999999929</v>
      </c>
      <c r="AD11" s="286">
        <f>'Data-total_employment'!AD11-last_qrtr_totalemp!AE11</f>
        <v>1</v>
      </c>
      <c r="AE11" s="286">
        <f>'Data-total_employment'!AE11-last_qrtr_totalemp!AF11</f>
        <v>1.7000000000000011</v>
      </c>
      <c r="AF11" s="286">
        <f>'Data-total_employment'!AF11-last_qrtr_totalemp!AG11</f>
        <v>1.1000000000000014</v>
      </c>
      <c r="AG11" s="286">
        <f>'Data-total_employment'!AG11-last_qrtr_totalemp!AH11</f>
        <v>0.40000000000000036</v>
      </c>
      <c r="AH11" s="286">
        <f>'Data-total_employment'!AH11</f>
        <v>9.1</v>
      </c>
      <c r="AI11" s="279" t="s">
        <v>17</v>
      </c>
      <c r="AJ11" s="286">
        <f>'Data-total_employment'!AJ11-last_qrtr_totalemp!AK11</f>
        <v>0.20000000000000284</v>
      </c>
      <c r="AK11" s="286">
        <f>'Data-total_employment'!AK11-last_qrtr_totalemp!AL11</f>
        <v>-0.10000000000000142</v>
      </c>
      <c r="AL11" s="286">
        <f>'Data-total_employment'!AL11-last_qrtr_totalemp!AM11</f>
        <v>0.40000000000000568</v>
      </c>
      <c r="AM11" s="286">
        <f>'Data-total_employment'!AM11-last_qrtr_totalemp!AN11</f>
        <v>1.7999999999999972</v>
      </c>
      <c r="AN11" s="286">
        <f>'Data-total_employment'!AN11-last_qrtr_totalemp!AO11</f>
        <v>0.20000000000000284</v>
      </c>
      <c r="AO11" s="286">
        <f>'Data-total_employment'!AO11-last_qrtr_totalemp!AP11</f>
        <v>0.59999999999999432</v>
      </c>
      <c r="AP11" s="286">
        <f>'Data-total_employment'!AP11-last_qrtr_totalemp!AQ11</f>
        <v>0</v>
      </c>
      <c r="AQ11" s="286">
        <f>'Data-total_employment'!AQ11-last_qrtr_totalemp!AR11</f>
        <v>1.8999999999999915</v>
      </c>
      <c r="AR11" s="286">
        <f>'Data-total_employment'!AR11-last_qrtr_totalemp!AS11</f>
        <v>1.1000000000000014</v>
      </c>
      <c r="AS11" s="286">
        <f>'Data-total_employment'!AS11</f>
        <v>63.7</v>
      </c>
      <c r="AT11" s="289" t="s">
        <v>546</v>
      </c>
      <c r="AU11" s="286">
        <f>'Data-total_employment'!AU11-last_qrtr_totalemp!AV11</f>
        <v>0</v>
      </c>
      <c r="AV11" s="286">
        <f>'Data-total_employment'!AV11-last_qrtr_totalemp!AW11</f>
        <v>0</v>
      </c>
      <c r="AW11" s="286">
        <f>'Data-total_employment'!AW11-last_qrtr_totalemp!AX11</f>
        <v>0</v>
      </c>
      <c r="AX11" s="286">
        <f>'Data-total_employment'!AX11-last_qrtr_totalemp!AY11</f>
        <v>0</v>
      </c>
      <c r="AY11" s="286">
        <f>'Data-total_employment'!AY11-last_qrtr_totalemp!AZ11</f>
        <v>0</v>
      </c>
      <c r="AZ11" s="286">
        <f>'Data-total_employment'!AZ11-last_qrtr_totalemp!BA11</f>
        <v>0</v>
      </c>
      <c r="BA11" s="286">
        <f>'Data-total_employment'!BA11-last_qrtr_totalemp!BB11</f>
        <v>75</v>
      </c>
      <c r="BB11" s="286">
        <f>'Data-total_employment'!BB11-last_qrtr_totalemp!BC11</f>
        <v>79</v>
      </c>
      <c r="BC11" s="286">
        <f>'Data-total_employment'!BC11-last_qrtr_totalemp!BD11</f>
        <v>84</v>
      </c>
      <c r="BD11" s="286">
        <f>'Data-total_employment'!BD11</f>
        <v>54</v>
      </c>
    </row>
    <row r="12" spans="1:56">
      <c r="A12" s="269">
        <v>9</v>
      </c>
      <c r="B12" s="285" t="s">
        <v>18</v>
      </c>
      <c r="C12" s="286">
        <f>'Data-total_employment'!C12-last_qrtr_totalemp!D12</f>
        <v>-40.199999999999818</v>
      </c>
      <c r="D12" s="286">
        <f>'Data-total_employment'!D12-last_qrtr_totalemp!E12</f>
        <v>-72</v>
      </c>
      <c r="E12" s="286">
        <f>'Data-total_employment'!E12-last_qrtr_totalemp!F12</f>
        <v>-11.5</v>
      </c>
      <c r="F12" s="286">
        <f>'Data-total_employment'!F12-last_qrtr_totalemp!G12</f>
        <v>26.599999999999909</v>
      </c>
      <c r="G12" s="286">
        <f>'Data-total_employment'!G12-last_qrtr_totalemp!H12</f>
        <v>-4.7999999999997272</v>
      </c>
      <c r="H12" s="286">
        <f>'Data-total_employment'!H12-last_qrtr_totalemp!I12</f>
        <v>104.80000000000018</v>
      </c>
      <c r="I12" s="286">
        <f>'Data-total_employment'!I12-last_qrtr_totalemp!J12</f>
        <v>200.09999999999991</v>
      </c>
      <c r="J12" s="286">
        <f>'Data-total_employment'!J12-last_qrtr_totalemp!K12</f>
        <v>124</v>
      </c>
      <c r="K12" s="286">
        <f>'Data-total_employment'!K12-last_qrtr_totalemp!L12</f>
        <v>-69.099999999999909</v>
      </c>
      <c r="L12" s="286">
        <f>'Data-total_employment'!L12</f>
        <v>3078.2</v>
      </c>
      <c r="M12" s="285" t="s">
        <v>18</v>
      </c>
      <c r="N12" s="286">
        <f>'Data-total_employment'!N12-last_qrtr_totalemp!O12</f>
        <v>-0.10000000000000009</v>
      </c>
      <c r="O12" s="286">
        <f>'Data-total_employment'!O12-last_qrtr_totalemp!P12</f>
        <v>-0.10000000000000009</v>
      </c>
      <c r="P12" s="286">
        <f>'Data-total_employment'!P12-last_qrtr_totalemp!Q12</f>
        <v>-0.30000000000000004</v>
      </c>
      <c r="Q12" s="286">
        <f>'Data-total_employment'!Q12-last_qrtr_totalemp!R12</f>
        <v>-0.10000000000000009</v>
      </c>
      <c r="R12" s="286">
        <f>'Data-total_employment'!R12-last_qrtr_totalemp!S12</f>
        <v>0.10000000000000009</v>
      </c>
      <c r="S12" s="286">
        <f>'Data-total_employment'!S12-last_qrtr_totalemp!T12</f>
        <v>0.59999999999999987</v>
      </c>
      <c r="T12" s="286">
        <f>'Data-total_employment'!T12-last_qrtr_totalemp!U12</f>
        <v>0.20000000000000018</v>
      </c>
      <c r="U12" s="286">
        <f>'Data-total_employment'!U12-last_qrtr_totalemp!V12</f>
        <v>-0.20000000000000018</v>
      </c>
      <c r="V12" s="286">
        <f>'Data-total_employment'!V12-last_qrtr_totalemp!W12</f>
        <v>-0.39999999999999991</v>
      </c>
      <c r="W12" s="286">
        <f>'Data-total_employment'!W12</f>
        <v>1.9</v>
      </c>
      <c r="X12" s="285" t="s">
        <v>18</v>
      </c>
      <c r="Y12" s="286">
        <f>'Data-total_employment'!Y12-last_qrtr_totalemp!Z12</f>
        <v>-9.9999999999999645E-2</v>
      </c>
      <c r="Z12" s="286">
        <f>'Data-total_employment'!Z12-last_qrtr_totalemp!AA12</f>
        <v>-0.39999999999999991</v>
      </c>
      <c r="AA12" s="286">
        <f>'Data-total_employment'!AA12-last_qrtr_totalemp!AB12</f>
        <v>0</v>
      </c>
      <c r="AB12" s="286">
        <f>'Data-total_employment'!AB12-last_qrtr_totalemp!AC12</f>
        <v>-0.20000000000000018</v>
      </c>
      <c r="AC12" s="286">
        <f>'Data-total_employment'!AC12-last_qrtr_totalemp!AD12</f>
        <v>0.29999999999999982</v>
      </c>
      <c r="AD12" s="286">
        <f>'Data-total_employment'!AD12-last_qrtr_totalemp!AE12</f>
        <v>0.49999999999999956</v>
      </c>
      <c r="AE12" s="286">
        <f>'Data-total_employment'!AE12-last_qrtr_totalemp!AF12</f>
        <v>0.19999999999999973</v>
      </c>
      <c r="AF12" s="286">
        <f>'Data-total_employment'!AF12-last_qrtr_totalemp!AG12</f>
        <v>-0.10000000000000009</v>
      </c>
      <c r="AG12" s="286">
        <f>'Data-total_employment'!AG12-last_qrtr_totalemp!AH12</f>
        <v>-0.19999999999999973</v>
      </c>
      <c r="AH12" s="286">
        <f>'Data-total_employment'!AH12</f>
        <v>3.5</v>
      </c>
      <c r="AI12" s="279" t="s">
        <v>18</v>
      </c>
      <c r="AJ12" s="286">
        <f>'Data-total_employment'!AJ12-last_qrtr_totalemp!AK12</f>
        <v>-0.10000000000000142</v>
      </c>
      <c r="AK12" s="286">
        <f>'Data-total_employment'!AK12-last_qrtr_totalemp!AL12</f>
        <v>-0.79999999999999716</v>
      </c>
      <c r="AL12" s="286">
        <f>'Data-total_employment'!AL12-last_qrtr_totalemp!AM12</f>
        <v>0.5</v>
      </c>
      <c r="AM12" s="286">
        <f>'Data-total_employment'!AM12-last_qrtr_totalemp!AN12</f>
        <v>1.1000000000000014</v>
      </c>
      <c r="AN12" s="286">
        <f>'Data-total_employment'!AN12-last_qrtr_totalemp!AO12</f>
        <v>0.59999999999999432</v>
      </c>
      <c r="AO12" s="286">
        <f>'Data-total_employment'!AO12-last_qrtr_totalemp!AP12</f>
        <v>3</v>
      </c>
      <c r="AP12" s="286">
        <f>'Data-total_employment'!AP12-last_qrtr_totalemp!AQ12</f>
        <v>5.1000000000000014</v>
      </c>
      <c r="AQ12" s="286">
        <f>'Data-total_employment'!AQ12-last_qrtr_totalemp!AR12</f>
        <v>3.2000000000000028</v>
      </c>
      <c r="AR12" s="286">
        <f>'Data-total_employment'!AR12-last_qrtr_totalemp!AS12</f>
        <v>-0.70000000000000284</v>
      </c>
      <c r="AS12" s="286">
        <f>'Data-total_employment'!AS12</f>
        <v>67.900000000000006</v>
      </c>
      <c r="AT12" s="279" t="s">
        <v>18</v>
      </c>
      <c r="AU12" s="286">
        <f>'Data-total_employment'!AU12-last_qrtr_totalemp!AV12</f>
        <v>-15</v>
      </c>
      <c r="AV12" s="286">
        <f>'Data-total_employment'!AV12-last_qrtr_totalemp!AW12</f>
        <v>-57</v>
      </c>
      <c r="AW12" s="286">
        <f>'Data-total_employment'!AW12-last_qrtr_totalemp!AX12</f>
        <v>11</v>
      </c>
      <c r="AX12" s="286">
        <f>'Data-total_employment'!AX12-last_qrtr_totalemp!AY12</f>
        <v>28</v>
      </c>
      <c r="AY12" s="286">
        <f>'Data-total_employment'!AY12-last_qrtr_totalemp!AZ12</f>
        <v>-13</v>
      </c>
      <c r="AZ12" s="286">
        <f>'Data-total_employment'!AZ12-last_qrtr_totalemp!BA12</f>
        <v>-11</v>
      </c>
      <c r="BA12" s="286">
        <f>'Data-total_employment'!BA12-last_qrtr_totalemp!BB12</f>
        <v>26</v>
      </c>
      <c r="BB12" s="286">
        <f>'Data-total_employment'!BB12-last_qrtr_totalemp!BC12</f>
        <v>6</v>
      </c>
      <c r="BC12" s="286">
        <f>'Data-total_employment'!BC12-last_qrtr_totalemp!BD12</f>
        <v>-29</v>
      </c>
      <c r="BD12" s="286">
        <f>'Data-total_employment'!BD12</f>
        <v>10</v>
      </c>
    </row>
    <row r="13" spans="1:56">
      <c r="A13" s="269">
        <v>10</v>
      </c>
      <c r="B13" s="285" t="s">
        <v>26</v>
      </c>
      <c r="C13" s="286">
        <f>'Data-total_employment'!C13-last_qrtr_totalemp!D13</f>
        <v>-47.5</v>
      </c>
      <c r="D13" s="286">
        <f>'Data-total_employment'!D13-last_qrtr_totalemp!E13</f>
        <v>-16.200000000000045</v>
      </c>
      <c r="E13" s="286">
        <f>'Data-total_employment'!E13-last_qrtr_totalemp!F13</f>
        <v>57.400000000000091</v>
      </c>
      <c r="F13" s="286">
        <f>'Data-total_employment'!F13-last_qrtr_totalemp!G13</f>
        <v>37.799999999999955</v>
      </c>
      <c r="G13" s="286">
        <f>'Data-total_employment'!G13-last_qrtr_totalemp!H13</f>
        <v>-53.299999999999955</v>
      </c>
      <c r="H13" s="286">
        <f>'Data-total_employment'!H13-last_qrtr_totalemp!I13</f>
        <v>6.2999999999999545</v>
      </c>
      <c r="I13" s="286">
        <f>'Data-total_employment'!I13-last_qrtr_totalemp!J13</f>
        <v>98.700000000000045</v>
      </c>
      <c r="J13" s="286">
        <f>'Data-total_employment'!J13-last_qrtr_totalemp!K13</f>
        <v>85.299999999999955</v>
      </c>
      <c r="K13" s="286">
        <f>'Data-total_employment'!K13-last_qrtr_totalemp!L13</f>
        <v>-19.899999999999864</v>
      </c>
      <c r="L13" s="286">
        <f>'Data-total_employment'!L13</f>
        <v>1644.2</v>
      </c>
      <c r="M13" s="285" t="s">
        <v>26</v>
      </c>
      <c r="N13" s="286">
        <f>'Data-total_employment'!N13-last_qrtr_totalemp!O13</f>
        <v>-0.5</v>
      </c>
      <c r="O13" s="286">
        <f>'Data-total_employment'!O13-last_qrtr_totalemp!P13</f>
        <v>-0.29999999999999982</v>
      </c>
      <c r="P13" s="286">
        <f>'Data-total_employment'!P13-last_qrtr_totalemp!Q13</f>
        <v>0.5</v>
      </c>
      <c r="Q13" s="286">
        <f>'Data-total_employment'!Q13-last_qrtr_totalemp!R13</f>
        <v>-0.89999999999999947</v>
      </c>
      <c r="R13" s="286">
        <f>'Data-total_employment'!R13-last_qrtr_totalemp!S13</f>
        <v>-1.5</v>
      </c>
      <c r="S13" s="286">
        <f>'Data-total_employment'!S13-last_qrtr_totalemp!T13</f>
        <v>-1.5</v>
      </c>
      <c r="T13" s="286">
        <f>'Data-total_employment'!T13-last_qrtr_totalemp!U13</f>
        <v>0.29999999999999982</v>
      </c>
      <c r="U13" s="286">
        <f>'Data-total_employment'!U13-last_qrtr_totalemp!V13</f>
        <v>0.70000000000000018</v>
      </c>
      <c r="V13" s="286">
        <f>'Data-total_employment'!V13-last_qrtr_totalemp!W13</f>
        <v>0.59999999999999964</v>
      </c>
      <c r="W13" s="286">
        <f>'Data-total_employment'!W13</f>
        <v>4.5</v>
      </c>
      <c r="X13" s="285" t="s">
        <v>26</v>
      </c>
      <c r="Y13" s="286">
        <f>'Data-total_employment'!Y13-last_qrtr_totalemp!Z13</f>
        <v>2.3000000000000007</v>
      </c>
      <c r="Z13" s="286">
        <f>'Data-total_employment'!Z13-last_qrtr_totalemp!AA13</f>
        <v>2</v>
      </c>
      <c r="AA13" s="286">
        <f>'Data-total_employment'!AA13-last_qrtr_totalemp!AB13</f>
        <v>1.5</v>
      </c>
      <c r="AB13" s="286">
        <f>'Data-total_employment'!AB13-last_qrtr_totalemp!AC13</f>
        <v>0</v>
      </c>
      <c r="AC13" s="286">
        <f>'Data-total_employment'!AC13-last_qrtr_totalemp!AD13</f>
        <v>-1.8999999999999986</v>
      </c>
      <c r="AD13" s="286">
        <f>'Data-total_employment'!AD13-last_qrtr_totalemp!AE13</f>
        <v>-1.1999999999999993</v>
      </c>
      <c r="AE13" s="286">
        <f>'Data-total_employment'!AE13-last_qrtr_totalemp!AF13</f>
        <v>0</v>
      </c>
      <c r="AF13" s="286">
        <f>'Data-total_employment'!AF13-last_qrtr_totalemp!AG13</f>
        <v>0</v>
      </c>
      <c r="AG13" s="286">
        <f>'Data-total_employment'!AG13-last_qrtr_totalemp!AH13</f>
        <v>0</v>
      </c>
      <c r="AH13" s="286">
        <f>'Data-total_employment'!AH13</f>
        <v>17.5</v>
      </c>
      <c r="AI13" s="279" t="s">
        <v>26</v>
      </c>
      <c r="AJ13" s="286">
        <f>'Data-total_employment'!AJ13-last_qrtr_totalemp!AK13</f>
        <v>-1.2000000000000028</v>
      </c>
      <c r="AK13" s="286">
        <f>'Data-total_employment'!AK13-last_qrtr_totalemp!AL13</f>
        <v>-0.10000000000000142</v>
      </c>
      <c r="AL13" s="286">
        <f>'Data-total_employment'!AL13-last_qrtr_totalemp!AM13</f>
        <v>2.6000000000000014</v>
      </c>
      <c r="AM13" s="286">
        <f>'Data-total_employment'!AM13-last_qrtr_totalemp!AN13</f>
        <v>1.7999999999999972</v>
      </c>
      <c r="AN13" s="286">
        <f>'Data-total_employment'!AN13-last_qrtr_totalemp!AO13</f>
        <v>-1.5</v>
      </c>
      <c r="AO13" s="286">
        <f>'Data-total_employment'!AO13-last_qrtr_totalemp!AP13</f>
        <v>0.80000000000000426</v>
      </c>
      <c r="AP13" s="286">
        <f>'Data-total_employment'!AP13-last_qrtr_totalemp!AQ13</f>
        <v>4.2000000000000028</v>
      </c>
      <c r="AQ13" s="286">
        <f>'Data-total_employment'!AQ13-last_qrtr_totalemp!AR13</f>
        <v>3.7000000000000028</v>
      </c>
      <c r="AR13" s="286">
        <f>'Data-total_employment'!AR13-last_qrtr_totalemp!AS13</f>
        <v>-0.20000000000000284</v>
      </c>
      <c r="AS13" s="286">
        <f>'Data-total_employment'!AS13</f>
        <v>61.1</v>
      </c>
      <c r="AT13" s="279" t="s">
        <v>26</v>
      </c>
      <c r="AU13" s="286">
        <f>'Data-total_employment'!AU13-last_qrtr_totalemp!AV13</f>
        <v>-22</v>
      </c>
      <c r="AV13" s="286">
        <f>'Data-total_employment'!AV13-last_qrtr_totalemp!AW13</f>
        <v>4</v>
      </c>
      <c r="AW13" s="286">
        <f>'Data-total_employment'!AW13-last_qrtr_totalemp!AX13</f>
        <v>31</v>
      </c>
      <c r="AX13" s="286">
        <f>'Data-total_employment'!AX13-last_qrtr_totalemp!AY13</f>
        <v>5</v>
      </c>
      <c r="AY13" s="286">
        <f>'Data-total_employment'!AY13-last_qrtr_totalemp!AZ13</f>
        <v>-25</v>
      </c>
      <c r="AZ13" s="286">
        <f>'Data-total_employment'!AZ13-last_qrtr_totalemp!BA13</f>
        <v>-14</v>
      </c>
      <c r="BA13" s="286">
        <f>'Data-total_employment'!BA13-last_qrtr_totalemp!BB13</f>
        <v>21</v>
      </c>
      <c r="BB13" s="286">
        <f>'Data-total_employment'!BB13-last_qrtr_totalemp!BC13</f>
        <v>22</v>
      </c>
      <c r="BC13" s="286">
        <f>'Data-total_employment'!BC13-last_qrtr_totalemp!BD13</f>
        <v>-32</v>
      </c>
      <c r="BD13" s="286">
        <f>'Data-total_employment'!BD13</f>
        <v>21</v>
      </c>
    </row>
    <row r="14" spans="1:56">
      <c r="A14" s="269">
        <v>11</v>
      </c>
      <c r="B14" s="285" t="s">
        <v>28</v>
      </c>
      <c r="C14" s="286">
        <f>'Data-total_employment'!C14-last_qrtr_totalemp!D14</f>
        <v>-11.5</v>
      </c>
      <c r="D14" s="286">
        <f>'Data-total_employment'!D14-last_qrtr_totalemp!E14</f>
        <v>8.6999999999999886</v>
      </c>
      <c r="E14" s="286">
        <f>'Data-total_employment'!E14-last_qrtr_totalemp!F14</f>
        <v>4.3000000000000114</v>
      </c>
      <c r="F14" s="286">
        <f>'Data-total_employment'!F14-last_qrtr_totalemp!G14</f>
        <v>18</v>
      </c>
      <c r="G14" s="286">
        <f>'Data-total_employment'!G14-last_qrtr_totalemp!H14</f>
        <v>-1.5</v>
      </c>
      <c r="H14" s="286">
        <f>'Data-total_employment'!H14-last_qrtr_totalemp!I14</f>
        <v>13.899999999999977</v>
      </c>
      <c r="I14" s="286">
        <f>'Data-total_employment'!I14-last_qrtr_totalemp!J14</f>
        <v>17.300000000000011</v>
      </c>
      <c r="J14" s="286">
        <f>'Data-total_employment'!J14-last_qrtr_totalemp!K14</f>
        <v>18.5</v>
      </c>
      <c r="K14" s="286">
        <f>'Data-total_employment'!K14-last_qrtr_totalemp!L14</f>
        <v>5.4000000000000341</v>
      </c>
      <c r="L14" s="286">
        <f>'Data-total_employment'!L14</f>
        <v>392.1</v>
      </c>
      <c r="M14" s="285" t="s">
        <v>28</v>
      </c>
      <c r="N14" s="286">
        <f>'Data-total_employment'!N14-last_qrtr_totalemp!O14</f>
        <v>0.5</v>
      </c>
      <c r="O14" s="286">
        <f>'Data-total_employment'!O14-last_qrtr_totalemp!P14</f>
        <v>1.4000000000000004</v>
      </c>
      <c r="P14" s="286">
        <f>'Data-total_employment'!P14-last_qrtr_totalemp!Q14</f>
        <v>-0.19999999999999929</v>
      </c>
      <c r="Q14" s="286">
        <f>'Data-total_employment'!Q14-last_qrtr_totalemp!R14</f>
        <v>0.20000000000000107</v>
      </c>
      <c r="R14" s="286">
        <f>'Data-total_employment'!R14-last_qrtr_totalemp!S14</f>
        <v>0.29999999999999893</v>
      </c>
      <c r="S14" s="286">
        <f>'Data-total_employment'!S14-last_qrtr_totalemp!T14</f>
        <v>-0.80000000000000071</v>
      </c>
      <c r="T14" s="286">
        <f>'Data-total_employment'!T14-last_qrtr_totalemp!U14</f>
        <v>-2.6000000000000014</v>
      </c>
      <c r="U14" s="286">
        <f>'Data-total_employment'!U14-last_qrtr_totalemp!V14</f>
        <v>-1.5999999999999996</v>
      </c>
      <c r="V14" s="286">
        <f>'Data-total_employment'!V14-last_qrtr_totalemp!W14</f>
        <v>-9.9999999999999645E-2</v>
      </c>
      <c r="W14" s="286">
        <f>'Data-total_employment'!W14</f>
        <v>11.4</v>
      </c>
      <c r="X14" s="285" t="s">
        <v>28</v>
      </c>
      <c r="Y14" s="286">
        <f>'Data-total_employment'!Y14-last_qrtr_totalemp!Z14</f>
        <v>-1.2999999999999989</v>
      </c>
      <c r="Z14" s="286">
        <f>'Data-total_employment'!Z14-last_qrtr_totalemp!AA14</f>
        <v>-0.19999999999999929</v>
      </c>
      <c r="AA14" s="286">
        <f>'Data-total_employment'!AA14-last_qrtr_totalemp!AB14</f>
        <v>-1.8000000000000007</v>
      </c>
      <c r="AB14" s="286">
        <f>'Data-total_employment'!AB14-last_qrtr_totalemp!AC14</f>
        <v>-1.6999999999999993</v>
      </c>
      <c r="AC14" s="286">
        <f>'Data-total_employment'!AC14-last_qrtr_totalemp!AD14</f>
        <v>-2.5999999999999996</v>
      </c>
      <c r="AD14" s="286">
        <f>'Data-total_employment'!AD14-last_qrtr_totalemp!AE14</f>
        <v>-0.80000000000000071</v>
      </c>
      <c r="AE14" s="286">
        <f>'Data-total_employment'!AE14-last_qrtr_totalemp!AF14</f>
        <v>1.0999999999999996</v>
      </c>
      <c r="AF14" s="286">
        <f>'Data-total_employment'!AF14-last_qrtr_totalemp!AG14</f>
        <v>0.5</v>
      </c>
      <c r="AG14" s="286">
        <f>'Data-total_employment'!AG14-last_qrtr_totalemp!AH14</f>
        <v>-1</v>
      </c>
      <c r="AH14" s="286">
        <f>'Data-total_employment'!AH14</f>
        <v>12.8</v>
      </c>
      <c r="AI14" s="279" t="s">
        <v>28</v>
      </c>
      <c r="AJ14" s="286">
        <f>'Data-total_employment'!AJ14-last_qrtr_totalemp!AK14</f>
        <v>-1.6000000000000014</v>
      </c>
      <c r="AK14" s="286">
        <f>'Data-total_employment'!AK14-last_qrtr_totalemp!AL14</f>
        <v>2</v>
      </c>
      <c r="AL14" s="286">
        <f>'Data-total_employment'!AL14-last_qrtr_totalemp!AM14</f>
        <v>1.3000000000000043</v>
      </c>
      <c r="AM14" s="286">
        <f>'Data-total_employment'!AM14-last_qrtr_totalemp!AN14</f>
        <v>2.8000000000000043</v>
      </c>
      <c r="AN14" s="286">
        <f>'Data-total_employment'!AN14-last_qrtr_totalemp!AO14</f>
        <v>-1.1000000000000014</v>
      </c>
      <c r="AO14" s="286">
        <f>'Data-total_employment'!AO14-last_qrtr_totalemp!AP14</f>
        <v>1.2999999999999972</v>
      </c>
      <c r="AP14" s="286">
        <f>'Data-total_employment'!AP14-last_qrtr_totalemp!AQ14</f>
        <v>2.3999999999999915</v>
      </c>
      <c r="AQ14" s="286">
        <f>'Data-total_employment'!AQ14-last_qrtr_totalemp!AR14</f>
        <v>3</v>
      </c>
      <c r="AR14" s="286">
        <f>'Data-total_employment'!AR14-last_qrtr_totalemp!AS14</f>
        <v>0.60000000000000853</v>
      </c>
      <c r="AS14" s="286">
        <f>'Data-total_employment'!AS14</f>
        <v>69.400000000000006</v>
      </c>
      <c r="AT14" s="279" t="s">
        <v>28</v>
      </c>
      <c r="AU14" s="286">
        <f>'Data-total_employment'!AU14-last_qrtr_totalemp!AV14</f>
        <v>-4</v>
      </c>
      <c r="AV14" s="286">
        <f>'Data-total_employment'!AV14-last_qrtr_totalemp!AW14</f>
        <v>-3</v>
      </c>
      <c r="AW14" s="286">
        <f>'Data-total_employment'!AW14-last_qrtr_totalemp!AX14</f>
        <v>3</v>
      </c>
      <c r="AX14" s="286">
        <f>'Data-total_employment'!AX14-last_qrtr_totalemp!AY14</f>
        <v>0</v>
      </c>
      <c r="AY14" s="286">
        <f>'Data-total_employment'!AY14-last_qrtr_totalemp!AZ14</f>
        <v>-4</v>
      </c>
      <c r="AZ14" s="286">
        <f>'Data-total_employment'!AZ14-last_qrtr_totalemp!BA14</f>
        <v>2</v>
      </c>
      <c r="BA14" s="286">
        <f>'Data-total_employment'!BA14-last_qrtr_totalemp!BB14</f>
        <v>5</v>
      </c>
      <c r="BB14" s="286">
        <f>'Data-total_employment'!BB14-last_qrtr_totalemp!BC14</f>
        <v>1</v>
      </c>
      <c r="BC14" s="286">
        <f>'Data-total_employment'!BC14-last_qrtr_totalemp!BD14</f>
        <v>-4</v>
      </c>
      <c r="BD14" s="286">
        <f>'Data-total_employment'!BD14</f>
        <v>7</v>
      </c>
    </row>
    <row r="15" spans="1:56">
      <c r="A15" s="269">
        <v>12</v>
      </c>
      <c r="B15" s="285" t="s">
        <v>19</v>
      </c>
      <c r="C15" s="286">
        <f>'Data-total_employment'!C15-last_qrtr_totalemp!D15</f>
        <v>28</v>
      </c>
      <c r="D15" s="286">
        <f>'Data-total_employment'!D15-last_qrtr_totalemp!E15</f>
        <v>54.200000000000728</v>
      </c>
      <c r="E15" s="286">
        <f>'Data-total_employment'!E15-last_qrtr_totalemp!F15</f>
        <v>69.800000000000182</v>
      </c>
      <c r="F15" s="286">
        <f>'Data-total_employment'!F15-last_qrtr_totalemp!G15</f>
        <v>101.39999999999964</v>
      </c>
      <c r="G15" s="286">
        <f>'Data-total_employment'!G15-last_qrtr_totalemp!H15</f>
        <v>47.299999999999272</v>
      </c>
      <c r="H15" s="286">
        <f>'Data-total_employment'!H15-last_qrtr_totalemp!I15</f>
        <v>43.899999999999636</v>
      </c>
      <c r="I15" s="286">
        <f>'Data-total_employment'!I15-last_qrtr_totalemp!J15</f>
        <v>57.199999999999818</v>
      </c>
      <c r="J15" s="286">
        <f>'Data-total_employment'!J15-last_qrtr_totalemp!K15</f>
        <v>79.300000000000182</v>
      </c>
      <c r="K15" s="286">
        <f>'Data-total_employment'!K15-last_qrtr_totalemp!L15</f>
        <v>42.400000000000546</v>
      </c>
      <c r="L15" s="286">
        <f>'Data-total_employment'!L15</f>
        <v>5141.2</v>
      </c>
      <c r="M15" s="285" t="s">
        <v>19</v>
      </c>
      <c r="N15" s="286">
        <f>'Data-total_employment'!N15-last_qrtr_totalemp!O15</f>
        <v>9.9999999999999645E-2</v>
      </c>
      <c r="O15" s="286">
        <f>'Data-total_employment'!O15-last_qrtr_totalemp!P15</f>
        <v>0.29999999999999982</v>
      </c>
      <c r="P15" s="286">
        <f>'Data-total_employment'!P15-last_qrtr_totalemp!Q15</f>
        <v>0.5</v>
      </c>
      <c r="Q15" s="286">
        <f>'Data-total_employment'!Q15-last_qrtr_totalemp!R15</f>
        <v>0.29999999999999982</v>
      </c>
      <c r="R15" s="286">
        <f>'Data-total_employment'!R15-last_qrtr_totalemp!S15</f>
        <v>0.40000000000000036</v>
      </c>
      <c r="S15" s="286">
        <f>'Data-total_employment'!S15-last_qrtr_totalemp!T15</f>
        <v>0.5</v>
      </c>
      <c r="T15" s="286">
        <f>'Data-total_employment'!T15-last_qrtr_totalemp!U15</f>
        <v>0.40000000000000036</v>
      </c>
      <c r="U15" s="286">
        <f>'Data-total_employment'!U15-last_qrtr_totalemp!V15</f>
        <v>0.20000000000000018</v>
      </c>
      <c r="V15" s="286">
        <f>'Data-total_employment'!V15-last_qrtr_totalemp!W15</f>
        <v>9.9999999999999645E-2</v>
      </c>
      <c r="W15" s="286">
        <f>'Data-total_employment'!W15</f>
        <v>6.3</v>
      </c>
      <c r="X15" s="285" t="s">
        <v>19</v>
      </c>
      <c r="Y15" s="286">
        <f>'Data-total_employment'!Y15-last_qrtr_totalemp!Z15</f>
        <v>-0.40000000000000036</v>
      </c>
      <c r="Z15" s="286">
        <f>'Data-total_employment'!Z15-last_qrtr_totalemp!AA15</f>
        <v>-0.20000000000000107</v>
      </c>
      <c r="AA15" s="286">
        <f>'Data-total_employment'!AA15-last_qrtr_totalemp!AB15</f>
        <v>-9.9999999999999645E-2</v>
      </c>
      <c r="AB15" s="286">
        <f>'Data-total_employment'!AB15-last_qrtr_totalemp!AC15</f>
        <v>0</v>
      </c>
      <c r="AC15" s="286">
        <f>'Data-total_employment'!AC15-last_qrtr_totalemp!AD15</f>
        <v>9.9999999999999645E-2</v>
      </c>
      <c r="AD15" s="286">
        <f>'Data-total_employment'!AD15-last_qrtr_totalemp!AE15</f>
        <v>-9.9999999999999645E-2</v>
      </c>
      <c r="AE15" s="286">
        <f>'Data-total_employment'!AE15-last_qrtr_totalemp!AF15</f>
        <v>-9.9999999999999645E-2</v>
      </c>
      <c r="AF15" s="286">
        <f>'Data-total_employment'!AF15-last_qrtr_totalemp!AG15</f>
        <v>-0.49999999999999911</v>
      </c>
      <c r="AG15" s="286">
        <f>'Data-total_employment'!AG15-last_qrtr_totalemp!AH15</f>
        <v>-0.40000000000000036</v>
      </c>
      <c r="AH15" s="286">
        <f>'Data-total_employment'!AH15</f>
        <v>7.2</v>
      </c>
      <c r="AI15" s="279" t="s">
        <v>19</v>
      </c>
      <c r="AJ15" s="286">
        <f>'Data-total_employment'!AJ15-last_qrtr_totalemp!AK15</f>
        <v>0.79999999999999716</v>
      </c>
      <c r="AK15" s="286">
        <f>'Data-total_employment'!AK15-last_qrtr_totalemp!AL15</f>
        <v>1.2000000000000028</v>
      </c>
      <c r="AL15" s="286">
        <f>'Data-total_employment'!AL15-last_qrtr_totalemp!AM15</f>
        <v>1.4000000000000057</v>
      </c>
      <c r="AM15" s="286">
        <f>'Data-total_employment'!AM15-last_qrtr_totalemp!AN15</f>
        <v>1.9000000000000057</v>
      </c>
      <c r="AN15" s="286">
        <f>'Data-total_employment'!AN15-last_qrtr_totalemp!AO15</f>
        <v>1.0999999999999943</v>
      </c>
      <c r="AO15" s="286">
        <f>'Data-total_employment'!AO15-last_qrtr_totalemp!AP15</f>
        <v>1.0999999999999943</v>
      </c>
      <c r="AP15" s="286">
        <f>'Data-total_employment'!AP15-last_qrtr_totalemp!AQ15</f>
        <v>1.1999999999999886</v>
      </c>
      <c r="AQ15" s="286">
        <f>'Data-total_employment'!AQ15-last_qrtr_totalemp!AR15</f>
        <v>1.5</v>
      </c>
      <c r="AR15" s="286">
        <f>'Data-total_employment'!AR15-last_qrtr_totalemp!AS15</f>
        <v>0.90000000000000568</v>
      </c>
      <c r="AS15" s="286">
        <f>'Data-total_employment'!AS15</f>
        <v>74.7</v>
      </c>
      <c r="AT15" s="279" t="s">
        <v>19</v>
      </c>
      <c r="AU15" s="286">
        <f>'Data-total_employment'!AU15-last_qrtr_totalemp!AV15</f>
        <v>-26</v>
      </c>
      <c r="AV15" s="286">
        <f>'Data-total_employment'!AV15-last_qrtr_totalemp!AW15</f>
        <v>0</v>
      </c>
      <c r="AW15" s="286">
        <f>'Data-total_employment'!AW15-last_qrtr_totalemp!AX15</f>
        <v>7</v>
      </c>
      <c r="AX15" s="286">
        <f>'Data-total_employment'!AX15-last_qrtr_totalemp!AY15</f>
        <v>-4</v>
      </c>
      <c r="AY15" s="286">
        <f>'Data-total_employment'!AY15-last_qrtr_totalemp!AZ15</f>
        <v>0</v>
      </c>
      <c r="AZ15" s="286">
        <f>'Data-total_employment'!AZ15-last_qrtr_totalemp!BA15</f>
        <v>-1</v>
      </c>
      <c r="BA15" s="286">
        <f>'Data-total_employment'!BA15-last_qrtr_totalemp!BB15</f>
        <v>-6</v>
      </c>
      <c r="BB15" s="286">
        <f>'Data-total_employment'!BB15-last_qrtr_totalemp!BC15</f>
        <v>8</v>
      </c>
      <c r="BC15" s="286">
        <f>'Data-total_employment'!BC15-last_qrtr_totalemp!BD15</f>
        <v>-7</v>
      </c>
      <c r="BD15" s="286">
        <f>'Data-total_employment'!BD15</f>
        <v>31</v>
      </c>
    </row>
    <row r="16" spans="1:56">
      <c r="A16" s="269">
        <v>13</v>
      </c>
      <c r="B16" s="285" t="s">
        <v>20</v>
      </c>
      <c r="C16" s="286">
        <f>'Data-total_employment'!C16-last_qrtr_totalemp!D16</f>
        <v>51.199999999999818</v>
      </c>
      <c r="D16" s="286">
        <f>'Data-total_employment'!D16-last_qrtr_totalemp!E16</f>
        <v>74.699999999999818</v>
      </c>
      <c r="E16" s="286">
        <f>'Data-total_employment'!E16-last_qrtr_totalemp!F16</f>
        <v>57.900000000000091</v>
      </c>
      <c r="F16" s="286">
        <f>'Data-total_employment'!F16-last_qrtr_totalemp!G16</f>
        <v>20.5</v>
      </c>
      <c r="G16" s="286">
        <f>'Data-total_employment'!G16-last_qrtr_totalemp!H16</f>
        <v>-66.399999999999636</v>
      </c>
      <c r="H16" s="286">
        <f>'Data-total_employment'!H16-last_qrtr_totalemp!I16</f>
        <v>-31</v>
      </c>
      <c r="I16" s="286">
        <f>'Data-total_employment'!I16-last_qrtr_totalemp!J16</f>
        <v>13</v>
      </c>
      <c r="J16" s="286">
        <f>'Data-total_employment'!J16-last_qrtr_totalemp!K16</f>
        <v>59.599999999999909</v>
      </c>
      <c r="K16" s="286">
        <f>'Data-total_employment'!K16-last_qrtr_totalemp!L16</f>
        <v>19.400000000000091</v>
      </c>
      <c r="L16" s="286">
        <f>'Data-total_employment'!L16</f>
        <v>2793.9</v>
      </c>
      <c r="M16" s="285" t="s">
        <v>20</v>
      </c>
      <c r="N16" s="286">
        <f>'Data-total_employment'!N16-last_qrtr_totalemp!O16</f>
        <v>1</v>
      </c>
      <c r="O16" s="286">
        <f>'Data-total_employment'!O16-last_qrtr_totalemp!P16</f>
        <v>3</v>
      </c>
      <c r="P16" s="286">
        <f>'Data-total_employment'!P16-last_qrtr_totalemp!Q16</f>
        <v>2</v>
      </c>
      <c r="Q16" s="286">
        <f>'Data-total_employment'!Q16-last_qrtr_totalemp!R16</f>
        <v>0.10000000000000142</v>
      </c>
      <c r="R16" s="286">
        <f>'Data-total_employment'!R16-last_qrtr_totalemp!S16</f>
        <v>-1.1000000000000014</v>
      </c>
      <c r="S16" s="286">
        <f>'Data-total_employment'!S16-last_qrtr_totalemp!T16</f>
        <v>-0.19999999999999929</v>
      </c>
      <c r="T16" s="286">
        <f>'Data-total_employment'!T16-last_qrtr_totalemp!U16</f>
        <v>-1.8000000000000007</v>
      </c>
      <c r="U16" s="286">
        <f>'Data-total_employment'!U16-last_qrtr_totalemp!V16</f>
        <v>-1.1000000000000014</v>
      </c>
      <c r="V16" s="286">
        <f>'Data-total_employment'!V16-last_qrtr_totalemp!W16</f>
        <v>-0.5</v>
      </c>
      <c r="W16" s="286">
        <f>'Data-total_employment'!W16</f>
        <v>25</v>
      </c>
      <c r="X16" s="285" t="s">
        <v>20</v>
      </c>
      <c r="Y16" s="286">
        <f>'Data-total_employment'!Y16-last_qrtr_totalemp!Z16</f>
        <v>4.5</v>
      </c>
      <c r="Z16" s="286">
        <f>'Data-total_employment'!Z16-last_qrtr_totalemp!AA16</f>
        <v>4.1999999999999993</v>
      </c>
      <c r="AA16" s="286">
        <f>'Data-total_employment'!AA16-last_qrtr_totalemp!AB16</f>
        <v>4.2</v>
      </c>
      <c r="AB16" s="286">
        <f>'Data-total_employment'!AB16-last_qrtr_totalemp!AC16</f>
        <v>-0.69999999999999929</v>
      </c>
      <c r="AC16" s="286">
        <f>'Data-total_employment'!AC16-last_qrtr_totalemp!AD16</f>
        <v>0</v>
      </c>
      <c r="AD16" s="286">
        <f>'Data-total_employment'!AD16-last_qrtr_totalemp!AE16</f>
        <v>0</v>
      </c>
      <c r="AE16" s="286">
        <f>'Data-total_employment'!AE16-last_qrtr_totalemp!AF16</f>
        <v>-0.59999999999999964</v>
      </c>
      <c r="AF16" s="286">
        <f>'Data-total_employment'!AF16-last_qrtr_totalemp!AG16</f>
        <v>-1.3000000000000007</v>
      </c>
      <c r="AG16" s="286">
        <f>'Data-total_employment'!AG16-last_qrtr_totalemp!AH16</f>
        <v>-1.5</v>
      </c>
      <c r="AH16" s="286">
        <f>'Data-total_employment'!AH16</f>
        <v>10.5</v>
      </c>
      <c r="AI16" s="279" t="s">
        <v>20</v>
      </c>
      <c r="AJ16" s="286">
        <f>'Data-total_employment'!AJ16-last_qrtr_totalemp!AK16</f>
        <v>0.90000000000000568</v>
      </c>
      <c r="AK16" s="286">
        <f>'Data-total_employment'!AK16-last_qrtr_totalemp!AL16</f>
        <v>1.5999999999999943</v>
      </c>
      <c r="AL16" s="286">
        <f>'Data-total_employment'!AL16-last_qrtr_totalemp!AM16</f>
        <v>1.4000000000000057</v>
      </c>
      <c r="AM16" s="286">
        <f>'Data-total_employment'!AM16-last_qrtr_totalemp!AN16</f>
        <v>9.9999999999994316E-2</v>
      </c>
      <c r="AN16" s="286">
        <f>'Data-total_employment'!AN16-last_qrtr_totalemp!AO16</f>
        <v>-2.0999999999999943</v>
      </c>
      <c r="AO16" s="286">
        <f>'Data-total_employment'!AO16-last_qrtr_totalemp!AP16</f>
        <v>-1.1000000000000085</v>
      </c>
      <c r="AP16" s="286">
        <f>'Data-total_employment'!AP16-last_qrtr_totalemp!AQ16</f>
        <v>0.40000000000000568</v>
      </c>
      <c r="AQ16" s="286">
        <f>'Data-total_employment'!AQ16-last_qrtr_totalemp!AR16</f>
        <v>1.3999999999999915</v>
      </c>
      <c r="AR16" s="286">
        <f>'Data-total_employment'!AR16-last_qrtr_totalemp!AS16</f>
        <v>0.30000000000001137</v>
      </c>
      <c r="AS16" s="286">
        <f>'Data-total_employment'!AS16</f>
        <v>75.7</v>
      </c>
      <c r="AT16" s="279" t="s">
        <v>20</v>
      </c>
      <c r="AU16" s="286">
        <f>'Data-total_employment'!AU16-last_qrtr_totalemp!AV16</f>
        <v>-14</v>
      </c>
      <c r="AV16" s="286">
        <f>'Data-total_employment'!AV16-last_qrtr_totalemp!AW16</f>
        <v>-8</v>
      </c>
      <c r="AW16" s="286">
        <f>'Data-total_employment'!AW16-last_qrtr_totalemp!AX16</f>
        <v>9</v>
      </c>
      <c r="AX16" s="286">
        <f>'Data-total_employment'!AX16-last_qrtr_totalemp!AY16</f>
        <v>16</v>
      </c>
      <c r="AY16" s="286">
        <f>'Data-total_employment'!AY16-last_qrtr_totalemp!AZ16</f>
        <v>-3</v>
      </c>
      <c r="AZ16" s="286">
        <f>'Data-total_employment'!AZ16-last_qrtr_totalemp!BA16</f>
        <v>-4</v>
      </c>
      <c r="BA16" s="286">
        <f>'Data-total_employment'!BA16-last_qrtr_totalemp!BB16</f>
        <v>6</v>
      </c>
      <c r="BB16" s="286">
        <f>'Data-total_employment'!BB16-last_qrtr_totalemp!BC16</f>
        <v>2</v>
      </c>
      <c r="BC16" s="286">
        <f>'Data-total_employment'!BC16-last_qrtr_totalemp!BD16</f>
        <v>-2</v>
      </c>
      <c r="BD16" s="286">
        <f>'Data-total_employment'!BD16</f>
        <v>46</v>
      </c>
    </row>
    <row r="17" spans="1:56">
      <c r="A17" s="269">
        <v>14</v>
      </c>
      <c r="B17" s="285" t="s">
        <v>21</v>
      </c>
      <c r="C17" s="286">
        <f>'Data-total_employment'!C17-last_qrtr_totalemp!D17</f>
        <v>-14.200000000000045</v>
      </c>
      <c r="D17" s="286">
        <f>'Data-total_employment'!D17-last_qrtr_totalemp!E17</f>
        <v>-9.6999999999999318</v>
      </c>
      <c r="E17" s="286">
        <f>'Data-total_employment'!E17-last_qrtr_totalemp!F17</f>
        <v>8.3999999999999773</v>
      </c>
      <c r="F17" s="286">
        <f>'Data-total_employment'!F17-last_qrtr_totalemp!G17</f>
        <v>10.600000000000023</v>
      </c>
      <c r="G17" s="286">
        <f>'Data-total_employment'!G17-last_qrtr_totalemp!H17</f>
        <v>-6.1000000000000227</v>
      </c>
      <c r="H17" s="286">
        <f>'Data-total_employment'!H17-last_qrtr_totalemp!I17</f>
        <v>-1.3999999999999773</v>
      </c>
      <c r="I17" s="286">
        <f>'Data-total_employment'!I17-last_qrtr_totalemp!J17</f>
        <v>23</v>
      </c>
      <c r="J17" s="286">
        <f>'Data-total_employment'!J17-last_qrtr_totalemp!K17</f>
        <v>19.100000000000023</v>
      </c>
      <c r="K17" s="286">
        <f>'Data-total_employment'!K17-last_qrtr_totalemp!L17</f>
        <v>0.20000000000004547</v>
      </c>
      <c r="L17" s="286">
        <f>'Data-total_employment'!L17</f>
        <v>630.70000000000005</v>
      </c>
      <c r="M17" s="285" t="s">
        <v>21</v>
      </c>
      <c r="N17" s="286">
        <f>'Data-total_employment'!N17-last_qrtr_totalemp!O17</f>
        <v>0.5</v>
      </c>
      <c r="O17" s="286">
        <f>'Data-total_employment'!O17-last_qrtr_totalemp!P17</f>
        <v>0.5</v>
      </c>
      <c r="P17" s="286">
        <f>'Data-total_employment'!P17-last_qrtr_totalemp!Q17</f>
        <v>-0.59999999999999964</v>
      </c>
      <c r="Q17" s="286">
        <f>'Data-total_employment'!Q17-last_qrtr_totalemp!R17</f>
        <v>-0.5</v>
      </c>
      <c r="R17" s="286">
        <f>'Data-total_employment'!R17-last_qrtr_totalemp!S17</f>
        <v>-0.5</v>
      </c>
      <c r="S17" s="286">
        <f>'Data-total_employment'!S17-last_qrtr_totalemp!T17</f>
        <v>0.59999999999999964</v>
      </c>
      <c r="T17" s="286">
        <f>'Data-total_employment'!T17-last_qrtr_totalemp!U17</f>
        <v>-0.69999999999999929</v>
      </c>
      <c r="U17" s="286">
        <f>'Data-total_employment'!U17-last_qrtr_totalemp!V17</f>
        <v>0.19999999999999929</v>
      </c>
      <c r="V17" s="286">
        <f>'Data-total_employment'!V17-last_qrtr_totalemp!W17</f>
        <v>1.3000000000000007</v>
      </c>
      <c r="W17" s="286">
        <f>'Data-total_employment'!W17</f>
        <v>11.1</v>
      </c>
      <c r="X17" s="285" t="s">
        <v>21</v>
      </c>
      <c r="Y17" s="286">
        <f>'Data-total_employment'!Y17-last_qrtr_totalemp!Z17</f>
        <v>-0.10000000000000009</v>
      </c>
      <c r="Z17" s="286">
        <f>'Data-total_employment'!Z17-last_qrtr_totalemp!AA17</f>
        <v>0.10000000000000009</v>
      </c>
      <c r="AA17" s="286">
        <f>'Data-total_employment'!AA17-last_qrtr_totalemp!AB17</f>
        <v>0.69999999999999973</v>
      </c>
      <c r="AB17" s="286">
        <f>'Data-total_employment'!AB17-last_qrtr_totalemp!AC17</f>
        <v>-0.29999999999999982</v>
      </c>
      <c r="AC17" s="286">
        <f>'Data-total_employment'!AC17-last_qrtr_totalemp!AD17</f>
        <v>-0.60000000000000009</v>
      </c>
      <c r="AD17" s="286">
        <f>'Data-total_employment'!AD17-last_qrtr_totalemp!AE17</f>
        <v>-1.5999999999999996</v>
      </c>
      <c r="AE17" s="286">
        <f>'Data-total_employment'!AE17-last_qrtr_totalemp!AF17</f>
        <v>-0.20000000000000018</v>
      </c>
      <c r="AF17" s="286">
        <f>'Data-total_employment'!AF17-last_qrtr_totalemp!AG17</f>
        <v>0.39999999999999991</v>
      </c>
      <c r="AG17" s="286">
        <f>'Data-total_employment'!AG17-last_qrtr_totalemp!AH17</f>
        <v>-0.29999999999999982</v>
      </c>
      <c r="AH17" s="286">
        <f>'Data-total_employment'!AH17</f>
        <v>3</v>
      </c>
      <c r="AI17" s="279" t="s">
        <v>21</v>
      </c>
      <c r="AJ17" s="286">
        <f>'Data-total_employment'!AJ17-last_qrtr_totalemp!AK17</f>
        <v>-1.4000000000000057</v>
      </c>
      <c r="AK17" s="286">
        <f>'Data-total_employment'!AK17-last_qrtr_totalemp!AL17</f>
        <v>-0.70000000000000284</v>
      </c>
      <c r="AL17" s="286">
        <f>'Data-total_employment'!AL17-last_qrtr_totalemp!AM17</f>
        <v>1.2999999999999972</v>
      </c>
      <c r="AM17" s="286">
        <f>'Data-total_employment'!AM17-last_qrtr_totalemp!AN17</f>
        <v>1.2999999999999972</v>
      </c>
      <c r="AN17" s="286">
        <f>'Data-total_employment'!AN17-last_qrtr_totalemp!AO17</f>
        <v>-0.20000000000000284</v>
      </c>
      <c r="AO17" s="286">
        <f>'Data-total_employment'!AO17-last_qrtr_totalemp!AP17</f>
        <v>0</v>
      </c>
      <c r="AP17" s="286">
        <f>'Data-total_employment'!AP17-last_qrtr_totalemp!AQ17</f>
        <v>3.2000000000000028</v>
      </c>
      <c r="AQ17" s="286">
        <f>'Data-total_employment'!AQ17-last_qrtr_totalemp!AR17</f>
        <v>2.3000000000000114</v>
      </c>
      <c r="AR17" s="286">
        <f>'Data-total_employment'!AR17-last_qrtr_totalemp!AS17</f>
        <v>0.39999999999999147</v>
      </c>
      <c r="AS17" s="286">
        <f>'Data-total_employment'!AS17</f>
        <v>74.8</v>
      </c>
      <c r="AT17" s="279" t="s">
        <v>21</v>
      </c>
      <c r="AU17" s="286">
        <f>'Data-total_employment'!AU17-last_qrtr_totalemp!AV17</f>
        <v>-5</v>
      </c>
      <c r="AV17" s="286">
        <f>'Data-total_employment'!AV17-last_qrtr_totalemp!AW17</f>
        <v>-4</v>
      </c>
      <c r="AW17" s="286">
        <f>'Data-total_employment'!AW17-last_qrtr_totalemp!AX17</f>
        <v>8</v>
      </c>
      <c r="AX17" s="286">
        <f>'Data-total_employment'!AX17-last_qrtr_totalemp!AY17</f>
        <v>2</v>
      </c>
      <c r="AY17" s="286">
        <f>'Data-total_employment'!AY17-last_qrtr_totalemp!AZ17</f>
        <v>-2</v>
      </c>
      <c r="AZ17" s="286">
        <f>'Data-total_employment'!AZ17-last_qrtr_totalemp!BA17</f>
        <v>-3</v>
      </c>
      <c r="BA17" s="286">
        <f>'Data-total_employment'!BA17-last_qrtr_totalemp!BB17</f>
        <v>-5</v>
      </c>
      <c r="BB17" s="286">
        <f>'Data-total_employment'!BB17-last_qrtr_totalemp!BC17</f>
        <v>5</v>
      </c>
      <c r="BC17" s="286">
        <f>'Data-total_employment'!BC17-last_qrtr_totalemp!BD17</f>
        <v>3</v>
      </c>
      <c r="BD17" s="286">
        <f>'Data-total_employment'!BD17</f>
        <v>8</v>
      </c>
    </row>
    <row r="18" spans="1:56">
      <c r="A18" s="269">
        <v>15</v>
      </c>
      <c r="B18" s="285" t="s">
        <v>41</v>
      </c>
      <c r="C18" s="286">
        <f>'Data-total_employment'!C18-last_qrtr_totalemp!D18</f>
        <v>-68.599999999999909</v>
      </c>
      <c r="D18" s="286">
        <f>'Data-total_employment'!D18-last_qrtr_totalemp!E18</f>
        <v>-4</v>
      </c>
      <c r="E18" s="286">
        <f>'Data-total_employment'!E18-last_qrtr_totalemp!F18</f>
        <v>86.099999999999909</v>
      </c>
      <c r="F18" s="286">
        <f>'Data-total_employment'!F18-last_qrtr_totalemp!G18</f>
        <v>29</v>
      </c>
      <c r="G18" s="286">
        <f>'Data-total_employment'!G18-last_qrtr_totalemp!H18</f>
        <v>-67.5</v>
      </c>
      <c r="H18" s="286">
        <f>'Data-total_employment'!H18-last_qrtr_totalemp!I18</f>
        <v>-2</v>
      </c>
      <c r="I18" s="286">
        <f>'Data-total_employment'!I18-last_qrtr_totalemp!J18</f>
        <v>78.199999999999818</v>
      </c>
      <c r="J18" s="286">
        <f>'Data-total_employment'!J18-last_qrtr_totalemp!K18</f>
        <v>71.199999999999818</v>
      </c>
      <c r="K18" s="286">
        <f>'Data-total_employment'!K18-last_qrtr_totalemp!L18</f>
        <v>-23</v>
      </c>
      <c r="L18" s="286">
        <f>'Data-total_employment'!L18</f>
        <v>2497.5</v>
      </c>
      <c r="M18" s="285" t="s">
        <v>41</v>
      </c>
      <c r="N18" s="286">
        <f>'Data-total_employment'!N18-last_qrtr_totalemp!O18</f>
        <v>1.3000000000000007</v>
      </c>
      <c r="O18" s="286">
        <f>'Data-total_employment'!O18-last_qrtr_totalemp!P18</f>
        <v>1.8000000000000007</v>
      </c>
      <c r="P18" s="286">
        <f>'Data-total_employment'!P18-last_qrtr_totalemp!Q18</f>
        <v>-0.5</v>
      </c>
      <c r="Q18" s="286">
        <f>'Data-total_employment'!Q18-last_qrtr_totalemp!R18</f>
        <v>9.9999999999999645E-2</v>
      </c>
      <c r="R18" s="286">
        <f>'Data-total_employment'!R18-last_qrtr_totalemp!S18</f>
        <v>0.90000000000000036</v>
      </c>
      <c r="S18" s="286">
        <f>'Data-total_employment'!S18-last_qrtr_totalemp!T18</f>
        <v>0.80000000000000071</v>
      </c>
      <c r="T18" s="286">
        <f>'Data-total_employment'!T18-last_qrtr_totalemp!U18</f>
        <v>-1.5999999999999996</v>
      </c>
      <c r="U18" s="286">
        <f>'Data-total_employment'!U18-last_qrtr_totalemp!V18</f>
        <v>-0.20000000000000107</v>
      </c>
      <c r="V18" s="286">
        <f>'Data-total_employment'!V18-last_qrtr_totalemp!W18</f>
        <v>0.90000000000000036</v>
      </c>
      <c r="W18" s="286">
        <f>'Data-total_employment'!W18</f>
        <v>14.7</v>
      </c>
      <c r="X18" s="285" t="s">
        <v>41</v>
      </c>
      <c r="Y18" s="286">
        <f>'Data-total_employment'!Y18-last_qrtr_totalemp!Z18</f>
        <v>-0.10000000000000142</v>
      </c>
      <c r="Z18" s="286">
        <f>'Data-total_employment'!Z18-last_qrtr_totalemp!AA18</f>
        <v>0.30000000000000071</v>
      </c>
      <c r="AA18" s="286">
        <f>'Data-total_employment'!AA18-last_qrtr_totalemp!AB18</f>
        <v>1</v>
      </c>
      <c r="AB18" s="286">
        <f>'Data-total_employment'!AB18-last_qrtr_totalemp!AC18</f>
        <v>0.5</v>
      </c>
      <c r="AC18" s="286">
        <f>'Data-total_employment'!AC18-last_qrtr_totalemp!AD18</f>
        <v>0.19999999999999929</v>
      </c>
      <c r="AD18" s="286">
        <f>'Data-total_employment'!AD18-last_qrtr_totalemp!AE18</f>
        <v>0.29999999999999893</v>
      </c>
      <c r="AE18" s="286">
        <f>'Data-total_employment'!AE18-last_qrtr_totalemp!AF18</f>
        <v>-0.10000000000000142</v>
      </c>
      <c r="AF18" s="286">
        <f>'Data-total_employment'!AF18-last_qrtr_totalemp!AG18</f>
        <v>0.19999999999999929</v>
      </c>
      <c r="AG18" s="286">
        <f>'Data-total_employment'!AG18-last_qrtr_totalemp!AH18</f>
        <v>-9.9999999999999645E-2</v>
      </c>
      <c r="AH18" s="286">
        <f>'Data-total_employment'!AH18</f>
        <v>14.6</v>
      </c>
      <c r="AI18" s="279" t="s">
        <v>41</v>
      </c>
      <c r="AJ18" s="286">
        <f>'Data-total_employment'!AJ18-last_qrtr_totalemp!AK18</f>
        <v>-1.7999999999999972</v>
      </c>
      <c r="AK18" s="286">
        <f>'Data-total_employment'!AK18-last_qrtr_totalemp!AL18</f>
        <v>0</v>
      </c>
      <c r="AL18" s="286">
        <f>'Data-total_employment'!AL18-last_qrtr_totalemp!AM18</f>
        <v>2.7000000000000028</v>
      </c>
      <c r="AM18" s="286">
        <f>'Data-total_employment'!AM18-last_qrtr_totalemp!AN18</f>
        <v>0.90000000000000568</v>
      </c>
      <c r="AN18" s="286">
        <f>'Data-total_employment'!AN18-last_qrtr_totalemp!AO18</f>
        <v>-1.9000000000000057</v>
      </c>
      <c r="AO18" s="286">
        <f>'Data-total_employment'!AO18-last_qrtr_totalemp!AP18</f>
        <v>0</v>
      </c>
      <c r="AP18" s="286">
        <f>'Data-total_employment'!AP18-last_qrtr_totalemp!AQ18</f>
        <v>2.5999999999999943</v>
      </c>
      <c r="AQ18" s="286">
        <f>'Data-total_employment'!AQ18-last_qrtr_totalemp!AR18</f>
        <v>2.4000000000000057</v>
      </c>
      <c r="AR18" s="286">
        <f>'Data-total_employment'!AR18-last_qrtr_totalemp!AS18</f>
        <v>-0.40000000000000568</v>
      </c>
      <c r="AS18" s="286">
        <f>'Data-total_employment'!AS18</f>
        <v>73</v>
      </c>
      <c r="AT18" s="279" t="s">
        <v>41</v>
      </c>
      <c r="AU18" s="286">
        <f>'Data-total_employment'!AU18-last_qrtr_totalemp!AV18</f>
        <v>-15</v>
      </c>
      <c r="AV18" s="286">
        <f>'Data-total_employment'!AV18-last_qrtr_totalemp!AW18</f>
        <v>-35</v>
      </c>
      <c r="AW18" s="286">
        <f>'Data-total_employment'!AW18-last_qrtr_totalemp!AX18</f>
        <v>22</v>
      </c>
      <c r="AX18" s="286">
        <f>'Data-total_employment'!AX18-last_qrtr_totalemp!AY18</f>
        <v>33</v>
      </c>
      <c r="AY18" s="286">
        <f>'Data-total_employment'!AY18-last_qrtr_totalemp!AZ18</f>
        <v>-25</v>
      </c>
      <c r="AZ18" s="286">
        <f>'Data-total_employment'!AZ18-last_qrtr_totalemp!BA18</f>
        <v>-28</v>
      </c>
      <c r="BA18" s="286">
        <f>'Data-total_employment'!BA18-last_qrtr_totalemp!BB18</f>
        <v>28</v>
      </c>
      <c r="BB18" s="286">
        <f>'Data-total_employment'!BB18-last_qrtr_totalemp!BC18</f>
        <v>31</v>
      </c>
      <c r="BC18" s="286">
        <f>'Data-total_employment'!BC18-last_qrtr_totalemp!BD18</f>
        <v>-19</v>
      </c>
      <c r="BD18" s="286">
        <f>'Data-total_employment'!BD18</f>
        <v>49</v>
      </c>
    </row>
    <row r="19" spans="1:56">
      <c r="A19" s="269">
        <v>16</v>
      </c>
      <c r="B19" s="285" t="s">
        <v>25</v>
      </c>
      <c r="C19" s="286">
        <f>'Data-total_employment'!C19-last_qrtr_totalemp!D19</f>
        <v>-115.60000000000218</v>
      </c>
      <c r="D19" s="286">
        <f>'Data-total_employment'!D19-last_qrtr_totalemp!E19</f>
        <v>12.700000000000728</v>
      </c>
      <c r="E19" s="286">
        <f>'Data-total_employment'!E19-last_qrtr_totalemp!F19</f>
        <v>312</v>
      </c>
      <c r="F19" s="286">
        <f>'Data-total_employment'!F19-last_qrtr_totalemp!G19</f>
        <v>141.30000000000291</v>
      </c>
      <c r="G19" s="286">
        <f>'Data-total_employment'!G19-last_qrtr_totalemp!H19</f>
        <v>-169.29999999999927</v>
      </c>
      <c r="H19" s="286">
        <f>'Data-total_employment'!H19-last_qrtr_totalemp!I19</f>
        <v>227.79999999999927</v>
      </c>
      <c r="I19" s="286">
        <f>'Data-total_employment'!I19-last_qrtr_totalemp!J19</f>
        <v>433.39999999999782</v>
      </c>
      <c r="J19" s="286">
        <f>'Data-total_employment'!J19-last_qrtr_totalemp!K19</f>
        <v>484.60000000000218</v>
      </c>
      <c r="K19" s="286">
        <f>'Data-total_employment'!K19-last_qrtr_totalemp!L19</f>
        <v>-112.59999999999854</v>
      </c>
      <c r="L19" s="286">
        <f>'Data-total_employment'!L19</f>
        <v>26797.9</v>
      </c>
      <c r="M19" s="285" t="s">
        <v>25</v>
      </c>
      <c r="N19" s="286">
        <f>'Data-total_employment'!N19-last_qrtr_totalemp!O19</f>
        <v>9.9999999999997868E-2</v>
      </c>
      <c r="O19" s="286">
        <f>'Data-total_employment'!O19-last_qrtr_totalemp!P19</f>
        <v>0.5</v>
      </c>
      <c r="P19" s="286">
        <f>'Data-total_employment'!P19-last_qrtr_totalemp!Q19</f>
        <v>-0.5</v>
      </c>
      <c r="Q19" s="286">
        <f>'Data-total_employment'!Q19-last_qrtr_totalemp!R19</f>
        <v>-0.5</v>
      </c>
      <c r="R19" s="286">
        <f>'Data-total_employment'!R19-last_qrtr_totalemp!S19</f>
        <v>-0.10000000000000142</v>
      </c>
      <c r="S19" s="286">
        <f>'Data-total_employment'!S19-last_qrtr_totalemp!T19</f>
        <v>0.80000000000000071</v>
      </c>
      <c r="T19" s="286">
        <f>'Data-total_employment'!T19-last_qrtr_totalemp!U19</f>
        <v>-0.19999999999999929</v>
      </c>
      <c r="U19" s="286">
        <f>'Data-total_employment'!U19-last_qrtr_totalemp!V19</f>
        <v>-0.5</v>
      </c>
      <c r="V19" s="286">
        <f>'Data-total_employment'!V19-last_qrtr_totalemp!W19</f>
        <v>-0.40000000000000213</v>
      </c>
      <c r="W19" s="286">
        <f>'Data-total_employment'!W19</f>
        <v>18.5</v>
      </c>
      <c r="X19" s="285" t="s">
        <v>25</v>
      </c>
      <c r="Y19" s="286">
        <f>'Data-total_employment'!Y19-last_qrtr_totalemp!Z19</f>
        <v>-9.9999999999999645E-2</v>
      </c>
      <c r="Z19" s="286">
        <f>'Data-total_employment'!Z19-last_qrtr_totalemp!AA19</f>
        <v>0.20000000000000107</v>
      </c>
      <c r="AA19" s="286">
        <f>'Data-total_employment'!AA19-last_qrtr_totalemp!AB19</f>
        <v>0.20000000000000107</v>
      </c>
      <c r="AB19" s="286">
        <f>'Data-total_employment'!AB19-last_qrtr_totalemp!AC19</f>
        <v>0.5</v>
      </c>
      <c r="AC19" s="286">
        <f>'Data-total_employment'!AC19-last_qrtr_totalemp!AD19</f>
        <v>0.5</v>
      </c>
      <c r="AD19" s="286">
        <f>'Data-total_employment'!AD19-last_qrtr_totalemp!AE19</f>
        <v>0.70000000000000107</v>
      </c>
      <c r="AE19" s="286">
        <f>'Data-total_employment'!AE19-last_qrtr_totalemp!AF19</f>
        <v>0.59999999999999964</v>
      </c>
      <c r="AF19" s="286">
        <f>'Data-total_employment'!AF19-last_qrtr_totalemp!AG19</f>
        <v>0.60000000000000142</v>
      </c>
      <c r="AG19" s="286">
        <f>'Data-total_employment'!AG19-last_qrtr_totalemp!AH19</f>
        <v>0.40000000000000036</v>
      </c>
      <c r="AH19" s="286">
        <f>'Data-total_employment'!AH19</f>
        <v>14.8</v>
      </c>
      <c r="AI19" s="279" t="s">
        <v>25</v>
      </c>
      <c r="AJ19" s="286">
        <f>'Data-total_employment'!AJ19-last_qrtr_totalemp!AK19</f>
        <v>-0.19999999999999574</v>
      </c>
      <c r="AK19" s="286">
        <f>'Data-total_employment'!AK19-last_qrtr_totalemp!AL19</f>
        <v>0.10000000000000853</v>
      </c>
      <c r="AL19" s="286">
        <f>'Data-total_employment'!AL19-last_qrtr_totalemp!AM19</f>
        <v>0.79999999999999716</v>
      </c>
      <c r="AM19" s="286">
        <f>'Data-total_employment'!AM19-last_qrtr_totalemp!AN19</f>
        <v>0.39999999999999147</v>
      </c>
      <c r="AN19" s="286">
        <f>'Data-total_employment'!AN19-last_qrtr_totalemp!AO19</f>
        <v>-0.60000000000000853</v>
      </c>
      <c r="AO19" s="286">
        <f>'Data-total_employment'!AO19-last_qrtr_totalemp!AP19</f>
        <v>0.5</v>
      </c>
      <c r="AP19" s="286">
        <f>'Data-total_employment'!AP19-last_qrtr_totalemp!AQ19</f>
        <v>0.90000000000000568</v>
      </c>
      <c r="AQ19" s="286">
        <f>'Data-total_employment'!AQ19-last_qrtr_totalemp!AR19</f>
        <v>1.2000000000000028</v>
      </c>
      <c r="AR19" s="286">
        <f>'Data-total_employment'!AR19-last_qrtr_totalemp!AS19</f>
        <v>-0.29999999999999716</v>
      </c>
      <c r="AS19" s="286">
        <f>'Data-total_employment'!AS19</f>
        <v>65.5</v>
      </c>
      <c r="AT19" s="279" t="s">
        <v>25</v>
      </c>
      <c r="AU19" s="286">
        <f>'Data-total_employment'!AU19-last_qrtr_totalemp!AV19</f>
        <v>-40</v>
      </c>
      <c r="AV19" s="286">
        <f>'Data-total_employment'!AV19-last_qrtr_totalemp!AW19</f>
        <v>-14</v>
      </c>
      <c r="AW19" s="286">
        <f>'Data-total_employment'!AW19-last_qrtr_totalemp!AX19</f>
        <v>32</v>
      </c>
      <c r="AX19" s="286">
        <f>'Data-total_employment'!AX19-last_qrtr_totalemp!AY19</f>
        <v>-24</v>
      </c>
      <c r="AY19" s="286">
        <f>'Data-total_employment'!AY19-last_qrtr_totalemp!AZ19</f>
        <v>-124</v>
      </c>
      <c r="AZ19" s="286">
        <f>'Data-total_employment'!AZ19-last_qrtr_totalemp!BA19</f>
        <v>36</v>
      </c>
      <c r="BA19" s="286">
        <f>'Data-total_employment'!BA19-last_qrtr_totalemp!BB19</f>
        <v>124</v>
      </c>
      <c r="BB19" s="286">
        <f>'Data-total_employment'!BB19-last_qrtr_totalemp!BC19</f>
        <v>-36</v>
      </c>
      <c r="BC19" s="286">
        <f>'Data-total_employment'!BC19-last_qrtr_totalemp!BD19</f>
        <v>-39</v>
      </c>
      <c r="BD19" s="286">
        <f>'Data-total_employment'!BD19</f>
        <v>610</v>
      </c>
    </row>
    <row r="20" spans="1:56">
      <c r="A20" s="269">
        <v>17</v>
      </c>
      <c r="B20" s="285" t="s">
        <v>49</v>
      </c>
      <c r="C20" s="286">
        <f>'Data-total_employment'!C20-last_qrtr_totalemp!D20</f>
        <v>983.90000000000146</v>
      </c>
      <c r="D20" s="286">
        <f>'Data-total_employment'!D20-last_qrtr_totalemp!E20</f>
        <v>609.70000000000437</v>
      </c>
      <c r="E20" s="286">
        <f>'Data-total_employment'!E20-last_qrtr_totalemp!F20</f>
        <v>777</v>
      </c>
      <c r="F20" s="286">
        <f>'Data-total_employment'!F20-last_qrtr_totalemp!G20</f>
        <v>598.09999999999854</v>
      </c>
      <c r="G20" s="286">
        <f>'Data-total_employment'!G20-last_qrtr_totalemp!H20</f>
        <v>324.90000000000146</v>
      </c>
      <c r="H20" s="286">
        <f>'Data-total_employment'!H20-last_qrtr_totalemp!I20</f>
        <v>-211.60000000000582</v>
      </c>
      <c r="I20" s="286">
        <f>'Data-total_employment'!I20-last_qrtr_totalemp!J20</f>
        <v>340.90000000000146</v>
      </c>
      <c r="J20" s="286">
        <f>'Data-total_employment'!J20-last_qrtr_totalemp!K20</f>
        <v>575.19999999999709</v>
      </c>
      <c r="K20" s="286">
        <f>'Data-total_employment'!K20-last_qrtr_totalemp!L20</f>
        <v>298.10000000000582</v>
      </c>
      <c r="L20" s="286">
        <f>'Data-total_employment'!L20</f>
        <v>40280.9</v>
      </c>
      <c r="M20" s="285" t="s">
        <v>49</v>
      </c>
      <c r="N20" s="286">
        <f>'Data-total_employment'!N20-last_qrtr_totalemp!O20</f>
        <v>-0.10000000000000142</v>
      </c>
      <c r="O20" s="286">
        <f>'Data-total_employment'!O20-last_qrtr_totalemp!P20</f>
        <v>0.10000000000000142</v>
      </c>
      <c r="P20" s="286">
        <f>'Data-total_employment'!P20-last_qrtr_totalemp!Q20</f>
        <v>0</v>
      </c>
      <c r="Q20" s="286">
        <f>'Data-total_employment'!Q20-last_qrtr_totalemp!R20</f>
        <v>-0.5</v>
      </c>
      <c r="R20" s="286">
        <f>'Data-total_employment'!R20-last_qrtr_totalemp!S20</f>
        <v>0.19999999999999929</v>
      </c>
      <c r="S20" s="286">
        <f>'Data-total_employment'!S20-last_qrtr_totalemp!T20</f>
        <v>0.39999999999999858</v>
      </c>
      <c r="T20" s="286">
        <f>'Data-total_employment'!T20-last_qrtr_totalemp!U20</f>
        <v>0</v>
      </c>
      <c r="U20" s="286">
        <f>'Data-total_employment'!U20-last_qrtr_totalemp!V20</f>
        <v>0</v>
      </c>
      <c r="V20" s="286">
        <f>'Data-total_employment'!V20-last_qrtr_totalemp!W20</f>
        <v>-9.9999999999997868E-2</v>
      </c>
      <c r="W20" s="286">
        <f>'Data-total_employment'!W20</f>
        <v>27.1</v>
      </c>
      <c r="X20" s="285" t="s">
        <v>49</v>
      </c>
      <c r="Y20" s="286">
        <f>'Data-total_employment'!Y20-last_qrtr_totalemp!Z20</f>
        <v>0.20000000000000107</v>
      </c>
      <c r="Z20" s="286">
        <f>'Data-total_employment'!Z20-last_qrtr_totalemp!AA20</f>
        <v>0.19999999999999929</v>
      </c>
      <c r="AA20" s="286">
        <f>'Data-total_employment'!AA20-last_qrtr_totalemp!AB20</f>
        <v>0</v>
      </c>
      <c r="AB20" s="286">
        <f>'Data-total_employment'!AB20-last_qrtr_totalemp!AC20</f>
        <v>0.19999999999999929</v>
      </c>
      <c r="AC20" s="286">
        <f>'Data-total_employment'!AC20-last_qrtr_totalemp!AD20</f>
        <v>-0.20000000000000107</v>
      </c>
      <c r="AD20" s="286">
        <f>'Data-total_employment'!AD20-last_qrtr_totalemp!AE20</f>
        <v>-0.20000000000000107</v>
      </c>
      <c r="AE20" s="286">
        <f>'Data-total_employment'!AE20-last_qrtr_totalemp!AF20</f>
        <v>-0.40000000000000036</v>
      </c>
      <c r="AF20" s="286">
        <f>'Data-total_employment'!AF20-last_qrtr_totalemp!AG20</f>
        <v>-0.10000000000000142</v>
      </c>
      <c r="AG20" s="286">
        <f>'Data-total_employment'!AG20-last_qrtr_totalemp!AH20</f>
        <v>-0.19999999999999929</v>
      </c>
      <c r="AH20" s="286">
        <f>'Data-total_employment'!AH20</f>
        <v>11.6</v>
      </c>
      <c r="AI20" s="279" t="s">
        <v>49</v>
      </c>
      <c r="AJ20" s="286">
        <f>'Data-total_employment'!AJ20-last_qrtr_totalemp!AK20</f>
        <v>0.40000000000000568</v>
      </c>
      <c r="AK20" s="286">
        <f>'Data-total_employment'!AK20-last_qrtr_totalemp!AL20</f>
        <v>0</v>
      </c>
      <c r="AL20" s="286">
        <f>'Data-total_employment'!AL20-last_qrtr_totalemp!AM20</f>
        <v>0.69999999999998863</v>
      </c>
      <c r="AM20" s="286">
        <f>'Data-total_employment'!AM20-last_qrtr_totalemp!AN20</f>
        <v>1.2999999999999972</v>
      </c>
      <c r="AN20" s="286">
        <f>'Data-total_employment'!AN20-last_qrtr_totalemp!AO20</f>
        <v>0.39999999999999147</v>
      </c>
      <c r="AO20" s="286">
        <f>'Data-total_employment'!AO20-last_qrtr_totalemp!AP20</f>
        <v>-0.29999999999999716</v>
      </c>
      <c r="AP20" s="286">
        <f>'Data-total_employment'!AP20-last_qrtr_totalemp!AQ20</f>
        <v>0.29999999999999716</v>
      </c>
      <c r="AQ20" s="286">
        <f>'Data-total_employment'!AQ20-last_qrtr_totalemp!AR20</f>
        <v>1.4000000000000057</v>
      </c>
      <c r="AR20" s="286">
        <f>'Data-total_employment'!AR20-last_qrtr_totalemp!AS20</f>
        <v>0.60000000000000853</v>
      </c>
      <c r="AS20" s="286">
        <f>'Data-total_employment'!AS20</f>
        <v>75.400000000000006</v>
      </c>
      <c r="AT20" s="291" t="s">
        <v>547</v>
      </c>
      <c r="AU20" s="286">
        <f>'Data-total_employment'!AU20-last_qrtr_totalemp!AV20</f>
        <v>0</v>
      </c>
      <c r="AV20" s="286">
        <f>'Data-total_employment'!AV20-last_qrtr_totalemp!AW20</f>
        <v>0</v>
      </c>
      <c r="AW20" s="286">
        <f>'Data-total_employment'!AW20-last_qrtr_totalemp!AX20</f>
        <v>0</v>
      </c>
      <c r="AX20" s="286">
        <f>'Data-total_employment'!AX20-last_qrtr_totalemp!AY20</f>
        <v>0</v>
      </c>
      <c r="AY20" s="286">
        <f>'Data-total_employment'!AY20-last_qrtr_totalemp!AZ20</f>
        <v>0</v>
      </c>
      <c r="AZ20" s="286">
        <f>'Data-total_employment'!AZ20-last_qrtr_totalemp!BA20</f>
        <v>0</v>
      </c>
      <c r="BA20" s="286">
        <f>'Data-total_employment'!BA20-last_qrtr_totalemp!BB20</f>
        <v>0</v>
      </c>
      <c r="BB20" s="286">
        <f>'Data-total_employment'!BB20-last_qrtr_totalemp!BC20</f>
        <v>0</v>
      </c>
      <c r="BC20" s="286">
        <f>'Data-total_employment'!BC20-last_qrtr_totalemp!BD20</f>
        <v>0</v>
      </c>
      <c r="BD20" s="286">
        <f>'Data-total_employment'!BD20</f>
        <v>0</v>
      </c>
    </row>
    <row r="21" spans="1:56">
      <c r="A21" s="269">
        <v>18</v>
      </c>
      <c r="B21" s="285" t="s">
        <v>23</v>
      </c>
      <c r="C21" s="286">
        <f>'Data-total_employment'!C21-last_qrtr_totalemp!D21</f>
        <v>-20.300000000000182</v>
      </c>
      <c r="D21" s="286">
        <f>'Data-total_employment'!D21-last_qrtr_totalemp!E21</f>
        <v>32.5</v>
      </c>
      <c r="E21" s="286">
        <f>'Data-total_employment'!E21-last_qrtr_totalemp!F21</f>
        <v>97.799999999999727</v>
      </c>
      <c r="F21" s="286">
        <f>'Data-total_employment'!F21-last_qrtr_totalemp!G21</f>
        <v>41.400000000000091</v>
      </c>
      <c r="G21" s="286">
        <f>'Data-total_employment'!G21-last_qrtr_totalemp!H21</f>
        <v>-46.299999999999727</v>
      </c>
      <c r="H21" s="286">
        <f>'Data-total_employment'!H21-last_qrtr_totalemp!I21</f>
        <v>47.600000000000364</v>
      </c>
      <c r="I21" s="286">
        <f>'Data-total_employment'!I21-last_qrtr_totalemp!J21</f>
        <v>167.90000000000009</v>
      </c>
      <c r="J21" s="286">
        <f>'Data-total_employment'!J21-last_qrtr_totalemp!K21</f>
        <v>71.799999999999727</v>
      </c>
      <c r="K21" s="286">
        <f>'Data-total_employment'!K21-last_qrtr_totalemp!L21</f>
        <v>-71.5</v>
      </c>
      <c r="L21" s="286">
        <f>'Data-total_employment'!L21</f>
        <v>3783.9</v>
      </c>
      <c r="M21" s="285" t="s">
        <v>23</v>
      </c>
      <c r="N21" s="286">
        <f>'Data-total_employment'!N21-last_qrtr_totalemp!O21</f>
        <v>0.29999999999999893</v>
      </c>
      <c r="O21" s="286">
        <f>'Data-total_employment'!O21-last_qrtr_totalemp!P21</f>
        <v>0.80000000000000071</v>
      </c>
      <c r="P21" s="286">
        <f>'Data-total_employment'!P21-last_qrtr_totalemp!Q21</f>
        <v>0.29999999999999893</v>
      </c>
      <c r="Q21" s="286">
        <f>'Data-total_employment'!Q21-last_qrtr_totalemp!R21</f>
        <v>0.40000000000000036</v>
      </c>
      <c r="R21" s="286">
        <f>'Data-total_employment'!R21-last_qrtr_totalemp!S21</f>
        <v>0.59999999999999964</v>
      </c>
      <c r="S21" s="286">
        <f>'Data-total_employment'!S21-last_qrtr_totalemp!T21</f>
        <v>0.20000000000000107</v>
      </c>
      <c r="T21" s="286">
        <f>'Data-total_employment'!T21-last_qrtr_totalemp!U21</f>
        <v>-0.79999999999999893</v>
      </c>
      <c r="U21" s="286">
        <f>'Data-total_employment'!U21-last_qrtr_totalemp!V21</f>
        <v>-0.90000000000000036</v>
      </c>
      <c r="V21" s="286">
        <f>'Data-total_employment'!V21-last_qrtr_totalemp!W21</f>
        <v>-0.30000000000000071</v>
      </c>
      <c r="W21" s="286">
        <f>'Data-total_employment'!W21</f>
        <v>9.3000000000000007</v>
      </c>
      <c r="X21" s="285" t="s">
        <v>23</v>
      </c>
      <c r="Y21" s="286">
        <f>'Data-total_employment'!Y21-last_qrtr_totalemp!Z21</f>
        <v>0.10000000000000053</v>
      </c>
      <c r="Z21" s="286">
        <f>'Data-total_employment'!Z21-last_qrtr_totalemp!AA21</f>
        <v>-0.30000000000000071</v>
      </c>
      <c r="AA21" s="286">
        <f>'Data-total_employment'!AA21-last_qrtr_totalemp!AB21</f>
        <v>-0.59999999999999964</v>
      </c>
      <c r="AB21" s="286">
        <f>'Data-total_employment'!AB21-last_qrtr_totalemp!AC21</f>
        <v>-0.79999999999999982</v>
      </c>
      <c r="AC21" s="286">
        <f>'Data-total_employment'!AC21-last_qrtr_totalemp!AD21</f>
        <v>-0.5</v>
      </c>
      <c r="AD21" s="286">
        <f>'Data-total_employment'!AD21-last_qrtr_totalemp!AE21</f>
        <v>0.40000000000000036</v>
      </c>
      <c r="AE21" s="286">
        <f>'Data-total_employment'!AE21-last_qrtr_totalemp!AF21</f>
        <v>1.2000000000000002</v>
      </c>
      <c r="AF21" s="286">
        <f>'Data-total_employment'!AF21-last_qrtr_totalemp!AG21</f>
        <v>0.40000000000000036</v>
      </c>
      <c r="AG21" s="286">
        <f>'Data-total_employment'!AG21-last_qrtr_totalemp!AH21</f>
        <v>-0.89999999999999947</v>
      </c>
      <c r="AH21" s="286">
        <f>'Data-total_employment'!AH21</f>
        <v>7.9</v>
      </c>
      <c r="AI21" s="279" t="s">
        <v>23</v>
      </c>
      <c r="AJ21" s="286">
        <f>'Data-total_employment'!AJ21-last_qrtr_totalemp!AK21</f>
        <v>-0.10000000000000142</v>
      </c>
      <c r="AK21" s="286">
        <f>'Data-total_employment'!AK21-last_qrtr_totalemp!AL21</f>
        <v>0.69999999999999574</v>
      </c>
      <c r="AL21" s="286">
        <f>'Data-total_employment'!AL21-last_qrtr_totalemp!AM21</f>
        <v>1.7000000000000028</v>
      </c>
      <c r="AM21" s="286">
        <f>'Data-total_employment'!AM21-last_qrtr_totalemp!AN21</f>
        <v>0.89999999999999858</v>
      </c>
      <c r="AN21" s="286">
        <f>'Data-total_employment'!AN21-last_qrtr_totalemp!AO21</f>
        <v>-0.39999999999999858</v>
      </c>
      <c r="AO21" s="286">
        <f>'Data-total_employment'!AO21-last_qrtr_totalemp!AP21</f>
        <v>1</v>
      </c>
      <c r="AP21" s="286">
        <f>'Data-total_employment'!AP21-last_qrtr_totalemp!AQ21</f>
        <v>2.8000000000000043</v>
      </c>
      <c r="AQ21" s="286">
        <f>'Data-total_employment'!AQ21-last_qrtr_totalemp!AR21</f>
        <v>1.3999999999999986</v>
      </c>
      <c r="AR21" s="286">
        <f>'Data-total_employment'!AR21-last_qrtr_totalemp!AS21</f>
        <v>-0.70000000000000284</v>
      </c>
      <c r="AS21" s="286">
        <f>'Data-total_employment'!AS21</f>
        <v>55.3</v>
      </c>
      <c r="AT21" s="279" t="s">
        <v>23</v>
      </c>
      <c r="AU21" s="286">
        <f>'Data-total_employment'!AU21-last_qrtr_totalemp!AV21</f>
        <v>-62</v>
      </c>
      <c r="AV21" s="286">
        <f>'Data-total_employment'!AV21-last_qrtr_totalemp!AW21</f>
        <v>-19</v>
      </c>
      <c r="AW21" s="286">
        <f>'Data-total_employment'!AW21-last_qrtr_totalemp!AX21</f>
        <v>56</v>
      </c>
      <c r="AX21" s="286">
        <f>'Data-total_employment'!AX21-last_qrtr_totalemp!AY21</f>
        <v>12</v>
      </c>
      <c r="AY21" s="286">
        <f>'Data-total_employment'!AY21-last_qrtr_totalemp!AZ21</f>
        <v>-63</v>
      </c>
      <c r="AZ21" s="286">
        <f>'Data-total_employment'!AZ21-last_qrtr_totalemp!BA21</f>
        <v>-6</v>
      </c>
      <c r="BA21" s="286">
        <f>'Data-total_employment'!BA21-last_qrtr_totalemp!BB21</f>
        <v>78</v>
      </c>
      <c r="BB21" s="286">
        <f>'Data-total_employment'!BB21-last_qrtr_totalemp!BC21</f>
        <v>12</v>
      </c>
      <c r="BC21" s="286">
        <f>'Data-total_employment'!BC21-last_qrtr_totalemp!BD21</f>
        <v>-78</v>
      </c>
      <c r="BD21" s="286">
        <f>'Data-total_employment'!BD21</f>
        <v>41</v>
      </c>
    </row>
    <row r="22" spans="1:56">
      <c r="A22" s="269">
        <v>19</v>
      </c>
      <c r="B22" s="285" t="s">
        <v>32</v>
      </c>
      <c r="C22" s="286">
        <f>'Data-total_employment'!C22-last_qrtr_totalemp!D22</f>
        <v>57.400000000000546</v>
      </c>
      <c r="D22" s="286">
        <f>'Data-total_employment'!D22-last_qrtr_totalemp!E22</f>
        <v>76.399999999999636</v>
      </c>
      <c r="E22" s="286">
        <f>'Data-total_employment'!E22-last_qrtr_totalemp!F22</f>
        <v>124.39999999999964</v>
      </c>
      <c r="F22" s="286">
        <f>'Data-total_employment'!F22-last_qrtr_totalemp!G22</f>
        <v>138.09999999999945</v>
      </c>
      <c r="G22" s="286">
        <f>'Data-total_employment'!G22-last_qrtr_totalemp!H22</f>
        <v>18.100000000000364</v>
      </c>
      <c r="H22" s="286">
        <f>'Data-total_employment'!H22-last_qrtr_totalemp!I22</f>
        <v>25.199999999999818</v>
      </c>
      <c r="I22" s="286">
        <f>'Data-total_employment'!I22-last_qrtr_totalemp!J22</f>
        <v>39.699999999999818</v>
      </c>
      <c r="J22" s="286">
        <f>'Data-total_employment'!J22-last_qrtr_totalemp!K22</f>
        <v>75.099999999999454</v>
      </c>
      <c r="K22" s="286">
        <f>'Data-total_employment'!K22-last_qrtr_totalemp!L22</f>
        <v>11.400000000000546</v>
      </c>
      <c r="L22" s="286">
        <f>'Data-total_employment'!L22</f>
        <v>4418.3</v>
      </c>
      <c r="M22" s="285" t="s">
        <v>32</v>
      </c>
      <c r="N22" s="286">
        <f>'Data-total_employment'!N22-last_qrtr_totalemp!O22</f>
        <v>-0.89999999999999947</v>
      </c>
      <c r="O22" s="286">
        <f>'Data-total_employment'!O22-last_qrtr_totalemp!P22</f>
        <v>-0.69999999999999929</v>
      </c>
      <c r="P22" s="286">
        <f>'Data-total_employment'!P22-last_qrtr_totalemp!Q22</f>
        <v>-0.5</v>
      </c>
      <c r="Q22" s="286">
        <f>'Data-total_employment'!Q22-last_qrtr_totalemp!R22</f>
        <v>-0.30000000000000071</v>
      </c>
      <c r="R22" s="286">
        <f>'Data-total_employment'!R22-last_qrtr_totalemp!S22</f>
        <v>-0.40000000000000036</v>
      </c>
      <c r="S22" s="286">
        <f>'Data-total_employment'!S22-last_qrtr_totalemp!T22</f>
        <v>-0.39999999999999947</v>
      </c>
      <c r="T22" s="286">
        <f>'Data-total_employment'!T22-last_qrtr_totalemp!U22</f>
        <v>-0.5</v>
      </c>
      <c r="U22" s="286">
        <f>'Data-total_employment'!U22-last_qrtr_totalemp!V22</f>
        <v>-0.20000000000000018</v>
      </c>
      <c r="V22" s="286">
        <f>'Data-total_employment'!V22-last_qrtr_totalemp!W22</f>
        <v>-0.30000000000000071</v>
      </c>
      <c r="W22" s="286">
        <f>'Data-total_employment'!W22</f>
        <v>4.2</v>
      </c>
      <c r="X22" s="285" t="s">
        <v>32</v>
      </c>
      <c r="Y22" s="286">
        <f>'Data-total_employment'!Y22-last_qrtr_totalemp!Z22</f>
        <v>-0.80000000000000071</v>
      </c>
      <c r="Z22" s="286">
        <f>'Data-total_employment'!Z22-last_qrtr_totalemp!AA22</f>
        <v>-1.2999999999999989</v>
      </c>
      <c r="AA22" s="286">
        <f>'Data-total_employment'!AA22-last_qrtr_totalemp!AB22</f>
        <v>-1.7000000000000011</v>
      </c>
      <c r="AB22" s="286">
        <f>'Data-total_employment'!AB22-last_qrtr_totalemp!AC22</f>
        <v>-1.2000000000000011</v>
      </c>
      <c r="AC22" s="286">
        <f>'Data-total_employment'!AC22-last_qrtr_totalemp!AD22</f>
        <v>-0.40000000000000036</v>
      </c>
      <c r="AD22" s="286">
        <f>'Data-total_employment'!AD22-last_qrtr_totalemp!AE22</f>
        <v>-0.29999999999999893</v>
      </c>
      <c r="AE22" s="286">
        <f>'Data-total_employment'!AE22-last_qrtr_totalemp!AF22</f>
        <v>-0.29999999999999982</v>
      </c>
      <c r="AF22" s="286">
        <f>'Data-total_employment'!AF22-last_qrtr_totalemp!AG22</f>
        <v>-1.3999999999999995</v>
      </c>
      <c r="AG22" s="286">
        <f>'Data-total_employment'!AG22-last_qrtr_totalemp!AH22</f>
        <v>-0.79999999999999893</v>
      </c>
      <c r="AH22" s="286">
        <f>'Data-total_employment'!AH22</f>
        <v>6.8</v>
      </c>
      <c r="AI22" s="279" t="s">
        <v>32</v>
      </c>
      <c r="AJ22" s="286">
        <f>'Data-total_employment'!AJ22-last_qrtr_totalemp!AK22</f>
        <v>1.2999999999999972</v>
      </c>
      <c r="AK22" s="286">
        <f>'Data-total_employment'!AK22-last_qrtr_totalemp!AL22</f>
        <v>1.6000000000000085</v>
      </c>
      <c r="AL22" s="286">
        <f>'Data-total_employment'!AL22-last_qrtr_totalemp!AM22</f>
        <v>2.2999999999999972</v>
      </c>
      <c r="AM22" s="286">
        <f>'Data-total_employment'!AM22-last_qrtr_totalemp!AN22</f>
        <v>2.4000000000000057</v>
      </c>
      <c r="AN22" s="286">
        <f>'Data-total_employment'!AN22-last_qrtr_totalemp!AO22</f>
        <v>0.69999999999998863</v>
      </c>
      <c r="AO22" s="286">
        <f>'Data-total_employment'!AO22-last_qrtr_totalemp!AP22</f>
        <v>1</v>
      </c>
      <c r="AP22" s="286">
        <f>'Data-total_employment'!AP22-last_qrtr_totalemp!AQ22</f>
        <v>1.2000000000000028</v>
      </c>
      <c r="AQ22" s="286">
        <f>'Data-total_employment'!AQ22-last_qrtr_totalemp!AR22</f>
        <v>1.7000000000000028</v>
      </c>
      <c r="AR22" s="286">
        <f>'Data-total_employment'!AR22-last_qrtr_totalemp!AS22</f>
        <v>0.60000000000000853</v>
      </c>
      <c r="AS22" s="286">
        <f>'Data-total_employment'!AS22</f>
        <v>69.3</v>
      </c>
      <c r="AT22" s="279" t="s">
        <v>32</v>
      </c>
      <c r="AU22" s="286">
        <f>'Data-total_employment'!AU22-last_qrtr_totalemp!AV22</f>
        <v>-28</v>
      </c>
      <c r="AV22" s="286">
        <f>'Data-total_employment'!AV22-last_qrtr_totalemp!AW22</f>
        <v>-13</v>
      </c>
      <c r="AW22" s="286">
        <f>'Data-total_employment'!AW22-last_qrtr_totalemp!AX22</f>
        <v>15</v>
      </c>
      <c r="AX22" s="286">
        <f>'Data-total_employment'!AX22-last_qrtr_totalemp!AY22</f>
        <v>-2</v>
      </c>
      <c r="AY22" s="286">
        <f>'Data-total_employment'!AY22-last_qrtr_totalemp!AZ22</f>
        <v>-21</v>
      </c>
      <c r="AZ22" s="286">
        <f>'Data-total_employment'!AZ22-last_qrtr_totalemp!BA22</f>
        <v>-12</v>
      </c>
      <c r="BA22" s="286">
        <f>'Data-total_employment'!BA22-last_qrtr_totalemp!BB22</f>
        <v>1</v>
      </c>
      <c r="BB22" s="286">
        <f>'Data-total_employment'!BB22-last_qrtr_totalemp!BC22</f>
        <v>8</v>
      </c>
      <c r="BC22" s="286">
        <f>'Data-total_employment'!BC22-last_qrtr_totalemp!BD22</f>
        <v>-4</v>
      </c>
      <c r="BD22" s="286">
        <f>'Data-total_employment'!BD22</f>
        <v>35</v>
      </c>
    </row>
    <row r="23" spans="1:56">
      <c r="A23" s="269">
        <v>20</v>
      </c>
      <c r="B23" s="285" t="s">
        <v>44</v>
      </c>
      <c r="C23" s="286">
        <f>'Data-total_employment'!C23-last_qrtr_totalemp!D23</f>
        <v>-2.7999999999999829</v>
      </c>
      <c r="D23" s="286">
        <f>'Data-total_employment'!D23-last_qrtr_totalemp!E23</f>
        <v>5.1999999999999886</v>
      </c>
      <c r="E23" s="286">
        <f>'Data-total_employment'!E23-last_qrtr_totalemp!F23</f>
        <v>10.800000000000011</v>
      </c>
      <c r="F23" s="286">
        <f>'Data-total_employment'!F23-last_qrtr_totalemp!G23</f>
        <v>6.2999999999999829</v>
      </c>
      <c r="G23" s="286">
        <f>'Data-total_employment'!G23-last_qrtr_totalemp!H23</f>
        <v>-1.3999999999999773</v>
      </c>
      <c r="H23" s="286">
        <f>'Data-total_employment'!H23-last_qrtr_totalemp!I23</f>
        <v>2.4000000000000057</v>
      </c>
      <c r="I23" s="286">
        <f>'Data-total_employment'!I23-last_qrtr_totalemp!J23</f>
        <v>4</v>
      </c>
      <c r="J23" s="286">
        <f>'Data-total_employment'!J23-last_qrtr_totalemp!K23</f>
        <v>3.3999999999999773</v>
      </c>
      <c r="K23" s="286">
        <f>'Data-total_employment'!K23-last_qrtr_totalemp!L23</f>
        <v>-2.5</v>
      </c>
      <c r="L23" s="286">
        <f>'Data-total_employment'!L23</f>
        <v>186.6</v>
      </c>
      <c r="M23" s="285" t="s">
        <v>44</v>
      </c>
      <c r="N23" s="286">
        <f>'Data-total_employment'!N23-last_qrtr_totalemp!O23</f>
        <v>6.1999999999999993</v>
      </c>
      <c r="O23" s="286">
        <f>'Data-total_employment'!O23-last_qrtr_totalemp!P23</f>
        <v>1.5999999999999979</v>
      </c>
      <c r="P23" s="286">
        <f>'Data-total_employment'!P23-last_qrtr_totalemp!Q23</f>
        <v>-4.8000000000000007</v>
      </c>
      <c r="Q23" s="286">
        <f>'Data-total_employment'!Q23-last_qrtr_totalemp!R23</f>
        <v>-2</v>
      </c>
      <c r="R23" s="286">
        <f>'Data-total_employment'!R23-last_qrtr_totalemp!S23</f>
        <v>4.6000000000000014</v>
      </c>
      <c r="S23" s="286">
        <f>'Data-total_employment'!S23-last_qrtr_totalemp!T23</f>
        <v>-1.3999999999999986</v>
      </c>
      <c r="T23" s="286">
        <f>'Data-total_employment'!T23-last_qrtr_totalemp!U23</f>
        <v>-4.1000000000000014</v>
      </c>
      <c r="U23" s="286">
        <f>'Data-total_employment'!U23-last_qrtr_totalemp!V23</f>
        <v>-1.6999999999999993</v>
      </c>
      <c r="V23" s="286">
        <f>'Data-total_employment'!V23-last_qrtr_totalemp!W23</f>
        <v>3.6999999999999993</v>
      </c>
      <c r="W23" s="286">
        <f>'Data-total_employment'!W23</f>
        <v>19.600000000000001</v>
      </c>
      <c r="X23" s="285" t="s">
        <v>44</v>
      </c>
      <c r="Y23" s="286">
        <f>'Data-total_employment'!Y23-last_qrtr_totalemp!Z23</f>
        <v>-1.4000000000000004</v>
      </c>
      <c r="Z23" s="286">
        <f>'Data-total_employment'!Z23-last_qrtr_totalemp!AA23</f>
        <v>-0.69999999999999929</v>
      </c>
      <c r="AA23" s="286">
        <f>'Data-total_employment'!AA23-last_qrtr_totalemp!AB23</f>
        <v>-0.80000000000000071</v>
      </c>
      <c r="AB23" s="286">
        <f>'Data-total_employment'!AB23-last_qrtr_totalemp!AC23</f>
        <v>0.29999999999999893</v>
      </c>
      <c r="AC23" s="286">
        <f>'Data-total_employment'!AC23-last_qrtr_totalemp!AD23</f>
        <v>-1</v>
      </c>
      <c r="AD23" s="286">
        <f>'Data-total_employment'!AD23-last_qrtr_totalemp!AE23</f>
        <v>-0.5</v>
      </c>
      <c r="AE23" s="286">
        <f>'Data-total_employment'!AE23-last_qrtr_totalemp!AF23</f>
        <v>-0.90000000000000036</v>
      </c>
      <c r="AF23" s="286">
        <f>'Data-total_employment'!AF23-last_qrtr_totalemp!AG23</f>
        <v>-1</v>
      </c>
      <c r="AG23" s="286">
        <f>'Data-total_employment'!AG23-last_qrtr_totalemp!AH23</f>
        <v>-0.80000000000000071</v>
      </c>
      <c r="AH23" s="286">
        <f>'Data-total_employment'!AH23</f>
        <v>8.8000000000000007</v>
      </c>
      <c r="AI23" s="279" t="s">
        <v>44</v>
      </c>
      <c r="AJ23" s="286">
        <f>'Data-total_employment'!AJ23-last_qrtr_totalemp!AK23</f>
        <v>-1</v>
      </c>
      <c r="AK23" s="286">
        <f>'Data-total_employment'!AK23-last_qrtr_totalemp!AL23</f>
        <v>1.3000000000000114</v>
      </c>
      <c r="AL23" s="286">
        <f>'Data-total_employment'!AL23-last_qrtr_totalemp!AM23</f>
        <v>3.7000000000000028</v>
      </c>
      <c r="AM23" s="286">
        <f>'Data-total_employment'!AM23-last_qrtr_totalemp!AN23</f>
        <v>1.5</v>
      </c>
      <c r="AN23" s="286">
        <f>'Data-total_employment'!AN23-last_qrtr_totalemp!AO23</f>
        <v>-1.7000000000000028</v>
      </c>
      <c r="AO23" s="286">
        <f>'Data-total_employment'!AO23-last_qrtr_totalemp!AP23</f>
        <v>-0.20000000000000284</v>
      </c>
      <c r="AP23" s="286">
        <f>'Data-total_employment'!AP23-last_qrtr_totalemp!AQ23</f>
        <v>0.10000000000000853</v>
      </c>
      <c r="AQ23" s="286">
        <f>'Data-total_employment'!AQ23-last_qrtr_totalemp!AR23</f>
        <v>-1</v>
      </c>
      <c r="AR23" s="286">
        <f>'Data-total_employment'!AR23-last_qrtr_totalemp!AS23</f>
        <v>-4</v>
      </c>
      <c r="AS23" s="286">
        <f>'Data-total_employment'!AS23</f>
        <v>85.3</v>
      </c>
      <c r="AT23" s="279" t="s">
        <v>44</v>
      </c>
      <c r="AU23" s="286">
        <f>'Data-total_employment'!AU23-last_qrtr_totalemp!AV23</f>
        <v>-1</v>
      </c>
      <c r="AV23" s="286">
        <f>'Data-total_employment'!AV23-last_qrtr_totalemp!AW23</f>
        <v>-2</v>
      </c>
      <c r="AW23" s="286">
        <f>'Data-total_employment'!AW23-last_qrtr_totalemp!AX23</f>
        <v>1</v>
      </c>
      <c r="AX23" s="286">
        <f>'Data-total_employment'!AX23-last_qrtr_totalemp!AY23</f>
        <v>1</v>
      </c>
      <c r="AY23" s="286">
        <f>'Data-total_employment'!AY23-last_qrtr_totalemp!AZ23</f>
        <v>0</v>
      </c>
      <c r="AZ23" s="286">
        <f>'Data-total_employment'!AZ23-last_qrtr_totalemp!BA23</f>
        <v>-2</v>
      </c>
      <c r="BA23" s="286">
        <f>'Data-total_employment'!BA23-last_qrtr_totalemp!BB23</f>
        <v>-2</v>
      </c>
      <c r="BB23" s="286">
        <f>'Data-total_employment'!BB23-last_qrtr_totalemp!BC23</f>
        <v>3</v>
      </c>
      <c r="BC23" s="286">
        <f>'Data-total_employment'!BC23-last_qrtr_totalemp!BD23</f>
        <v>1</v>
      </c>
      <c r="BD23" s="286">
        <f>'Data-total_employment'!BD23</f>
        <v>2</v>
      </c>
    </row>
    <row r="24" spans="1:56">
      <c r="A24" s="269">
        <v>21</v>
      </c>
      <c r="B24" s="285" t="s">
        <v>22</v>
      </c>
      <c r="C24" s="286">
        <f>'Data-total_employment'!C24-last_qrtr_totalemp!D24</f>
        <v>123.90000000000009</v>
      </c>
      <c r="D24" s="286">
        <f>'Data-total_employment'!D24-last_qrtr_totalemp!E24</f>
        <v>144.40000000000009</v>
      </c>
      <c r="E24" s="286">
        <f>'Data-total_employment'!E24-last_qrtr_totalemp!F24</f>
        <v>173.89999999999986</v>
      </c>
      <c r="F24" s="286">
        <f>'Data-total_employment'!F24-last_qrtr_totalemp!G24</f>
        <v>185.5</v>
      </c>
      <c r="G24" s="286">
        <f>'Data-total_employment'!G24-last_qrtr_totalemp!H24</f>
        <v>146.10000000000014</v>
      </c>
      <c r="H24" s="286">
        <f>'Data-total_employment'!H24-last_qrtr_totalemp!I24</f>
        <v>140</v>
      </c>
      <c r="I24" s="286">
        <f>'Data-total_employment'!I24-last_qrtr_totalemp!J24</f>
        <v>157.19999999999982</v>
      </c>
      <c r="J24" s="286">
        <f>'Data-total_employment'!J24-last_qrtr_totalemp!K24</f>
        <v>174.60000000000014</v>
      </c>
      <c r="K24" s="286">
        <f>'Data-total_employment'!K24-last_qrtr_totalemp!L24</f>
        <v>146.69999999999982</v>
      </c>
      <c r="L24" s="286">
        <f>'Data-total_employment'!L24</f>
        <v>2176.1999999999998</v>
      </c>
      <c r="M24" s="285" t="s">
        <v>22</v>
      </c>
      <c r="N24" s="286">
        <f>'Data-total_employment'!N24-last_qrtr_totalemp!O24</f>
        <v>0.5</v>
      </c>
      <c r="O24" s="286">
        <f>'Data-total_employment'!O24-last_qrtr_totalemp!P24</f>
        <v>1</v>
      </c>
      <c r="P24" s="286">
        <f>'Data-total_employment'!P24-last_qrtr_totalemp!Q24</f>
        <v>0.5</v>
      </c>
      <c r="Q24" s="286">
        <f>'Data-total_employment'!Q24-last_qrtr_totalemp!R24</f>
        <v>-0.69999999999999929</v>
      </c>
      <c r="R24" s="286">
        <f>'Data-total_employment'!R24-last_qrtr_totalemp!S24</f>
        <v>-0.69999999999999929</v>
      </c>
      <c r="S24" s="286">
        <f>'Data-total_employment'!S24-last_qrtr_totalemp!T24</f>
        <v>-1.1000000000000014</v>
      </c>
      <c r="T24" s="286">
        <f>'Data-total_employment'!T24-last_qrtr_totalemp!U24</f>
        <v>-1.6999999999999993</v>
      </c>
      <c r="U24" s="286">
        <f>'Data-total_employment'!U24-last_qrtr_totalemp!V24</f>
        <v>-0.69999999999999929</v>
      </c>
      <c r="V24" s="286">
        <f>'Data-total_employment'!V24-last_qrtr_totalemp!W24</f>
        <v>-0.5</v>
      </c>
      <c r="W24" s="286">
        <f>'Data-total_employment'!W24</f>
        <v>19.399999999999999</v>
      </c>
      <c r="X24" s="285" t="s">
        <v>22</v>
      </c>
      <c r="Y24" s="286">
        <f>'Data-total_employment'!Y24-last_qrtr_totalemp!Z24</f>
        <v>0.29999999999999982</v>
      </c>
      <c r="Z24" s="286">
        <f>'Data-total_employment'!Z24-last_qrtr_totalemp!AA24</f>
        <v>0.39999999999999947</v>
      </c>
      <c r="AA24" s="286">
        <f>'Data-total_employment'!AA24-last_qrtr_totalemp!AB24</f>
        <v>0.5</v>
      </c>
      <c r="AB24" s="286">
        <f>'Data-total_employment'!AB24-last_qrtr_totalemp!AC24</f>
        <v>0.5</v>
      </c>
      <c r="AC24" s="286">
        <f>'Data-total_employment'!AC24-last_qrtr_totalemp!AD24</f>
        <v>0.20000000000000018</v>
      </c>
      <c r="AD24" s="286">
        <f>'Data-total_employment'!AD24-last_qrtr_totalemp!AE24</f>
        <v>-0.10000000000000053</v>
      </c>
      <c r="AE24" s="286">
        <f>'Data-total_employment'!AE24-last_qrtr_totalemp!AF24</f>
        <v>1.8999999999999995</v>
      </c>
      <c r="AF24" s="286">
        <f>'Data-total_employment'!AF24-last_qrtr_totalemp!AG24</f>
        <v>2.0999999999999996</v>
      </c>
      <c r="AG24" s="286">
        <f>'Data-total_employment'!AG24-last_qrtr_totalemp!AH24</f>
        <v>2.5</v>
      </c>
      <c r="AH24" s="286">
        <f>'Data-total_employment'!AH24</f>
        <v>8.6999999999999993</v>
      </c>
      <c r="AI24" s="279" t="s">
        <v>22</v>
      </c>
      <c r="AJ24" s="286">
        <f>'Data-total_employment'!AJ24-last_qrtr_totalemp!AK24</f>
        <v>1.9999999999999929</v>
      </c>
      <c r="AK24" s="286">
        <f>'Data-total_employment'!AK24-last_qrtr_totalemp!AL24</f>
        <v>2.6000000000000085</v>
      </c>
      <c r="AL24" s="286">
        <f>'Data-total_employment'!AL24-last_qrtr_totalemp!AM24</f>
        <v>3.3000000000000043</v>
      </c>
      <c r="AM24" s="286">
        <f>'Data-total_employment'!AM24-last_qrtr_totalemp!AN24</f>
        <v>3.4999999999999929</v>
      </c>
      <c r="AN24" s="286">
        <f>'Data-total_employment'!AN24-last_qrtr_totalemp!AO24</f>
        <v>2.2000000000000028</v>
      </c>
      <c r="AO24" s="286">
        <f>'Data-total_employment'!AO24-last_qrtr_totalemp!AP24</f>
        <v>2</v>
      </c>
      <c r="AP24" s="286">
        <f>'Data-total_employment'!AP24-last_qrtr_totalemp!AQ24</f>
        <v>2.4000000000000057</v>
      </c>
      <c r="AQ24" s="286">
        <f>'Data-total_employment'!AQ24-last_qrtr_totalemp!AR24</f>
        <v>2.8999999999999915</v>
      </c>
      <c r="AR24" s="286">
        <f>'Data-total_employment'!AR24-last_qrtr_totalemp!AS24</f>
        <v>2.2000000000000028</v>
      </c>
      <c r="AS24" s="286">
        <f>'Data-total_employment'!AS24</f>
        <v>68.5</v>
      </c>
      <c r="AT24" s="279" t="s">
        <v>22</v>
      </c>
      <c r="AU24" s="286">
        <f>'Data-total_employment'!AU24-last_qrtr_totalemp!AV24</f>
        <v>2</v>
      </c>
      <c r="AV24" s="286">
        <f>'Data-total_employment'!AV24-last_qrtr_totalemp!AW24</f>
        <v>0</v>
      </c>
      <c r="AW24" s="286">
        <f>'Data-total_employment'!AW24-last_qrtr_totalemp!AX24</f>
        <v>-2</v>
      </c>
      <c r="AX24" s="286">
        <f>'Data-total_employment'!AX24-last_qrtr_totalemp!AY24</f>
        <v>11</v>
      </c>
      <c r="AY24" s="286">
        <f>'Data-total_employment'!AY24-last_qrtr_totalemp!AZ24</f>
        <v>6</v>
      </c>
      <c r="AZ24" s="286">
        <f>'Data-total_employment'!AZ24-last_qrtr_totalemp!BA24</f>
        <v>-12</v>
      </c>
      <c r="BA24" s="286">
        <f>'Data-total_employment'!BA24-last_qrtr_totalemp!BB24</f>
        <v>-5</v>
      </c>
      <c r="BB24" s="286">
        <f>'Data-total_employment'!BB24-last_qrtr_totalemp!BC24</f>
        <v>-17</v>
      </c>
      <c r="BC24" s="286">
        <f>'Data-total_employment'!BC24-last_qrtr_totalemp!BD24</f>
        <v>-21</v>
      </c>
      <c r="BD24" s="286">
        <f>'Data-total_employment'!BD24</f>
        <v>0</v>
      </c>
    </row>
    <row r="25" spans="1:56">
      <c r="A25" s="269">
        <v>22</v>
      </c>
      <c r="B25" s="285" t="s">
        <v>27</v>
      </c>
      <c r="C25" s="286">
        <f>'Data-total_employment'!C25-last_qrtr_totalemp!D25</f>
        <v>-76.799999999999272</v>
      </c>
      <c r="D25" s="286">
        <f>'Data-total_employment'!D25-last_qrtr_totalemp!E25</f>
        <v>282.10000000000218</v>
      </c>
      <c r="E25" s="286">
        <f>'Data-total_employment'!E25-last_qrtr_totalemp!F25</f>
        <v>286.5</v>
      </c>
      <c r="F25" s="286">
        <f>'Data-total_employment'!F25-last_qrtr_totalemp!G25</f>
        <v>354.39999999999782</v>
      </c>
      <c r="G25" s="286">
        <f>'Data-total_employment'!G25-last_qrtr_totalemp!H25</f>
        <v>-247.40000000000146</v>
      </c>
      <c r="H25" s="286">
        <f>'Data-total_employment'!H25-last_qrtr_totalemp!I25</f>
        <v>148.29999999999927</v>
      </c>
      <c r="I25" s="286">
        <f>'Data-total_employment'!I25-last_qrtr_totalemp!J25</f>
        <v>326</v>
      </c>
      <c r="J25" s="286">
        <f>'Data-total_employment'!J25-last_qrtr_totalemp!K25</f>
        <v>309.90000000000146</v>
      </c>
      <c r="K25" s="286">
        <f>'Data-total_employment'!K25-last_qrtr_totalemp!L25</f>
        <v>-237.79999999999927</v>
      </c>
      <c r="L25" s="286">
        <f>'Data-total_employment'!L25</f>
        <v>22807.9</v>
      </c>
      <c r="M25" s="285" t="s">
        <v>27</v>
      </c>
      <c r="N25" s="286">
        <f>'Data-total_employment'!N25-last_qrtr_totalemp!O25</f>
        <v>0.5</v>
      </c>
      <c r="O25" s="286">
        <f>'Data-total_employment'!O25-last_qrtr_totalemp!P25</f>
        <v>9.9999999999997868E-2</v>
      </c>
      <c r="P25" s="286">
        <f>'Data-total_employment'!P25-last_qrtr_totalemp!Q25</f>
        <v>-0.19999999999999929</v>
      </c>
      <c r="Q25" s="286">
        <f>'Data-total_employment'!Q25-last_qrtr_totalemp!R25</f>
        <v>0.10000000000000142</v>
      </c>
      <c r="R25" s="286">
        <f>'Data-total_employment'!R25-last_qrtr_totalemp!S25</f>
        <v>0.40000000000000213</v>
      </c>
      <c r="S25" s="286">
        <f>'Data-total_employment'!S25-last_qrtr_totalemp!T25</f>
        <v>0.30000000000000071</v>
      </c>
      <c r="T25" s="286">
        <f>'Data-total_employment'!T25-last_qrtr_totalemp!U25</f>
        <v>-0.40000000000000213</v>
      </c>
      <c r="U25" s="286">
        <f>'Data-total_employment'!U25-last_qrtr_totalemp!V25</f>
        <v>-0.40000000000000213</v>
      </c>
      <c r="V25" s="286">
        <f>'Data-total_employment'!V25-last_qrtr_totalemp!W25</f>
        <v>-0.10000000000000142</v>
      </c>
      <c r="W25" s="286">
        <f>'Data-total_employment'!W25</f>
        <v>18.5</v>
      </c>
      <c r="X25" s="285" t="s">
        <v>27</v>
      </c>
      <c r="Y25" s="286">
        <f>'Data-total_employment'!Y25-last_qrtr_totalemp!Z25</f>
        <v>-0.19999999999999929</v>
      </c>
      <c r="Z25" s="286">
        <f>'Data-total_employment'!Z25-last_qrtr_totalemp!AA25</f>
        <v>-0.29999999999999893</v>
      </c>
      <c r="AA25" s="286">
        <f>'Data-total_employment'!AA25-last_qrtr_totalemp!AB25</f>
        <v>9.9999999999999645E-2</v>
      </c>
      <c r="AB25" s="286">
        <f>'Data-total_employment'!AB25-last_qrtr_totalemp!AC25</f>
        <v>0.79999999999999893</v>
      </c>
      <c r="AC25" s="286">
        <f>'Data-total_employment'!AC25-last_qrtr_totalemp!AD25</f>
        <v>0.59999999999999964</v>
      </c>
      <c r="AD25" s="286">
        <f>'Data-total_employment'!AD25-last_qrtr_totalemp!AE25</f>
        <v>0.90000000000000036</v>
      </c>
      <c r="AE25" s="286">
        <f>'Data-total_employment'!AE25-last_qrtr_totalemp!AF25</f>
        <v>1.3000000000000007</v>
      </c>
      <c r="AF25" s="286">
        <f>'Data-total_employment'!AF25-last_qrtr_totalemp!AG25</f>
        <v>1.1999999999999993</v>
      </c>
      <c r="AG25" s="286">
        <f>'Data-total_employment'!AG25-last_qrtr_totalemp!AH25</f>
        <v>1.1999999999999993</v>
      </c>
      <c r="AH25" s="286">
        <f>'Data-total_employment'!AH25</f>
        <v>13.4</v>
      </c>
      <c r="AI25" s="279" t="s">
        <v>27</v>
      </c>
      <c r="AJ25" s="286">
        <f>'Data-total_employment'!AJ25-last_qrtr_totalemp!AK25</f>
        <v>0</v>
      </c>
      <c r="AK25" s="286">
        <f>'Data-total_employment'!AK25-last_qrtr_totalemp!AL25</f>
        <v>1</v>
      </c>
      <c r="AL25" s="286">
        <f>'Data-total_employment'!AL25-last_qrtr_totalemp!AM25</f>
        <v>1</v>
      </c>
      <c r="AM25" s="286">
        <f>'Data-total_employment'!AM25-last_qrtr_totalemp!AN25</f>
        <v>1.1000000000000014</v>
      </c>
      <c r="AN25" s="286">
        <f>'Data-total_employment'!AN25-last_qrtr_totalemp!AO25</f>
        <v>-0.5</v>
      </c>
      <c r="AO25" s="286">
        <f>'Data-total_employment'!AO25-last_qrtr_totalemp!AP25</f>
        <v>0.5</v>
      </c>
      <c r="AP25" s="286">
        <f>'Data-total_employment'!AP25-last_qrtr_totalemp!AQ25</f>
        <v>1</v>
      </c>
      <c r="AQ25" s="286">
        <f>'Data-total_employment'!AQ25-last_qrtr_totalemp!AR25</f>
        <v>1</v>
      </c>
      <c r="AR25" s="286">
        <f>'Data-total_employment'!AR25-last_qrtr_totalemp!AS25</f>
        <v>-0.5</v>
      </c>
      <c r="AS25" s="286">
        <f>'Data-total_employment'!AS25</f>
        <v>59.1</v>
      </c>
      <c r="AT25" s="279" t="s">
        <v>27</v>
      </c>
      <c r="AU25" s="286">
        <f>'Data-total_employment'!AU25-last_qrtr_totalemp!AV25</f>
        <v>-164</v>
      </c>
      <c r="AV25" s="286">
        <f>'Data-total_employment'!AV25-last_qrtr_totalemp!AW25</f>
        <v>-51</v>
      </c>
      <c r="AW25" s="286">
        <f>'Data-total_employment'!AW25-last_qrtr_totalemp!AX25</f>
        <v>170</v>
      </c>
      <c r="AX25" s="286">
        <f>'Data-total_employment'!AX25-last_qrtr_totalemp!AY25</f>
        <v>-1</v>
      </c>
      <c r="AY25" s="286">
        <f>'Data-total_employment'!AY25-last_qrtr_totalemp!AZ25</f>
        <v>-153</v>
      </c>
      <c r="AZ25" s="286">
        <f>'Data-total_employment'!AZ25-last_qrtr_totalemp!BA25</f>
        <v>34</v>
      </c>
      <c r="BA25" s="286">
        <f>'Data-total_employment'!BA25-last_qrtr_totalemp!BB25</f>
        <v>116</v>
      </c>
      <c r="BB25" s="286">
        <f>'Data-total_employment'!BB25-last_qrtr_totalemp!BC25</f>
        <v>9</v>
      </c>
      <c r="BC25" s="286">
        <f>'Data-total_employment'!BC25-last_qrtr_totalemp!BD25</f>
        <v>-133</v>
      </c>
      <c r="BD25" s="286">
        <f>'Data-total_employment'!BD25</f>
        <v>343</v>
      </c>
    </row>
    <row r="26" spans="1:56">
      <c r="A26" s="269">
        <v>23</v>
      </c>
      <c r="B26" s="285" t="s">
        <v>29</v>
      </c>
      <c r="C26" s="286">
        <f>'Data-total_employment'!C26-last_qrtr_totalemp!D26</f>
        <v>-10.5</v>
      </c>
      <c r="D26" s="286">
        <f>'Data-total_employment'!D26-last_qrtr_totalemp!E26</f>
        <v>-5.2000000000000455</v>
      </c>
      <c r="E26" s="286">
        <f>'Data-total_employment'!E26-last_qrtr_totalemp!F26</f>
        <v>-8.1000000000000227</v>
      </c>
      <c r="F26" s="286">
        <f>'Data-total_employment'!F26-last_qrtr_totalemp!G26</f>
        <v>-1.5999999999999091</v>
      </c>
      <c r="G26" s="286">
        <f>'Data-total_employment'!G26-last_qrtr_totalemp!H26</f>
        <v>-17.199999999999932</v>
      </c>
      <c r="H26" s="286">
        <f>'Data-total_employment'!H26-last_qrtr_totalemp!I26</f>
        <v>-2.7999999999999545</v>
      </c>
      <c r="I26" s="286">
        <f>'Data-total_employment'!I26-last_qrtr_totalemp!J26</f>
        <v>10.299999999999955</v>
      </c>
      <c r="J26" s="286">
        <f>'Data-total_employment'!J26-last_qrtr_totalemp!K26</f>
        <v>17.799999999999955</v>
      </c>
      <c r="K26" s="286">
        <f>'Data-total_employment'!K26-last_qrtr_totalemp!L26</f>
        <v>3.8999999999999773</v>
      </c>
      <c r="L26" s="286">
        <f>'Data-total_employment'!L26</f>
        <v>874.6</v>
      </c>
      <c r="M26" s="285" t="s">
        <v>29</v>
      </c>
      <c r="N26" s="286">
        <f>'Data-total_employment'!N26-last_qrtr_totalemp!O26</f>
        <v>1.6999999999999993</v>
      </c>
      <c r="O26" s="286">
        <f>'Data-total_employment'!O26-last_qrtr_totalemp!P26</f>
        <v>0.20000000000000018</v>
      </c>
      <c r="P26" s="286">
        <f>'Data-total_employment'!P26-last_qrtr_totalemp!Q26</f>
        <v>-0.30000000000000071</v>
      </c>
      <c r="Q26" s="286">
        <f>'Data-total_employment'!Q26-last_qrtr_totalemp!R26</f>
        <v>1.4000000000000004</v>
      </c>
      <c r="R26" s="286">
        <f>'Data-total_employment'!R26-last_qrtr_totalemp!S26</f>
        <v>0</v>
      </c>
      <c r="S26" s="286">
        <f>'Data-total_employment'!S26-last_qrtr_totalemp!T26</f>
        <v>-1</v>
      </c>
      <c r="T26" s="286">
        <f>'Data-total_employment'!T26-last_qrtr_totalemp!U26</f>
        <v>-1.6999999999999993</v>
      </c>
      <c r="U26" s="286">
        <f>'Data-total_employment'!U26-last_qrtr_totalemp!V26</f>
        <v>-0.20000000000000018</v>
      </c>
      <c r="V26" s="286">
        <f>'Data-total_employment'!V26-last_qrtr_totalemp!W26</f>
        <v>-0.29999999999999982</v>
      </c>
      <c r="W26" s="286">
        <f>'Data-total_employment'!W26</f>
        <v>6.8</v>
      </c>
      <c r="X26" s="285" t="s">
        <v>29</v>
      </c>
      <c r="Y26" s="286">
        <f>'Data-total_employment'!Y26-last_qrtr_totalemp!Z26</f>
        <v>0.59999999999999964</v>
      </c>
      <c r="Z26" s="286">
        <f>'Data-total_employment'!Z26-last_qrtr_totalemp!AA26</f>
        <v>0.10000000000000009</v>
      </c>
      <c r="AA26" s="286">
        <f>'Data-total_employment'!AA26-last_qrtr_totalemp!AB26</f>
        <v>-1.1000000000000001</v>
      </c>
      <c r="AB26" s="286">
        <f>'Data-total_employment'!AB26-last_qrtr_totalemp!AC26</f>
        <v>-0.80000000000000027</v>
      </c>
      <c r="AC26" s="286">
        <f>'Data-total_employment'!AC26-last_qrtr_totalemp!AD26</f>
        <v>-0.5</v>
      </c>
      <c r="AD26" s="286">
        <f>'Data-total_employment'!AD26-last_qrtr_totalemp!AE26</f>
        <v>-0.5</v>
      </c>
      <c r="AE26" s="286">
        <f>'Data-total_employment'!AE26-last_qrtr_totalemp!AF26</f>
        <v>-0.39999999999999991</v>
      </c>
      <c r="AF26" s="286">
        <f>'Data-total_employment'!AF26-last_qrtr_totalemp!AG26</f>
        <v>0</v>
      </c>
      <c r="AG26" s="286">
        <f>'Data-total_employment'!AG26-last_qrtr_totalemp!AH26</f>
        <v>0.10000000000000009</v>
      </c>
      <c r="AH26" s="286">
        <f>'Data-total_employment'!AH26</f>
        <v>2.7</v>
      </c>
      <c r="AI26" s="279" t="s">
        <v>29</v>
      </c>
      <c r="AJ26" s="286">
        <f>'Data-total_employment'!AJ26-last_qrtr_totalemp!AK26</f>
        <v>0</v>
      </c>
      <c r="AK26" s="286">
        <f>'Data-total_employment'!AK26-last_qrtr_totalemp!AL26</f>
        <v>0.40000000000000568</v>
      </c>
      <c r="AL26" s="286">
        <f>'Data-total_employment'!AL26-last_qrtr_totalemp!AM26</f>
        <v>0.20000000000000284</v>
      </c>
      <c r="AM26" s="286">
        <f>'Data-total_employment'!AM26-last_qrtr_totalemp!AN26</f>
        <v>0.59999999999999432</v>
      </c>
      <c r="AN26" s="286">
        <f>'Data-total_employment'!AN26-last_qrtr_totalemp!AO26</f>
        <v>-0.29999999999999716</v>
      </c>
      <c r="AO26" s="286">
        <f>'Data-total_employment'!AO26-last_qrtr_totalemp!AP26</f>
        <v>0.89999999999999147</v>
      </c>
      <c r="AP26" s="286">
        <f>'Data-total_employment'!AP26-last_qrtr_totalemp!AQ26</f>
        <v>2.1000000000000085</v>
      </c>
      <c r="AQ26" s="286">
        <f>'Data-total_employment'!AQ26-last_qrtr_totalemp!AR26</f>
        <v>2.2999999999999972</v>
      </c>
      <c r="AR26" s="286">
        <f>'Data-total_employment'!AR26-last_qrtr_totalemp!AS26</f>
        <v>1.1000000000000085</v>
      </c>
      <c r="AS26" s="286">
        <f>'Data-total_employment'!AS26</f>
        <v>71.7</v>
      </c>
      <c r="AT26" s="279" t="s">
        <v>29</v>
      </c>
      <c r="AU26" s="286">
        <f>'Data-total_employment'!AU26-last_qrtr_totalemp!AV26</f>
        <v>-9</v>
      </c>
      <c r="AV26" s="286">
        <f>'Data-total_employment'!AV26-last_qrtr_totalemp!AW26</f>
        <v>3</v>
      </c>
      <c r="AW26" s="286">
        <f>'Data-total_employment'!AW26-last_qrtr_totalemp!AX26</f>
        <v>6</v>
      </c>
      <c r="AX26" s="286">
        <f>'Data-total_employment'!AX26-last_qrtr_totalemp!AY26</f>
        <v>-1</v>
      </c>
      <c r="AY26" s="286">
        <f>'Data-total_employment'!AY26-last_qrtr_totalemp!AZ26</f>
        <v>-7</v>
      </c>
      <c r="AZ26" s="286">
        <f>'Data-total_employment'!AZ26-last_qrtr_totalemp!BA26</f>
        <v>2</v>
      </c>
      <c r="BA26" s="286">
        <f>'Data-total_employment'!BA26-last_qrtr_totalemp!BB26</f>
        <v>7</v>
      </c>
      <c r="BB26" s="286">
        <f>'Data-total_employment'!BB26-last_qrtr_totalemp!BC26</f>
        <v>2</v>
      </c>
      <c r="BC26" s="286">
        <f>'Data-total_employment'!BC26-last_qrtr_totalemp!BD26</f>
        <v>-4</v>
      </c>
      <c r="BD26" s="286">
        <f>'Data-total_employment'!BD26</f>
        <v>22</v>
      </c>
    </row>
    <row r="27" spans="1:56">
      <c r="A27" s="269">
        <v>24</v>
      </c>
      <c r="B27" s="285" t="s">
        <v>30</v>
      </c>
      <c r="C27" s="286">
        <f>'Data-total_employment'!C27-last_qrtr_totalemp!D27</f>
        <v>8.9000000000000909</v>
      </c>
      <c r="D27" s="286">
        <f>'Data-total_employment'!D27-last_qrtr_totalemp!E27</f>
        <v>9.7999999999999545</v>
      </c>
      <c r="E27" s="286">
        <f>'Data-total_employment'!E27-last_qrtr_totalemp!F27</f>
        <v>22</v>
      </c>
      <c r="F27" s="286">
        <f>'Data-total_employment'!F27-last_qrtr_totalemp!G27</f>
        <v>6</v>
      </c>
      <c r="G27" s="286">
        <f>'Data-total_employment'!G27-last_qrtr_totalemp!H27</f>
        <v>-28</v>
      </c>
      <c r="H27" s="286">
        <f>'Data-total_employment'!H27-last_qrtr_totalemp!I27</f>
        <v>-15.200000000000045</v>
      </c>
      <c r="I27" s="286">
        <f>'Data-total_employment'!I27-last_qrtr_totalemp!J27</f>
        <v>-2.2999999999999545</v>
      </c>
      <c r="J27" s="286">
        <f>'Data-total_employment'!J27-last_qrtr_totalemp!K27</f>
        <v>10.5</v>
      </c>
      <c r="K27" s="286">
        <f>'Data-total_employment'!K27-last_qrtr_totalemp!L27</f>
        <v>-15.599999999999909</v>
      </c>
      <c r="L27" s="286">
        <f>'Data-total_employment'!L27</f>
        <v>1318.6</v>
      </c>
      <c r="M27" s="285" t="s">
        <v>30</v>
      </c>
      <c r="N27" s="286">
        <f>'Data-total_employment'!N27-last_qrtr_totalemp!O27</f>
        <v>0.29999999999999982</v>
      </c>
      <c r="O27" s="286">
        <f>'Data-total_employment'!O27-last_qrtr_totalemp!P27</f>
        <v>-0.20000000000000018</v>
      </c>
      <c r="P27" s="286">
        <f>'Data-total_employment'!P27-last_qrtr_totalemp!Q27</f>
        <v>-1</v>
      </c>
      <c r="Q27" s="286">
        <f>'Data-total_employment'!Q27-last_qrtr_totalemp!R27</f>
        <v>-0.70000000000000018</v>
      </c>
      <c r="R27" s="286">
        <f>'Data-total_employment'!R27-last_qrtr_totalemp!S27</f>
        <v>1</v>
      </c>
      <c r="S27" s="286">
        <f>'Data-total_employment'!S27-last_qrtr_totalemp!T27</f>
        <v>1.6999999999999993</v>
      </c>
      <c r="T27" s="286">
        <f>'Data-total_employment'!T27-last_qrtr_totalemp!U27</f>
        <v>-0.29999999999999982</v>
      </c>
      <c r="U27" s="286">
        <f>'Data-total_employment'!U27-last_qrtr_totalemp!V27</f>
        <v>-1.5</v>
      </c>
      <c r="V27" s="286">
        <f>'Data-total_employment'!V27-last_qrtr_totalemp!W27</f>
        <v>-0.69999999999999929</v>
      </c>
      <c r="W27" s="286">
        <f>'Data-total_employment'!W27</f>
        <v>7.2</v>
      </c>
      <c r="X27" s="285" t="s">
        <v>30</v>
      </c>
      <c r="Y27" s="286">
        <f>'Data-total_employment'!Y27-last_qrtr_totalemp!Z27</f>
        <v>0.19999999999999996</v>
      </c>
      <c r="Z27" s="286">
        <f>'Data-total_employment'!Z27-last_qrtr_totalemp!AA27</f>
        <v>0.30000000000000004</v>
      </c>
      <c r="AA27" s="286">
        <f>'Data-total_employment'!AA27-last_qrtr_totalemp!AB27</f>
        <v>-0.5</v>
      </c>
      <c r="AB27" s="286">
        <f>'Data-total_employment'!AB27-last_qrtr_totalemp!AC27</f>
        <v>-0.40000000000000013</v>
      </c>
      <c r="AC27" s="286">
        <f>'Data-total_employment'!AC27-last_qrtr_totalemp!AD27</f>
        <v>-0.19999999999999996</v>
      </c>
      <c r="AD27" s="286">
        <f>'Data-total_employment'!AD27-last_qrtr_totalemp!AE27</f>
        <v>-0.10000000000000009</v>
      </c>
      <c r="AE27" s="286">
        <f>'Data-total_employment'!AE27-last_qrtr_totalemp!AF27</f>
        <v>-0.19999999999999996</v>
      </c>
      <c r="AF27" s="286">
        <f>'Data-total_employment'!AF27-last_qrtr_totalemp!AG27</f>
        <v>-0.19999999999999996</v>
      </c>
      <c r="AG27" s="286">
        <f>'Data-total_employment'!AG27-last_qrtr_totalemp!AH27</f>
        <v>0.10000000000000009</v>
      </c>
      <c r="AH27" s="286">
        <f>'Data-total_employment'!AH27</f>
        <v>1.4</v>
      </c>
      <c r="AI27" s="279" t="s">
        <v>30</v>
      </c>
      <c r="AJ27" s="286">
        <f>'Data-total_employment'!AJ27-last_qrtr_totalemp!AK27</f>
        <v>1.2999999999999972</v>
      </c>
      <c r="AK27" s="286">
        <f>'Data-total_employment'!AK27-last_qrtr_totalemp!AL27</f>
        <v>1.5</v>
      </c>
      <c r="AL27" s="286">
        <f>'Data-total_employment'!AL27-last_qrtr_totalemp!AM27</f>
        <v>2</v>
      </c>
      <c r="AM27" s="286">
        <f>'Data-total_employment'!AM27-last_qrtr_totalemp!AN27</f>
        <v>1.4000000000000057</v>
      </c>
      <c r="AN27" s="286">
        <f>'Data-total_employment'!AN27-last_qrtr_totalemp!AO27</f>
        <v>-0.5</v>
      </c>
      <c r="AO27" s="286">
        <f>'Data-total_employment'!AO27-last_qrtr_totalemp!AP27</f>
        <v>0.59999999999999432</v>
      </c>
      <c r="AP27" s="286">
        <f>'Data-total_employment'!AP27-last_qrtr_totalemp!AQ27</f>
        <v>1.2000000000000028</v>
      </c>
      <c r="AQ27" s="286">
        <f>'Data-total_employment'!AQ27-last_qrtr_totalemp!AR27</f>
        <v>2</v>
      </c>
      <c r="AR27" s="286">
        <f>'Data-total_employment'!AR27-last_qrtr_totalemp!AS27</f>
        <v>0</v>
      </c>
      <c r="AS27" s="286">
        <f>'Data-total_employment'!AS27</f>
        <v>72.099999999999994</v>
      </c>
      <c r="AT27" s="279" t="s">
        <v>30</v>
      </c>
      <c r="AU27" s="286">
        <f>'Data-total_employment'!AU27-last_qrtr_totalemp!AV27</f>
        <v>-7</v>
      </c>
      <c r="AV27" s="286">
        <f>'Data-total_employment'!AV27-last_qrtr_totalemp!AW27</f>
        <v>-8</v>
      </c>
      <c r="AW27" s="286">
        <f>'Data-total_employment'!AW27-last_qrtr_totalemp!AX27</f>
        <v>1</v>
      </c>
      <c r="AX27" s="286">
        <f>'Data-total_employment'!AX27-last_qrtr_totalemp!AY27</f>
        <v>-3</v>
      </c>
      <c r="AY27" s="286">
        <f>'Data-total_employment'!AY27-last_qrtr_totalemp!AZ27</f>
        <v>1</v>
      </c>
      <c r="AZ27" s="286">
        <f>'Data-total_employment'!AZ27-last_qrtr_totalemp!BA27</f>
        <v>-1</v>
      </c>
      <c r="BA27" s="286">
        <f>'Data-total_employment'!BA27-last_qrtr_totalemp!BB27</f>
        <v>8</v>
      </c>
      <c r="BB27" s="286">
        <f>'Data-total_employment'!BB27-last_qrtr_totalemp!BC27</f>
        <v>-4</v>
      </c>
      <c r="BC27" s="286">
        <f>'Data-total_employment'!BC27-last_qrtr_totalemp!BD27</f>
        <v>-16</v>
      </c>
      <c r="BD27" s="286">
        <f>'Data-total_employment'!BD27</f>
        <v>17</v>
      </c>
    </row>
    <row r="28" spans="1:56">
      <c r="A28" s="269">
        <v>25</v>
      </c>
      <c r="B28" s="285" t="s">
        <v>31</v>
      </c>
      <c r="C28" s="286">
        <f>'Data-total_employment'!C28-last_qrtr_totalemp!D28</f>
        <v>-9.9999999999965894E-2</v>
      </c>
      <c r="D28" s="286">
        <f>'Data-total_employment'!D28-last_qrtr_totalemp!E28</f>
        <v>5.4000000000000057</v>
      </c>
      <c r="E28" s="286">
        <f>'Data-total_employment'!E28-last_qrtr_totalemp!F28</f>
        <v>4.1999999999999886</v>
      </c>
      <c r="F28" s="286">
        <f>'Data-total_employment'!F28-last_qrtr_totalemp!G28</f>
        <v>4.0999999999999659</v>
      </c>
      <c r="G28" s="286">
        <f>'Data-total_employment'!G28-last_qrtr_totalemp!H28</f>
        <v>10.899999999999977</v>
      </c>
      <c r="H28" s="286">
        <f>'Data-total_employment'!H28-last_qrtr_totalemp!I28</f>
        <v>10.199999999999989</v>
      </c>
      <c r="I28" s="286">
        <f>'Data-total_employment'!I28-last_qrtr_totalemp!J28</f>
        <v>9.8000000000000114</v>
      </c>
      <c r="J28" s="286">
        <f>'Data-total_employment'!J28-last_qrtr_totalemp!K28</f>
        <v>1</v>
      </c>
      <c r="K28" s="286">
        <f>'Data-total_employment'!K28-last_qrtr_totalemp!L28</f>
        <v>10.5</v>
      </c>
      <c r="L28" s="286">
        <f>'Data-total_employment'!L28</f>
        <v>274.60000000000002</v>
      </c>
      <c r="M28" s="285" t="s">
        <v>31</v>
      </c>
      <c r="N28" s="286">
        <f>'Data-total_employment'!N28-last_qrtr_totalemp!O28</f>
        <v>-1.8999999999999986</v>
      </c>
      <c r="O28" s="286">
        <f>'Data-total_employment'!O28-last_qrtr_totalemp!P28</f>
        <v>1.1999999999999993</v>
      </c>
      <c r="P28" s="286">
        <f>'Data-total_employment'!P28-last_qrtr_totalemp!Q28</f>
        <v>2.5999999999999979</v>
      </c>
      <c r="Q28" s="286">
        <f>'Data-total_employment'!Q28-last_qrtr_totalemp!R28</f>
        <v>1.7999999999999972</v>
      </c>
      <c r="R28" s="286">
        <f>'Data-total_employment'!R28-last_qrtr_totalemp!S28</f>
        <v>0.89999999999999858</v>
      </c>
      <c r="S28" s="286">
        <f>'Data-total_employment'!S28-last_qrtr_totalemp!T28</f>
        <v>-0.79999999999999716</v>
      </c>
      <c r="T28" s="286">
        <f>'Data-total_employment'!T28-last_qrtr_totalemp!U28</f>
        <v>0</v>
      </c>
      <c r="U28" s="286">
        <f>'Data-total_employment'!U28-last_qrtr_totalemp!V28</f>
        <v>-1.1999999999999993</v>
      </c>
      <c r="V28" s="286">
        <f>'Data-total_employment'!V28-last_qrtr_totalemp!W28</f>
        <v>-1.3000000000000007</v>
      </c>
      <c r="W28" s="286">
        <f>'Data-total_employment'!W28</f>
        <v>17.8</v>
      </c>
      <c r="X28" s="285" t="s">
        <v>31</v>
      </c>
      <c r="Y28" s="286">
        <f>'Data-total_employment'!Y28-last_qrtr_totalemp!Z28</f>
        <v>-1.2000000000000002</v>
      </c>
      <c r="Z28" s="286">
        <f>'Data-total_employment'!Z28-last_qrtr_totalemp!AA28</f>
        <v>-3.2000000000000011</v>
      </c>
      <c r="AA28" s="286">
        <f>'Data-total_employment'!AA28-last_qrtr_totalemp!AB28</f>
        <v>-0.90000000000000036</v>
      </c>
      <c r="AB28" s="286">
        <f>'Data-total_employment'!AB28-last_qrtr_totalemp!AC28</f>
        <v>0.70000000000000018</v>
      </c>
      <c r="AC28" s="286">
        <f>'Data-total_employment'!AC28-last_qrtr_totalemp!AD28</f>
        <v>0.89999999999999947</v>
      </c>
      <c r="AD28" s="286">
        <f>'Data-total_employment'!AD28-last_qrtr_totalemp!AE28</f>
        <v>-9.9999999999999645E-2</v>
      </c>
      <c r="AE28" s="286">
        <f>'Data-total_employment'!AE28-last_qrtr_totalemp!AF28</f>
        <v>-0.50000000000000089</v>
      </c>
      <c r="AF28" s="286">
        <f>'Data-total_employment'!AF28-last_qrtr_totalemp!AG28</f>
        <v>9.9999999999999645E-2</v>
      </c>
      <c r="AG28" s="286">
        <f>'Data-total_employment'!AG28-last_qrtr_totalemp!AH28</f>
        <v>0.5</v>
      </c>
      <c r="AH28" s="286">
        <f>'Data-total_employment'!AH28</f>
        <v>8.4</v>
      </c>
      <c r="AI28" s="279" t="s">
        <v>31</v>
      </c>
      <c r="AJ28" s="286">
        <f>'Data-total_employment'!AJ28-last_qrtr_totalemp!AK28</f>
        <v>-1.6999999999999886</v>
      </c>
      <c r="AK28" s="286">
        <f>'Data-total_employment'!AK28-last_qrtr_totalemp!AL28</f>
        <v>-0.29999999999999716</v>
      </c>
      <c r="AL28" s="286">
        <f>'Data-total_employment'!AL28-last_qrtr_totalemp!AM28</f>
        <v>-0.59999999999999432</v>
      </c>
      <c r="AM28" s="286">
        <f>'Data-total_employment'!AM28-last_qrtr_totalemp!AN28</f>
        <v>1.0999999999999943</v>
      </c>
      <c r="AN28" s="286">
        <f>'Data-total_employment'!AN28-last_qrtr_totalemp!AO28</f>
        <v>0.70000000000000284</v>
      </c>
      <c r="AO28" s="286">
        <f>'Data-total_employment'!AO28-last_qrtr_totalemp!AP28</f>
        <v>0.70000000000000284</v>
      </c>
      <c r="AP28" s="286">
        <f>'Data-total_employment'!AP28-last_qrtr_totalemp!AQ28</f>
        <v>0.5</v>
      </c>
      <c r="AQ28" s="286">
        <f>'Data-total_employment'!AQ28-last_qrtr_totalemp!AR28</f>
        <v>0.39999999999999147</v>
      </c>
      <c r="AR28" s="286">
        <f>'Data-total_employment'!AR28-last_qrtr_totalemp!AS28</f>
        <v>1.2999999999999972</v>
      </c>
      <c r="AS28" s="286">
        <f>'Data-total_employment'!AS28</f>
        <v>66.2</v>
      </c>
      <c r="AT28" s="279" t="s">
        <v>31</v>
      </c>
      <c r="AU28" s="286">
        <f>'Data-total_employment'!AU28-last_qrtr_totalemp!AV28</f>
        <v>1</v>
      </c>
      <c r="AV28" s="286">
        <f>'Data-total_employment'!AV28-last_qrtr_totalemp!AW28</f>
        <v>0</v>
      </c>
      <c r="AW28" s="286">
        <f>'Data-total_employment'!AW28-last_qrtr_totalemp!AX28</f>
        <v>-1</v>
      </c>
      <c r="AX28" s="286">
        <f>'Data-total_employment'!AX28-last_qrtr_totalemp!AY28</f>
        <v>-3</v>
      </c>
      <c r="AY28" s="286">
        <f>'Data-total_employment'!AY28-last_qrtr_totalemp!AZ28</f>
        <v>3</v>
      </c>
      <c r="AZ28" s="286">
        <f>'Data-total_employment'!AZ28-last_qrtr_totalemp!BA28</f>
        <v>4</v>
      </c>
      <c r="BA28" s="286">
        <f>'Data-total_employment'!BA28-last_qrtr_totalemp!BB28</f>
        <v>0</v>
      </c>
      <c r="BB28" s="286">
        <f>'Data-total_employment'!BB28-last_qrtr_totalemp!BC28</f>
        <v>0</v>
      </c>
      <c r="BC28" s="286">
        <f>'Data-total_employment'!BC28-last_qrtr_totalemp!BD28</f>
        <v>1</v>
      </c>
      <c r="BD28" s="286">
        <f>'Data-total_employment'!BD28</f>
        <v>7</v>
      </c>
    </row>
    <row r="29" spans="1:56">
      <c r="A29" s="269">
        <v>26</v>
      </c>
      <c r="B29" s="285" t="s">
        <v>56</v>
      </c>
      <c r="C29" s="286">
        <f>'Data-total_employment'!C29-last_qrtr_totalemp!D29</f>
        <v>10.100000000000023</v>
      </c>
      <c r="D29" s="286">
        <f>'Data-total_employment'!D29-last_qrtr_totalemp!E29</f>
        <v>8.1000000000000227</v>
      </c>
      <c r="E29" s="286">
        <f>'Data-total_employment'!E29-last_qrtr_totalemp!F29</f>
        <v>14.200000000000045</v>
      </c>
      <c r="F29" s="286">
        <f>'Data-total_employment'!F29-last_qrtr_totalemp!G29</f>
        <v>18.200000000000045</v>
      </c>
      <c r="G29" s="286">
        <f>'Data-total_employment'!G29-last_qrtr_totalemp!H29</f>
        <v>19.100000000000023</v>
      </c>
      <c r="H29" s="286">
        <f>'Data-total_employment'!H29-last_qrtr_totalemp!I29</f>
        <v>14.899999999999977</v>
      </c>
      <c r="I29" s="286">
        <f>'Data-total_employment'!I29-last_qrtr_totalemp!J29</f>
        <v>12.5</v>
      </c>
      <c r="J29" s="286">
        <f>'Data-total_employment'!J29-last_qrtr_totalemp!K29</f>
        <v>7.3999999999999773</v>
      </c>
      <c r="K29" s="286">
        <f>'Data-total_employment'!K29-last_qrtr_totalemp!L29</f>
        <v>3.6999999999999318</v>
      </c>
      <c r="L29" s="286">
        <f>'Data-total_employment'!L29</f>
        <v>743</v>
      </c>
      <c r="M29" s="285" t="s">
        <v>56</v>
      </c>
      <c r="N29" s="286">
        <f>'Data-total_employment'!N29-last_qrtr_totalemp!O29</f>
        <v>-1.4</v>
      </c>
      <c r="O29" s="286">
        <f>'Data-total_employment'!O29-last_qrtr_totalemp!P29</f>
        <v>0.29999999999999982</v>
      </c>
      <c r="P29" s="286">
        <f>'Data-total_employment'!P29-last_qrtr_totalemp!Q29</f>
        <v>1.8999999999999995</v>
      </c>
      <c r="Q29" s="286">
        <f>'Data-total_employment'!Q29-last_qrtr_totalemp!R29</f>
        <v>2.6</v>
      </c>
      <c r="R29" s="286">
        <f>'Data-total_employment'!R29-last_qrtr_totalemp!S29</f>
        <v>0.79999999999999982</v>
      </c>
      <c r="S29" s="286">
        <f>'Data-total_employment'!S29-last_qrtr_totalemp!T29</f>
        <v>-1.5999999999999996</v>
      </c>
      <c r="T29" s="286">
        <f>'Data-total_employment'!T29-last_qrtr_totalemp!U29</f>
        <v>-2.4000000000000004</v>
      </c>
      <c r="U29" s="286">
        <f>'Data-total_employment'!U29-last_qrtr_totalemp!V29</f>
        <v>-1</v>
      </c>
      <c r="V29" s="286">
        <f>'Data-total_employment'!V29-last_qrtr_totalemp!W29</f>
        <v>-0.5</v>
      </c>
      <c r="W29" s="286">
        <f>'Data-total_employment'!W29</f>
        <v>3.6</v>
      </c>
      <c r="X29" s="285" t="s">
        <v>56</v>
      </c>
      <c r="Y29" s="286">
        <f>'Data-total_employment'!Y29-last_qrtr_totalemp!Z29</f>
        <v>-1.2000000000000011</v>
      </c>
      <c r="Z29" s="286">
        <f>'Data-total_employment'!Z29-last_qrtr_totalemp!AA29</f>
        <v>2.0999999999999996</v>
      </c>
      <c r="AA29" s="286">
        <f>'Data-total_employment'!AA29-last_qrtr_totalemp!AB29</f>
        <v>1.4000000000000004</v>
      </c>
      <c r="AB29" s="286">
        <f>'Data-total_employment'!AB29-last_qrtr_totalemp!AC29</f>
        <v>2.3999999999999986</v>
      </c>
      <c r="AC29" s="286">
        <f>'Data-total_employment'!AC29-last_qrtr_totalemp!AD29</f>
        <v>0.40000000000000036</v>
      </c>
      <c r="AD29" s="286">
        <f>'Data-total_employment'!AD29-last_qrtr_totalemp!AE29</f>
        <v>-9.9999999999999645E-2</v>
      </c>
      <c r="AE29" s="286">
        <f>'Data-total_employment'!AE29-last_qrtr_totalemp!AF29</f>
        <v>-0.70000000000000107</v>
      </c>
      <c r="AF29" s="286">
        <f>'Data-total_employment'!AF29-last_qrtr_totalemp!AG29</f>
        <v>0.20000000000000107</v>
      </c>
      <c r="AG29" s="286">
        <f>'Data-total_employment'!AG29-last_qrtr_totalemp!AH29</f>
        <v>0.40000000000000036</v>
      </c>
      <c r="AH29" s="286">
        <f>'Data-total_employment'!AH29</f>
        <v>11.8</v>
      </c>
      <c r="AI29" s="279" t="s">
        <v>56</v>
      </c>
      <c r="AJ29" s="286">
        <f>'Data-total_employment'!AJ29-last_qrtr_totalemp!AK29</f>
        <v>0.69999999999999574</v>
      </c>
      <c r="AK29" s="286">
        <f>'Data-total_employment'!AK29-last_qrtr_totalemp!AL29</f>
        <v>0.60000000000000142</v>
      </c>
      <c r="AL29" s="286">
        <f>'Data-total_employment'!AL29-last_qrtr_totalemp!AM29</f>
        <v>1.1000000000000014</v>
      </c>
      <c r="AM29" s="286">
        <f>'Data-total_employment'!AM29-last_qrtr_totalemp!AN29</f>
        <v>1.3000000000000043</v>
      </c>
      <c r="AN29" s="286">
        <f>'Data-total_employment'!AN29-last_qrtr_totalemp!AO29</f>
        <v>1.3999999999999986</v>
      </c>
      <c r="AO29" s="286">
        <f>'Data-total_employment'!AO29-last_qrtr_totalemp!AP29</f>
        <v>1.1000000000000014</v>
      </c>
      <c r="AP29" s="286">
        <f>'Data-total_employment'!AP29-last_qrtr_totalemp!AQ29</f>
        <v>1</v>
      </c>
      <c r="AQ29" s="286">
        <f>'Data-total_employment'!AQ29-last_qrtr_totalemp!AR29</f>
        <v>0.69999999999999574</v>
      </c>
      <c r="AR29" s="286">
        <f>'Data-total_employment'!AR29-last_qrtr_totalemp!AS29</f>
        <v>0.39999999999999858</v>
      </c>
      <c r="AS29" s="286">
        <f>'Data-total_employment'!AS29</f>
        <v>51.3</v>
      </c>
      <c r="AT29" s="279" t="s">
        <v>56</v>
      </c>
      <c r="AU29" s="286">
        <f>'Data-total_employment'!AU29-last_qrtr_totalemp!AV29</f>
        <v>4</v>
      </c>
      <c r="AV29" s="286">
        <f>'Data-total_employment'!AV29-last_qrtr_totalemp!AW29</f>
        <v>-38</v>
      </c>
      <c r="AW29" s="286">
        <f>'Data-total_employment'!AW29-last_qrtr_totalemp!AX29</f>
        <v>-6</v>
      </c>
      <c r="AX29" s="286">
        <f>'Data-total_employment'!AX29-last_qrtr_totalemp!AY29</f>
        <v>-9</v>
      </c>
      <c r="AY29" s="286">
        <f>'Data-total_employment'!AY29-last_qrtr_totalemp!AZ29</f>
        <v>6</v>
      </c>
      <c r="AZ29" s="286">
        <f>'Data-total_employment'!AZ29-last_qrtr_totalemp!BA29</f>
        <v>-6</v>
      </c>
      <c r="BA29" s="286">
        <f>'Data-total_employment'!BA29-last_qrtr_totalemp!BB29</f>
        <v>-23</v>
      </c>
      <c r="BB29" s="286">
        <f>'Data-total_employment'!BB29-last_qrtr_totalemp!BC29</f>
        <v>-1</v>
      </c>
      <c r="BC29" s="286">
        <f>'Data-total_employment'!BC29-last_qrtr_totalemp!BD29</f>
        <v>-9</v>
      </c>
      <c r="BD29" s="286">
        <f>'Data-total_employment'!BD29</f>
        <v>25</v>
      </c>
    </row>
    <row r="30" spans="1:56">
      <c r="A30" s="269">
        <v>27</v>
      </c>
      <c r="B30" s="285" t="s">
        <v>33</v>
      </c>
      <c r="C30" s="286">
        <f>'Data-total_employment'!C30-last_qrtr_totalemp!D30</f>
        <v>16.400000000000006</v>
      </c>
      <c r="D30" s="286">
        <f>'Data-total_employment'!D30-last_qrtr_totalemp!E30</f>
        <v>17.5</v>
      </c>
      <c r="E30" s="286">
        <f>'Data-total_employment'!E30-last_qrtr_totalemp!F30</f>
        <v>26.399999999999977</v>
      </c>
      <c r="F30" s="286">
        <f>'Data-total_employment'!F30-last_qrtr_totalemp!G30</f>
        <v>24</v>
      </c>
      <c r="G30" s="286">
        <f>'Data-total_employment'!G30-last_qrtr_totalemp!H30</f>
        <v>19.5</v>
      </c>
      <c r="H30" s="286">
        <f>'Data-total_employment'!H30-last_qrtr_totalemp!I30</f>
        <v>23.199999999999989</v>
      </c>
      <c r="I30" s="286">
        <f>'Data-total_employment'!I30-last_qrtr_totalemp!J30</f>
        <v>29.400000000000006</v>
      </c>
      <c r="J30" s="286">
        <f>'Data-total_employment'!J30-last_qrtr_totalemp!K30</f>
        <v>33.599999999999994</v>
      </c>
      <c r="K30" s="286">
        <f>'Data-total_employment'!K30-last_qrtr_totalemp!L30</f>
        <v>29.299999999999983</v>
      </c>
      <c r="L30" s="286">
        <f>'Data-total_employment'!L30</f>
        <v>226.9</v>
      </c>
      <c r="M30" s="285" t="s">
        <v>33</v>
      </c>
      <c r="N30" s="286">
        <f>'Data-total_employment'!N30-last_qrtr_totalemp!O30</f>
        <v>-1.5</v>
      </c>
      <c r="O30" s="286">
        <f>'Data-total_employment'!O30-last_qrtr_totalemp!P30</f>
        <v>-2</v>
      </c>
      <c r="P30" s="286">
        <f>'Data-total_employment'!P30-last_qrtr_totalemp!Q30</f>
        <v>0.59999999999999964</v>
      </c>
      <c r="Q30" s="286">
        <f>'Data-total_employment'!Q30-last_qrtr_totalemp!R30</f>
        <v>1.4000000000000004</v>
      </c>
      <c r="R30" s="286">
        <f>'Data-total_employment'!R30-last_qrtr_totalemp!S30</f>
        <v>-0.80000000000000071</v>
      </c>
      <c r="S30" s="286">
        <f>'Data-total_employment'!S30-last_qrtr_totalemp!T30</f>
        <v>-0.89999999999999858</v>
      </c>
      <c r="T30" s="286">
        <f>'Data-total_employment'!T30-last_qrtr_totalemp!U30</f>
        <v>-0.20000000000000107</v>
      </c>
      <c r="U30" s="286">
        <f>'Data-total_employment'!U30-last_qrtr_totalemp!V30</f>
        <v>0.89999999999999858</v>
      </c>
      <c r="V30" s="286">
        <f>'Data-total_employment'!V30-last_qrtr_totalemp!W30</f>
        <v>-0.5</v>
      </c>
      <c r="W30" s="286">
        <f>'Data-total_employment'!W30</f>
        <v>13</v>
      </c>
      <c r="X30" s="285" t="s">
        <v>33</v>
      </c>
      <c r="Y30" s="286">
        <f>'Data-total_employment'!Y30-last_qrtr_totalemp!Z30</f>
        <v>0.10000000000000053</v>
      </c>
      <c r="Z30" s="286">
        <f>'Data-total_employment'!Z30-last_qrtr_totalemp!AA30</f>
        <v>-0.39999999999999947</v>
      </c>
      <c r="AA30" s="286">
        <f>'Data-total_employment'!AA30-last_qrtr_totalemp!AB30</f>
        <v>0</v>
      </c>
      <c r="AB30" s="286">
        <f>'Data-total_employment'!AB30-last_qrtr_totalemp!AC30</f>
        <v>0.5</v>
      </c>
      <c r="AC30" s="286">
        <f>'Data-total_employment'!AC30-last_qrtr_totalemp!AD30</f>
        <v>-0.90000000000000036</v>
      </c>
      <c r="AD30" s="286">
        <f>'Data-total_employment'!AD30-last_qrtr_totalemp!AE30</f>
        <v>-1.2999999999999998</v>
      </c>
      <c r="AE30" s="286">
        <f>'Data-total_employment'!AE30-last_qrtr_totalemp!AF30</f>
        <v>-2</v>
      </c>
      <c r="AF30" s="286">
        <f>'Data-total_employment'!AF30-last_qrtr_totalemp!AG30</f>
        <v>-0.20000000000000018</v>
      </c>
      <c r="AG30" s="286">
        <f>'Data-total_employment'!AG30-last_qrtr_totalemp!AH30</f>
        <v>1.5</v>
      </c>
      <c r="AH30" s="286">
        <f>'Data-total_employment'!AH30</f>
        <v>6.9</v>
      </c>
      <c r="AI30" s="279" t="s">
        <v>33</v>
      </c>
      <c r="AJ30" s="286">
        <f>'Data-total_employment'!AJ30-last_qrtr_totalemp!AK30</f>
        <v>1.8000000000000043</v>
      </c>
      <c r="AK30" s="286">
        <f>'Data-total_employment'!AK30-last_qrtr_totalemp!AL30</f>
        <v>1.7999999999999972</v>
      </c>
      <c r="AL30" s="286">
        <f>'Data-total_employment'!AL30-last_qrtr_totalemp!AM30</f>
        <v>4.5000000000000071</v>
      </c>
      <c r="AM30" s="286">
        <f>'Data-total_employment'!AM30-last_qrtr_totalemp!AN30</f>
        <v>3.5</v>
      </c>
      <c r="AN30" s="286">
        <f>'Data-total_employment'!AN30-last_qrtr_totalemp!AO30</f>
        <v>1.5999999999999943</v>
      </c>
      <c r="AO30" s="286">
        <f>'Data-total_employment'!AO30-last_qrtr_totalemp!AP30</f>
        <v>2.3000000000000114</v>
      </c>
      <c r="AP30" s="286">
        <f>'Data-total_employment'!AP30-last_qrtr_totalemp!AQ30</f>
        <v>3.7000000000000028</v>
      </c>
      <c r="AQ30" s="286">
        <f>'Data-total_employment'!AQ30-last_qrtr_totalemp!AR30</f>
        <v>4.5999999999999943</v>
      </c>
      <c r="AR30" s="286">
        <f>'Data-total_employment'!AR30-last_qrtr_totalemp!AS30</f>
        <v>2.7000000000000028</v>
      </c>
      <c r="AS30" s="286">
        <f>'Data-total_employment'!AS30</f>
        <v>70.599999999999994</v>
      </c>
      <c r="AT30" s="279" t="s">
        <v>33</v>
      </c>
      <c r="AU30" s="286">
        <f>'Data-total_employment'!AU30-last_qrtr_totalemp!AV30</f>
        <v>0</v>
      </c>
      <c r="AV30" s="286">
        <f>'Data-total_employment'!AV30-last_qrtr_totalemp!AW30</f>
        <v>2</v>
      </c>
      <c r="AW30" s="286">
        <f>'Data-total_employment'!AW30-last_qrtr_totalemp!AX30</f>
        <v>3</v>
      </c>
      <c r="AX30" s="286">
        <f>'Data-total_employment'!AX30-last_qrtr_totalemp!AY30</f>
        <v>0</v>
      </c>
      <c r="AY30" s="286">
        <f>'Data-total_employment'!AY30-last_qrtr_totalemp!AZ30</f>
        <v>2</v>
      </c>
      <c r="AZ30" s="286">
        <f>'Data-total_employment'!AZ30-last_qrtr_totalemp!BA30</f>
        <v>0</v>
      </c>
      <c r="BA30" s="286">
        <f>'Data-total_employment'!BA30-last_qrtr_totalemp!BB30</f>
        <v>0</v>
      </c>
      <c r="BB30" s="286">
        <f>'Data-total_employment'!BB30-last_qrtr_totalemp!BC30</f>
        <v>0</v>
      </c>
      <c r="BC30" s="286">
        <f>'Data-total_employment'!BC30-last_qrtr_totalemp!BD30</f>
        <v>2</v>
      </c>
      <c r="BD30" s="286">
        <f>'Data-total_employment'!BD30</f>
        <v>3</v>
      </c>
    </row>
    <row r="31" spans="1:56">
      <c r="A31" s="269">
        <v>28</v>
      </c>
      <c r="B31" s="285" t="s">
        <v>34</v>
      </c>
      <c r="C31" s="286">
        <f>'Data-total_employment'!C31-last_qrtr_totalemp!D31</f>
        <v>-7.2999999999992724</v>
      </c>
      <c r="D31" s="286">
        <f>'Data-total_employment'!D31-last_qrtr_totalemp!E31</f>
        <v>59.600000000000364</v>
      </c>
      <c r="E31" s="286">
        <f>'Data-total_employment'!E31-last_qrtr_totalemp!F31</f>
        <v>145.29999999999927</v>
      </c>
      <c r="F31" s="286">
        <f>'Data-total_employment'!F31-last_qrtr_totalemp!G31</f>
        <v>175.79999999999927</v>
      </c>
      <c r="G31" s="286">
        <f>'Data-total_employment'!G31-last_qrtr_totalemp!H31</f>
        <v>69.899999999999636</v>
      </c>
      <c r="H31" s="286">
        <f>'Data-total_employment'!H31-last_qrtr_totalemp!I31</f>
        <v>81.100000000000364</v>
      </c>
      <c r="I31" s="286">
        <f>'Data-total_employment'!I31-last_qrtr_totalemp!J31</f>
        <v>135.30000000000109</v>
      </c>
      <c r="J31" s="286">
        <f>'Data-total_employment'!J31-last_qrtr_totalemp!K31</f>
        <v>156.29999999999927</v>
      </c>
      <c r="K31" s="286">
        <f>'Data-total_employment'!K31-last_qrtr_totalemp!L31</f>
        <v>73.299999999999272</v>
      </c>
      <c r="L31" s="286">
        <f>'Data-total_employment'!L31</f>
        <v>8518.4</v>
      </c>
      <c r="M31" s="285" t="s">
        <v>34</v>
      </c>
      <c r="N31" s="286">
        <f>'Data-total_employment'!N31-last_qrtr_totalemp!O31</f>
        <v>-0.20000000000000284</v>
      </c>
      <c r="O31" s="286">
        <f>'Data-total_employment'!O31-last_qrtr_totalemp!P31</f>
        <v>0</v>
      </c>
      <c r="P31" s="286">
        <f>'Data-total_employment'!P31-last_qrtr_totalemp!Q31</f>
        <v>-0.29999999999999716</v>
      </c>
      <c r="Q31" s="286">
        <f>'Data-total_employment'!Q31-last_qrtr_totalemp!R31</f>
        <v>-0.60000000000000142</v>
      </c>
      <c r="R31" s="286">
        <f>'Data-total_employment'!R31-last_qrtr_totalemp!S31</f>
        <v>0</v>
      </c>
      <c r="S31" s="286">
        <f>'Data-total_employment'!S31-last_qrtr_totalemp!T31</f>
        <v>0.39999999999999858</v>
      </c>
      <c r="T31" s="286">
        <f>'Data-total_employment'!T31-last_qrtr_totalemp!U31</f>
        <v>0.10000000000000142</v>
      </c>
      <c r="U31" s="286">
        <f>'Data-total_employment'!U31-last_qrtr_totalemp!V31</f>
        <v>0.30000000000000426</v>
      </c>
      <c r="V31" s="286">
        <f>'Data-total_employment'!V31-last_qrtr_totalemp!W31</f>
        <v>0.20000000000000284</v>
      </c>
      <c r="W31" s="286">
        <f>'Data-total_employment'!W31</f>
        <v>50.4</v>
      </c>
      <c r="X31" s="285" t="s">
        <v>34</v>
      </c>
      <c r="Y31" s="286">
        <f>'Data-total_employment'!Y31-last_qrtr_totalemp!Z31</f>
        <v>0.10000000000000142</v>
      </c>
      <c r="Z31" s="286">
        <f>'Data-total_employment'!Z31-last_qrtr_totalemp!AA31</f>
        <v>0.20000000000000284</v>
      </c>
      <c r="AA31" s="286">
        <f>'Data-total_employment'!AA31-last_qrtr_totalemp!AB31</f>
        <v>0.39999999999999858</v>
      </c>
      <c r="AB31" s="286">
        <f>'Data-total_employment'!AB31-last_qrtr_totalemp!AC31</f>
        <v>0.80000000000000071</v>
      </c>
      <c r="AC31" s="286">
        <f>'Data-total_employment'!AC31-last_qrtr_totalemp!AD31</f>
        <v>0.89999999999999858</v>
      </c>
      <c r="AD31" s="286">
        <f>'Data-total_employment'!AD31-last_qrtr_totalemp!AE31</f>
        <v>0.90000000000000213</v>
      </c>
      <c r="AE31" s="286">
        <f>'Data-total_employment'!AE31-last_qrtr_totalemp!AF31</f>
        <v>0.59999999999999787</v>
      </c>
      <c r="AF31" s="286">
        <f>'Data-total_employment'!AF31-last_qrtr_totalemp!AG31</f>
        <v>0.10000000000000142</v>
      </c>
      <c r="AG31" s="286">
        <f>'Data-total_employment'!AG31-last_qrtr_totalemp!AH31</f>
        <v>-0.20000000000000284</v>
      </c>
      <c r="AH31" s="286">
        <f>'Data-total_employment'!AH31</f>
        <v>17.899999999999999</v>
      </c>
      <c r="AI31" s="279" t="s">
        <v>34</v>
      </c>
      <c r="AJ31" s="286">
        <f>'Data-total_employment'!AJ31-last_qrtr_totalemp!AK31</f>
        <v>-0.20000000000000284</v>
      </c>
      <c r="AK31" s="286">
        <f>'Data-total_employment'!AK31-last_qrtr_totalemp!AL31</f>
        <v>0.29999999999999716</v>
      </c>
      <c r="AL31" s="286">
        <f>'Data-total_employment'!AL31-last_qrtr_totalemp!AM31</f>
        <v>1</v>
      </c>
      <c r="AM31" s="286">
        <f>'Data-total_employment'!AM31-last_qrtr_totalemp!AN31</f>
        <v>1.2000000000000028</v>
      </c>
      <c r="AN31" s="286">
        <f>'Data-total_employment'!AN31-last_qrtr_totalemp!AO31</f>
        <v>0.29999999999999716</v>
      </c>
      <c r="AO31" s="286">
        <f>'Data-total_employment'!AO31-last_qrtr_totalemp!AP31</f>
        <v>0.40000000000000568</v>
      </c>
      <c r="AP31" s="286">
        <f>'Data-total_employment'!AP31-last_qrtr_totalemp!AQ31</f>
        <v>1.0999999999999943</v>
      </c>
      <c r="AQ31" s="286">
        <f>'Data-total_employment'!AQ31-last_qrtr_totalemp!AR31</f>
        <v>1.2000000000000028</v>
      </c>
      <c r="AR31" s="286">
        <f>'Data-total_employment'!AR31-last_qrtr_totalemp!AS31</f>
        <v>0.5</v>
      </c>
      <c r="AS31" s="286">
        <f>'Data-total_employment'!AS31</f>
        <v>77</v>
      </c>
      <c r="AT31" s="279" t="s">
        <v>34</v>
      </c>
      <c r="AU31" s="286">
        <f>'Data-total_employment'!AU31-last_qrtr_totalemp!AV31</f>
        <v>-30</v>
      </c>
      <c r="AV31" s="286">
        <f>'Data-total_employment'!AV31-last_qrtr_totalemp!AW31</f>
        <v>-33</v>
      </c>
      <c r="AW31" s="286">
        <f>'Data-total_employment'!AW31-last_qrtr_totalemp!AX31</f>
        <v>38</v>
      </c>
      <c r="AX31" s="286">
        <f>'Data-total_employment'!AX31-last_qrtr_totalemp!AY31</f>
        <v>29</v>
      </c>
      <c r="AY31" s="286">
        <f>'Data-total_employment'!AY31-last_qrtr_totalemp!AZ31</f>
        <v>-27</v>
      </c>
      <c r="AZ31" s="286">
        <f>'Data-total_employment'!AZ31-last_qrtr_totalemp!BA31</f>
        <v>-32</v>
      </c>
      <c r="BA31" s="286">
        <f>'Data-total_employment'!BA31-last_qrtr_totalemp!BB31</f>
        <v>7</v>
      </c>
      <c r="BB31" s="286">
        <f>'Data-total_employment'!BB31-last_qrtr_totalemp!BC31</f>
        <v>19</v>
      </c>
      <c r="BC31" s="286">
        <f>'Data-total_employment'!BC31-last_qrtr_totalemp!BD31</f>
        <v>-23</v>
      </c>
      <c r="BD31" s="286">
        <f>'Data-total_employment'!BD31</f>
        <v>95</v>
      </c>
    </row>
    <row r="32" spans="1:56">
      <c r="A32" s="269">
        <v>29</v>
      </c>
      <c r="B32" s="285" t="s">
        <v>45</v>
      </c>
      <c r="C32" s="286">
        <f>'Data-total_employment'!C32-last_qrtr_totalemp!D32</f>
        <v>-16.400000000000091</v>
      </c>
      <c r="D32" s="286">
        <f>'Data-total_employment'!D32-last_qrtr_totalemp!E32</f>
        <v>-17.900000000000091</v>
      </c>
      <c r="E32" s="286">
        <f>'Data-total_employment'!E32-last_qrtr_totalemp!F32</f>
        <v>21.300000000000182</v>
      </c>
      <c r="F32" s="286">
        <f>'Data-total_employment'!F32-last_qrtr_totalemp!G32</f>
        <v>-1.1999999999998181</v>
      </c>
      <c r="G32" s="286">
        <f>'Data-total_employment'!G32-last_qrtr_totalemp!H32</f>
        <v>-13.800000000000182</v>
      </c>
      <c r="H32" s="286">
        <f>'Data-total_employment'!H32-last_qrtr_totalemp!I32</f>
        <v>-6.7000000000002728</v>
      </c>
      <c r="I32" s="286">
        <f>'Data-total_employment'!I32-last_qrtr_totalemp!J32</f>
        <v>27.299999999999727</v>
      </c>
      <c r="J32" s="286">
        <f>'Data-total_employment'!J32-last_qrtr_totalemp!K32</f>
        <v>22.599999999999909</v>
      </c>
      <c r="K32" s="286">
        <f>'Data-total_employment'!K32-last_qrtr_totalemp!L32</f>
        <v>4.7000000000002728</v>
      </c>
      <c r="L32" s="286">
        <f>'Data-total_employment'!L32</f>
        <v>2592</v>
      </c>
      <c r="M32" s="285" t="s">
        <v>45</v>
      </c>
      <c r="N32" s="286">
        <f>'Data-total_employment'!N32-last_qrtr_totalemp!O32</f>
        <v>0.40000000000000213</v>
      </c>
      <c r="O32" s="286">
        <f>'Data-total_employment'!O32-last_qrtr_totalemp!P32</f>
        <v>1.2000000000000028</v>
      </c>
      <c r="P32" s="286">
        <f>'Data-total_employment'!P32-last_qrtr_totalemp!Q32</f>
        <v>-1.3000000000000007</v>
      </c>
      <c r="Q32" s="286">
        <f>'Data-total_employment'!Q32-last_qrtr_totalemp!R32</f>
        <v>-0.90000000000000213</v>
      </c>
      <c r="R32" s="286">
        <f>'Data-total_employment'!R32-last_qrtr_totalemp!S32</f>
        <v>-0.60000000000000142</v>
      </c>
      <c r="S32" s="286">
        <f>'Data-total_employment'!S32-last_qrtr_totalemp!T32</f>
        <v>0.19999999999999929</v>
      </c>
      <c r="T32" s="286">
        <f>'Data-total_employment'!T32-last_qrtr_totalemp!U32</f>
        <v>-0.80000000000000071</v>
      </c>
      <c r="U32" s="286">
        <f>'Data-total_employment'!U32-last_qrtr_totalemp!V32</f>
        <v>-0.60000000000000142</v>
      </c>
      <c r="V32" s="286">
        <f>'Data-total_employment'!V32-last_qrtr_totalemp!W32</f>
        <v>0.60000000000000142</v>
      </c>
      <c r="W32" s="286">
        <f>'Data-total_employment'!W32</f>
        <v>26</v>
      </c>
      <c r="X32" s="285" t="s">
        <v>45</v>
      </c>
      <c r="Y32" s="286">
        <f>'Data-total_employment'!Y32-last_qrtr_totalemp!Z32</f>
        <v>0.70000000000000107</v>
      </c>
      <c r="Z32" s="286">
        <f>'Data-total_employment'!Z32-last_qrtr_totalemp!AA32</f>
        <v>0.40000000000000036</v>
      </c>
      <c r="AA32" s="286">
        <f>'Data-total_employment'!AA32-last_qrtr_totalemp!AB32</f>
        <v>0.59999999999999964</v>
      </c>
      <c r="AB32" s="286">
        <f>'Data-total_employment'!AB32-last_qrtr_totalemp!AC32</f>
        <v>0.20000000000000018</v>
      </c>
      <c r="AC32" s="286">
        <f>'Data-total_employment'!AC32-last_qrtr_totalemp!AD32</f>
        <v>-0.60000000000000053</v>
      </c>
      <c r="AD32" s="286">
        <f>'Data-total_employment'!AD32-last_qrtr_totalemp!AE32</f>
        <v>-0.80000000000000071</v>
      </c>
      <c r="AE32" s="286">
        <f>'Data-total_employment'!AE32-last_qrtr_totalemp!AF32</f>
        <v>0.39999999999999947</v>
      </c>
      <c r="AF32" s="286">
        <f>'Data-total_employment'!AF32-last_qrtr_totalemp!AG32</f>
        <v>0.70000000000000018</v>
      </c>
      <c r="AG32" s="286">
        <f>'Data-total_employment'!AG32-last_qrtr_totalemp!AH32</f>
        <v>-0.29999999999999893</v>
      </c>
      <c r="AH32" s="286">
        <f>'Data-total_employment'!AH32</f>
        <v>7.8</v>
      </c>
      <c r="AI32" s="279" t="s">
        <v>45</v>
      </c>
      <c r="AJ32" s="286">
        <f>'Data-total_employment'!AJ32-last_qrtr_totalemp!AK32</f>
        <v>-1</v>
      </c>
      <c r="AK32" s="286">
        <f>'Data-total_employment'!AK32-last_qrtr_totalemp!AL32</f>
        <v>-0.79999999999999716</v>
      </c>
      <c r="AL32" s="286">
        <f>'Data-total_employment'!AL32-last_qrtr_totalemp!AM32</f>
        <v>0.29999999999999716</v>
      </c>
      <c r="AM32" s="286">
        <f>'Data-total_employment'!AM32-last_qrtr_totalemp!AN32</f>
        <v>-0.29999999999999716</v>
      </c>
      <c r="AN32" s="286">
        <f>'Data-total_employment'!AN32-last_qrtr_totalemp!AO32</f>
        <v>-0.90000000000000568</v>
      </c>
      <c r="AO32" s="286">
        <f>'Data-total_employment'!AO32-last_qrtr_totalemp!AP32</f>
        <v>-0.5</v>
      </c>
      <c r="AP32" s="286">
        <f>'Data-total_employment'!AP32-last_qrtr_totalemp!AQ32</f>
        <v>0.5</v>
      </c>
      <c r="AQ32" s="286">
        <f>'Data-total_employment'!AQ32-last_qrtr_totalemp!AR32</f>
        <v>0.40000000000000568</v>
      </c>
      <c r="AR32" s="286">
        <f>'Data-total_employment'!AR32-last_qrtr_totalemp!AS32</f>
        <v>-0.10000000000000853</v>
      </c>
      <c r="AS32" s="286">
        <f>'Data-total_employment'!AS32</f>
        <v>75</v>
      </c>
      <c r="AT32" s="279" t="s">
        <v>45</v>
      </c>
      <c r="AU32" s="286">
        <f>'Data-total_employment'!AU32-last_qrtr_totalemp!AV32</f>
        <v>7</v>
      </c>
      <c r="AV32" s="286">
        <f>'Data-total_employment'!AV32-last_qrtr_totalemp!AW32</f>
        <v>-2</v>
      </c>
      <c r="AW32" s="286">
        <f>'Data-total_employment'!AW32-last_qrtr_totalemp!AX32</f>
        <v>-6</v>
      </c>
      <c r="AX32" s="286">
        <f>'Data-total_employment'!AX32-last_qrtr_totalemp!AY32</f>
        <v>9</v>
      </c>
      <c r="AY32" s="286">
        <f>'Data-total_employment'!AY32-last_qrtr_totalemp!AZ32</f>
        <v>5</v>
      </c>
      <c r="AZ32" s="286">
        <f>'Data-total_employment'!AZ32-last_qrtr_totalemp!BA32</f>
        <v>-11</v>
      </c>
      <c r="BA32" s="286">
        <f>'Data-total_employment'!BA32-last_qrtr_totalemp!BB32</f>
        <v>-4</v>
      </c>
      <c r="BB32" s="286">
        <f>'Data-total_employment'!BB32-last_qrtr_totalemp!BC32</f>
        <v>3</v>
      </c>
      <c r="BC32" s="286">
        <f>'Data-total_employment'!BC32-last_qrtr_totalemp!BD32</f>
        <v>1</v>
      </c>
      <c r="BD32" s="286">
        <f>'Data-total_employment'!BD32</f>
        <v>23</v>
      </c>
    </row>
    <row r="33" spans="1:56">
      <c r="A33" s="269">
        <v>30</v>
      </c>
      <c r="B33" s="285" t="s">
        <v>36</v>
      </c>
      <c r="C33" s="286">
        <f>'Data-total_employment'!C33-last_qrtr_totalemp!D33</f>
        <v>11.800000000001091</v>
      </c>
      <c r="D33" s="286">
        <f>'Data-total_employment'!D33-last_qrtr_totalemp!E33</f>
        <v>-60.699999999998909</v>
      </c>
      <c r="E33" s="286">
        <f>'Data-total_employment'!E33-last_qrtr_totalemp!F33</f>
        <v>-40.100000000000364</v>
      </c>
      <c r="F33" s="286">
        <f>'Data-total_employment'!F33-last_qrtr_totalemp!G33</f>
        <v>282.89999999999964</v>
      </c>
      <c r="G33" s="286">
        <f>'Data-total_employment'!G33-last_qrtr_totalemp!H33</f>
        <v>48.299999999999272</v>
      </c>
      <c r="H33" s="286">
        <f>'Data-total_employment'!H33-last_qrtr_totalemp!I33</f>
        <v>197.69999999999891</v>
      </c>
      <c r="I33" s="286">
        <f>'Data-total_employment'!I33-last_qrtr_totalemp!J33</f>
        <v>131.89999999999964</v>
      </c>
      <c r="J33" s="286">
        <f>'Data-total_employment'!J33-last_qrtr_totalemp!K33</f>
        <v>111</v>
      </c>
      <c r="K33" s="286">
        <f>'Data-total_employment'!K33-last_qrtr_totalemp!L33</f>
        <v>-148.69999999999891</v>
      </c>
      <c r="L33" s="286">
        <f>'Data-total_employment'!L33</f>
        <v>16226.3</v>
      </c>
      <c r="M33" s="285" t="s">
        <v>36</v>
      </c>
      <c r="N33" s="286">
        <f>'Data-total_employment'!N33-last_qrtr_totalemp!O33</f>
        <v>-0.10000000000000053</v>
      </c>
      <c r="O33" s="286">
        <f>'Data-total_employment'!O33-last_qrtr_totalemp!P33</f>
        <v>-0.20000000000000018</v>
      </c>
      <c r="P33" s="286">
        <f>'Data-total_employment'!P33-last_qrtr_totalemp!Q33</f>
        <v>-0.5</v>
      </c>
      <c r="Q33" s="286">
        <f>'Data-total_employment'!Q33-last_qrtr_totalemp!R33</f>
        <v>0</v>
      </c>
      <c r="R33" s="286">
        <f>'Data-total_employment'!R33-last_qrtr_totalemp!S33</f>
        <v>0.40000000000000036</v>
      </c>
      <c r="S33" s="286">
        <f>'Data-total_employment'!S33-last_qrtr_totalemp!T33</f>
        <v>0.5</v>
      </c>
      <c r="T33" s="286">
        <f>'Data-total_employment'!T33-last_qrtr_totalemp!U33</f>
        <v>-0.19999999999999929</v>
      </c>
      <c r="U33" s="286">
        <f>'Data-total_employment'!U33-last_qrtr_totalemp!V33</f>
        <v>-0.29999999999999982</v>
      </c>
      <c r="V33" s="286">
        <f>'Data-total_employment'!V33-last_qrtr_totalemp!W33</f>
        <v>-0.20000000000000018</v>
      </c>
      <c r="W33" s="286">
        <f>'Data-total_employment'!W33</f>
        <v>6.7</v>
      </c>
      <c r="X33" s="285" t="s">
        <v>36</v>
      </c>
      <c r="Y33" s="286">
        <f>'Data-total_employment'!Y33-last_qrtr_totalemp!Z33</f>
        <v>0.19999999999999929</v>
      </c>
      <c r="Z33" s="286">
        <f>'Data-total_employment'!Z33-last_qrtr_totalemp!AA33</f>
        <v>0.19999999999999929</v>
      </c>
      <c r="AA33" s="286">
        <f>'Data-total_employment'!AA33-last_qrtr_totalemp!AB33</f>
        <v>-0.30000000000000071</v>
      </c>
      <c r="AB33" s="286">
        <f>'Data-total_employment'!AB33-last_qrtr_totalemp!AC33</f>
        <v>-0.80000000000000071</v>
      </c>
      <c r="AC33" s="286">
        <f>'Data-total_employment'!AC33-last_qrtr_totalemp!AD33</f>
        <v>-1.0999999999999979</v>
      </c>
      <c r="AD33" s="286">
        <f>'Data-total_employment'!AD33-last_qrtr_totalemp!AE33</f>
        <v>-0.5</v>
      </c>
      <c r="AE33" s="286">
        <f>'Data-total_employment'!AE33-last_qrtr_totalemp!AF33</f>
        <v>-0.59999999999999787</v>
      </c>
      <c r="AF33" s="286">
        <f>'Data-total_employment'!AF33-last_qrtr_totalemp!AG33</f>
        <v>-0.69999999999999929</v>
      </c>
      <c r="AG33" s="286">
        <f>'Data-total_employment'!AG33-last_qrtr_totalemp!AH33</f>
        <v>-0.80000000000000071</v>
      </c>
      <c r="AH33" s="286">
        <f>'Data-total_employment'!AH33</f>
        <v>19.7</v>
      </c>
      <c r="AI33" s="279" t="s">
        <v>36</v>
      </c>
      <c r="AJ33" s="286">
        <f>'Data-total_employment'!AJ33-last_qrtr_totalemp!AK33</f>
        <v>1.1000000000000014</v>
      </c>
      <c r="AK33" s="286">
        <f>'Data-total_employment'!AK33-last_qrtr_totalemp!AL33</f>
        <v>0.79999999999999716</v>
      </c>
      <c r="AL33" s="286">
        <f>'Data-total_employment'!AL33-last_qrtr_totalemp!AM33</f>
        <v>1.2000000000000028</v>
      </c>
      <c r="AM33" s="286">
        <f>'Data-total_employment'!AM33-last_qrtr_totalemp!AN33</f>
        <v>1.3999999999999915</v>
      </c>
      <c r="AN33" s="286">
        <f>'Data-total_employment'!AN33-last_qrtr_totalemp!AO33</f>
        <v>1.1000000000000085</v>
      </c>
      <c r="AO33" s="286">
        <f>'Data-total_employment'!AO33-last_qrtr_totalemp!AP33</f>
        <v>1.2999999999999972</v>
      </c>
      <c r="AP33" s="286">
        <f>'Data-total_employment'!AP33-last_qrtr_totalemp!AQ33</f>
        <v>1.4000000000000057</v>
      </c>
      <c r="AQ33" s="286">
        <f>'Data-total_employment'!AQ33-last_qrtr_totalemp!AR33</f>
        <v>1</v>
      </c>
      <c r="AR33" s="286">
        <f>'Data-total_employment'!AR33-last_qrtr_totalemp!AS33</f>
        <v>0.39999999999999147</v>
      </c>
      <c r="AS33" s="286">
        <f>'Data-total_employment'!AS33</f>
        <v>67.7</v>
      </c>
      <c r="AT33" s="279" t="s">
        <v>36</v>
      </c>
      <c r="AU33" s="286">
        <f>'Data-total_employment'!AU33-last_qrtr_totalemp!AV33</f>
        <v>-63</v>
      </c>
      <c r="AV33" s="286">
        <f>'Data-total_employment'!AV33-last_qrtr_totalemp!AW33</f>
        <v>-82</v>
      </c>
      <c r="AW33" s="286">
        <f>'Data-total_employment'!AW33-last_qrtr_totalemp!AX33</f>
        <v>74</v>
      </c>
      <c r="AX33" s="286">
        <f>'Data-total_employment'!AX33-last_qrtr_totalemp!AY33</f>
        <v>42</v>
      </c>
      <c r="AY33" s="286">
        <f>'Data-total_employment'!AY33-last_qrtr_totalemp!AZ33</f>
        <v>-62</v>
      </c>
      <c r="AZ33" s="286">
        <f>'Data-total_employment'!AZ33-last_qrtr_totalemp!BA33</f>
        <v>-59</v>
      </c>
      <c r="BA33" s="286">
        <f>'Data-total_employment'!BA33-last_qrtr_totalemp!BB33</f>
        <v>4</v>
      </c>
      <c r="BB33" s="286">
        <f>'Data-total_employment'!BB33-last_qrtr_totalemp!BC33</f>
        <v>61</v>
      </c>
      <c r="BC33" s="286">
        <f>'Data-total_employment'!BC33-last_qrtr_totalemp!BD33</f>
        <v>-74</v>
      </c>
      <c r="BD33" s="286">
        <f>'Data-total_employment'!BD33</f>
        <v>126</v>
      </c>
    </row>
    <row r="34" spans="1:56">
      <c r="A34" s="269">
        <v>31</v>
      </c>
      <c r="B34" s="285" t="s">
        <v>37</v>
      </c>
      <c r="C34" s="286">
        <f>'Data-total_employment'!C34-last_qrtr_totalemp!D34</f>
        <v>-37.199999999999818</v>
      </c>
      <c r="D34" s="286">
        <f>'Data-total_employment'!D34-last_qrtr_totalemp!E34</f>
        <v>33.599999999999454</v>
      </c>
      <c r="E34" s="286">
        <f>'Data-total_employment'!E34-last_qrtr_totalemp!F34</f>
        <v>98</v>
      </c>
      <c r="F34" s="286">
        <f>'Data-total_employment'!F34-last_qrtr_totalemp!G34</f>
        <v>102.19999999999982</v>
      </c>
      <c r="G34" s="286">
        <f>'Data-total_employment'!G34-last_qrtr_totalemp!H34</f>
        <v>57.5</v>
      </c>
      <c r="H34" s="286">
        <f>'Data-total_employment'!H34-last_qrtr_totalemp!I34</f>
        <v>86.100000000000364</v>
      </c>
      <c r="I34" s="286">
        <f>'Data-total_employment'!I34-last_qrtr_totalemp!J34</f>
        <v>157.89999999999964</v>
      </c>
      <c r="J34" s="286">
        <f>'Data-total_employment'!J34-last_qrtr_totalemp!K34</f>
        <v>146.70000000000073</v>
      </c>
      <c r="K34" s="286">
        <f>'Data-total_employment'!K34-last_qrtr_totalemp!L34</f>
        <v>68.099999999999454</v>
      </c>
      <c r="L34" s="286">
        <f>'Data-total_employment'!L34</f>
        <v>4624.8999999999996</v>
      </c>
      <c r="M34" s="285" t="s">
        <v>37</v>
      </c>
      <c r="N34" s="286">
        <f>'Data-total_employment'!N34-last_qrtr_totalemp!O34</f>
        <v>-0.10000000000000142</v>
      </c>
      <c r="O34" s="286">
        <f>'Data-total_employment'!O34-last_qrtr_totalemp!P34</f>
        <v>0</v>
      </c>
      <c r="P34" s="286">
        <f>'Data-total_employment'!P34-last_qrtr_totalemp!Q34</f>
        <v>-0.5</v>
      </c>
      <c r="Q34" s="286">
        <f>'Data-total_employment'!Q34-last_qrtr_totalemp!R34</f>
        <v>-0.19999999999999929</v>
      </c>
      <c r="R34" s="286">
        <f>'Data-total_employment'!R34-last_qrtr_totalemp!S34</f>
        <v>0.19999999999999929</v>
      </c>
      <c r="S34" s="286">
        <f>'Data-total_employment'!S34-last_qrtr_totalemp!T34</f>
        <v>-0.19999999999999929</v>
      </c>
      <c r="T34" s="286">
        <f>'Data-total_employment'!T34-last_qrtr_totalemp!U34</f>
        <v>-1.5</v>
      </c>
      <c r="U34" s="286">
        <f>'Data-total_employment'!U34-last_qrtr_totalemp!V34</f>
        <v>-0.79999999999999893</v>
      </c>
      <c r="V34" s="286">
        <f>'Data-total_employment'!V34-last_qrtr_totalemp!W34</f>
        <v>-0.5</v>
      </c>
      <c r="W34" s="286">
        <f>'Data-total_employment'!W34</f>
        <v>7.9</v>
      </c>
      <c r="X34" s="285" t="s">
        <v>37</v>
      </c>
      <c r="Y34" s="286">
        <f>'Data-total_employment'!Y34-last_qrtr_totalemp!Z34</f>
        <v>0.39999999999999858</v>
      </c>
      <c r="Z34" s="286">
        <f>'Data-total_employment'!Z34-last_qrtr_totalemp!AA34</f>
        <v>0.5</v>
      </c>
      <c r="AA34" s="286">
        <f>'Data-total_employment'!AA34-last_qrtr_totalemp!AB34</f>
        <v>-0.30000000000000071</v>
      </c>
      <c r="AB34" s="286">
        <f>'Data-total_employment'!AB34-last_qrtr_totalemp!AC34</f>
        <v>0.10000000000000142</v>
      </c>
      <c r="AC34" s="286">
        <f>'Data-total_employment'!AC34-last_qrtr_totalemp!AD34</f>
        <v>-0.69999999999999929</v>
      </c>
      <c r="AD34" s="286">
        <f>'Data-total_employment'!AD34-last_qrtr_totalemp!AE34</f>
        <v>9.9999999999997868E-2</v>
      </c>
      <c r="AE34" s="286">
        <f>'Data-total_employment'!AE34-last_qrtr_totalemp!AF34</f>
        <v>9.9999999999997868E-2</v>
      </c>
      <c r="AF34" s="286">
        <f>'Data-total_employment'!AF34-last_qrtr_totalemp!AG34</f>
        <v>0.69999999999999929</v>
      </c>
      <c r="AG34" s="286">
        <f>'Data-total_employment'!AG34-last_qrtr_totalemp!AH34</f>
        <v>0.10000000000000142</v>
      </c>
      <c r="AH34" s="286">
        <f>'Data-total_employment'!AH34</f>
        <v>19</v>
      </c>
      <c r="AI34" s="279" t="s">
        <v>37</v>
      </c>
      <c r="AJ34" s="286">
        <f>'Data-total_employment'!AJ34-last_qrtr_totalemp!AK34</f>
        <v>-0.20000000000000284</v>
      </c>
      <c r="AK34" s="286">
        <f>'Data-total_employment'!AK34-last_qrtr_totalemp!AL34</f>
        <v>0.69999999999998863</v>
      </c>
      <c r="AL34" s="286">
        <f>'Data-total_employment'!AL34-last_qrtr_totalemp!AM34</f>
        <v>1.7000000000000028</v>
      </c>
      <c r="AM34" s="286">
        <f>'Data-total_employment'!AM34-last_qrtr_totalemp!AN34</f>
        <v>1.9000000000000057</v>
      </c>
      <c r="AN34" s="286">
        <f>'Data-total_employment'!AN34-last_qrtr_totalemp!AO34</f>
        <v>1.2000000000000028</v>
      </c>
      <c r="AO34" s="286">
        <f>'Data-total_employment'!AO34-last_qrtr_totalemp!AP34</f>
        <v>1.5999999999999943</v>
      </c>
      <c r="AP34" s="286">
        <f>'Data-total_employment'!AP34-last_qrtr_totalemp!AQ34</f>
        <v>2.5999999999999943</v>
      </c>
      <c r="AQ34" s="286">
        <f>'Data-total_employment'!AQ34-last_qrtr_totalemp!AR34</f>
        <v>2.6000000000000085</v>
      </c>
      <c r="AR34" s="286">
        <f>'Data-total_employment'!AR34-last_qrtr_totalemp!AS34</f>
        <v>1.3000000000000114</v>
      </c>
      <c r="AS34" s="286">
        <f>'Data-total_employment'!AS34</f>
        <v>69.8</v>
      </c>
      <c r="AT34" s="279" t="s">
        <v>37</v>
      </c>
      <c r="AU34" s="286">
        <f>'Data-total_employment'!AU34-last_qrtr_totalemp!AV34</f>
        <v>-44</v>
      </c>
      <c r="AV34" s="286">
        <f>'Data-total_employment'!AV34-last_qrtr_totalemp!AW34</f>
        <v>5</v>
      </c>
      <c r="AW34" s="286">
        <f>'Data-total_employment'!AW34-last_qrtr_totalemp!AX34</f>
        <v>10</v>
      </c>
      <c r="AX34" s="286">
        <f>'Data-total_employment'!AX34-last_qrtr_totalemp!AY34</f>
        <v>1</v>
      </c>
      <c r="AY34" s="286">
        <f>'Data-total_employment'!AY34-last_qrtr_totalemp!AZ34</f>
        <v>-26</v>
      </c>
      <c r="AZ34" s="286">
        <f>'Data-total_employment'!AZ34-last_qrtr_totalemp!BA34</f>
        <v>-9</v>
      </c>
      <c r="BA34" s="286">
        <f>'Data-total_employment'!BA34-last_qrtr_totalemp!BB34</f>
        <v>16</v>
      </c>
      <c r="BB34" s="286">
        <f>'Data-total_employment'!BB34-last_qrtr_totalemp!BC34</f>
        <v>-5</v>
      </c>
      <c r="BC34" s="286">
        <f>'Data-total_employment'!BC34-last_qrtr_totalemp!BD34</f>
        <v>-16</v>
      </c>
      <c r="BD34" s="286">
        <f>'Data-total_employment'!BD34</f>
        <v>98</v>
      </c>
    </row>
    <row r="35" spans="1:56">
      <c r="A35" s="269">
        <v>32</v>
      </c>
      <c r="B35" s="285" t="s">
        <v>38</v>
      </c>
      <c r="C35" s="286">
        <f>'Data-total_employment'!C35-last_qrtr_totalemp!D35</f>
        <v>-376</v>
      </c>
      <c r="D35" s="286">
        <f>'Data-total_employment'!D35-last_qrtr_totalemp!E35</f>
        <v>-217.30000000000109</v>
      </c>
      <c r="E35" s="286">
        <f>'Data-total_employment'!E35-last_qrtr_totalemp!F35</f>
        <v>126.5</v>
      </c>
      <c r="F35" s="286">
        <f>'Data-total_employment'!F35-last_qrtr_totalemp!G35</f>
        <v>183.60000000000036</v>
      </c>
      <c r="G35" s="286">
        <f>'Data-total_employment'!G35-last_qrtr_totalemp!H35</f>
        <v>-169.59999999999945</v>
      </c>
      <c r="H35" s="286">
        <f>'Data-total_employment'!H35-last_qrtr_totalemp!I35</f>
        <v>281</v>
      </c>
      <c r="I35" s="286">
        <f>'Data-total_employment'!I35-last_qrtr_totalemp!J35</f>
        <v>370.89999999999964</v>
      </c>
      <c r="J35" s="286">
        <f>'Data-total_employment'!J35-last_qrtr_totalemp!K35</f>
        <v>210.90000000000055</v>
      </c>
      <c r="K35" s="286">
        <f>'Data-total_employment'!K35-last_qrtr_totalemp!L35</f>
        <v>-425.60000000000036</v>
      </c>
      <c r="L35" s="286">
        <f>'Data-total_employment'!L35</f>
        <v>8506.7000000000007</v>
      </c>
      <c r="M35" s="285" t="s">
        <v>38</v>
      </c>
      <c r="N35" s="286">
        <f>'Data-total_employment'!N35-last_qrtr_totalemp!O35</f>
        <v>-0.90000000000000036</v>
      </c>
      <c r="O35" s="286">
        <f>'Data-total_employment'!O35-last_qrtr_totalemp!P35</f>
        <v>-1.5</v>
      </c>
      <c r="P35" s="286">
        <f>'Data-total_employment'!P35-last_qrtr_totalemp!Q35</f>
        <v>-0.59999999999999964</v>
      </c>
      <c r="Q35" s="286">
        <f>'Data-total_employment'!Q35-last_qrtr_totalemp!R35</f>
        <v>-1.2000000000000002</v>
      </c>
      <c r="R35" s="286">
        <f>'Data-total_employment'!R35-last_qrtr_totalemp!S35</f>
        <v>-1.1999999999999993</v>
      </c>
      <c r="S35" s="286">
        <f>'Data-total_employment'!S35-last_qrtr_totalemp!T35</f>
        <v>0.20000000000000018</v>
      </c>
      <c r="T35" s="286">
        <f>'Data-total_employment'!T35-last_qrtr_totalemp!U35</f>
        <v>9.9999999999999645E-2</v>
      </c>
      <c r="U35" s="286">
        <f>'Data-total_employment'!U35-last_qrtr_totalemp!V35</f>
        <v>-0.30000000000000071</v>
      </c>
      <c r="V35" s="286">
        <f>'Data-total_employment'!V35-last_qrtr_totalemp!W35</f>
        <v>-1</v>
      </c>
      <c r="W35" s="286">
        <f>'Data-total_employment'!W35</f>
        <v>7</v>
      </c>
      <c r="X35" s="285" t="s">
        <v>38</v>
      </c>
      <c r="Y35" s="286">
        <f>'Data-total_employment'!Y35-last_qrtr_totalemp!Z35</f>
        <v>-0.19999999999999996</v>
      </c>
      <c r="Z35" s="286">
        <f>'Data-total_employment'!Z35-last_qrtr_totalemp!AA35</f>
        <v>9.9999999999999978E-2</v>
      </c>
      <c r="AA35" s="286">
        <f>'Data-total_employment'!AA35-last_qrtr_totalemp!AB35</f>
        <v>0</v>
      </c>
      <c r="AB35" s="286">
        <f>'Data-total_employment'!AB35-last_qrtr_totalemp!AC35</f>
        <v>0.10000000000000009</v>
      </c>
      <c r="AC35" s="286">
        <f>'Data-total_employment'!AC35-last_qrtr_totalemp!AD35</f>
        <v>-9.9999999999999978E-2</v>
      </c>
      <c r="AD35" s="286">
        <f>'Data-total_employment'!AD35-last_qrtr_totalemp!AE35</f>
        <v>-0.19999999999999996</v>
      </c>
      <c r="AE35" s="286">
        <f>'Data-total_employment'!AE35-last_qrtr_totalemp!AF35</f>
        <v>-9.9999999999999978E-2</v>
      </c>
      <c r="AF35" s="286">
        <f>'Data-total_employment'!AF35-last_qrtr_totalemp!AG35</f>
        <v>9.9999999999999978E-2</v>
      </c>
      <c r="AG35" s="286">
        <f>'Data-total_employment'!AG35-last_qrtr_totalemp!AH35</f>
        <v>0</v>
      </c>
      <c r="AH35" s="286">
        <f>'Data-total_employment'!AH35</f>
        <v>0.7</v>
      </c>
      <c r="AI35" s="279" t="s">
        <v>38</v>
      </c>
      <c r="AJ35" s="286">
        <f>'Data-total_employment'!AJ35-last_qrtr_totalemp!AK35</f>
        <v>-2.2000000000000028</v>
      </c>
      <c r="AK35" s="286">
        <f>'Data-total_employment'!AK35-last_qrtr_totalemp!AL35</f>
        <v>-1.4000000000000057</v>
      </c>
      <c r="AL35" s="286">
        <f>'Data-total_employment'!AL35-last_qrtr_totalemp!AM35</f>
        <v>1.7000000000000028</v>
      </c>
      <c r="AM35" s="286">
        <f>'Data-total_employment'!AM35-last_qrtr_totalemp!AN35</f>
        <v>1.8000000000000043</v>
      </c>
      <c r="AN35" s="286">
        <f>'Data-total_employment'!AN35-last_qrtr_totalemp!AO35</f>
        <v>-0.59999999999999432</v>
      </c>
      <c r="AO35" s="286">
        <f>'Data-total_employment'!AO35-last_qrtr_totalemp!AP35</f>
        <v>2.3999999999999986</v>
      </c>
      <c r="AP35" s="286">
        <f>'Data-total_employment'!AP35-last_qrtr_totalemp!AQ35</f>
        <v>3.6999999999999957</v>
      </c>
      <c r="AQ35" s="286">
        <f>'Data-total_employment'!AQ35-last_qrtr_totalemp!AR35</f>
        <v>2.1999999999999957</v>
      </c>
      <c r="AR35" s="286">
        <f>'Data-total_employment'!AR35-last_qrtr_totalemp!AS35</f>
        <v>-2.3999999999999986</v>
      </c>
      <c r="AS35" s="286">
        <f>'Data-total_employment'!AS35</f>
        <v>65.5</v>
      </c>
      <c r="AT35" s="279" t="s">
        <v>38</v>
      </c>
      <c r="AU35" s="286">
        <f>'Data-total_employment'!AU35-last_qrtr_totalemp!AV35</f>
        <v>-69</v>
      </c>
      <c r="AV35" s="286">
        <f>'Data-total_employment'!AV35-last_qrtr_totalemp!AW35</f>
        <v>32</v>
      </c>
      <c r="AW35" s="286">
        <f>'Data-total_employment'!AW35-last_qrtr_totalemp!AX35</f>
        <v>21</v>
      </c>
      <c r="AX35" s="286">
        <f>'Data-total_employment'!AX35-last_qrtr_totalemp!AY35</f>
        <v>30</v>
      </c>
      <c r="AY35" s="286">
        <f>'Data-total_employment'!AY35-last_qrtr_totalemp!AZ35</f>
        <v>-22</v>
      </c>
      <c r="AZ35" s="286">
        <f>'Data-total_employment'!AZ35-last_qrtr_totalemp!BA35</f>
        <v>-17</v>
      </c>
      <c r="BA35" s="286">
        <f>'Data-total_employment'!BA35-last_qrtr_totalemp!BB35</f>
        <v>41</v>
      </c>
      <c r="BB35" s="286">
        <f>'Data-total_employment'!BB35-last_qrtr_totalemp!BC35</f>
        <v>-6</v>
      </c>
      <c r="BC35" s="286">
        <f>'Data-total_employment'!BC35-last_qrtr_totalemp!BD35</f>
        <v>-43</v>
      </c>
      <c r="BD35" s="286">
        <f>'Data-total_employment'!BD35</f>
        <v>30</v>
      </c>
    </row>
    <row r="36" spans="1:56">
      <c r="A36" s="269">
        <v>33</v>
      </c>
      <c r="B36" s="285" t="s">
        <v>40</v>
      </c>
      <c r="C36" s="286">
        <f>'Data-total_employment'!C36-last_qrtr_totalemp!D36</f>
        <v>44.699999999999818</v>
      </c>
      <c r="D36" s="286">
        <f>'Data-total_employment'!D36-last_qrtr_totalemp!E36</f>
        <v>57.200000000000273</v>
      </c>
      <c r="E36" s="286">
        <f>'Data-total_employment'!E36-last_qrtr_totalemp!F36</f>
        <v>48.899999999999636</v>
      </c>
      <c r="F36" s="286">
        <f>'Data-total_employment'!F36-last_qrtr_totalemp!G36</f>
        <v>46.700000000000273</v>
      </c>
      <c r="G36" s="286">
        <f>'Data-total_employment'!G36-last_qrtr_totalemp!H36</f>
        <v>13.699999999999818</v>
      </c>
      <c r="H36" s="286">
        <f>'Data-total_employment'!H36-last_qrtr_totalemp!I36</f>
        <v>17.200000000000273</v>
      </c>
      <c r="I36" s="286">
        <f>'Data-total_employment'!I36-last_qrtr_totalemp!J36</f>
        <v>21.799999999999727</v>
      </c>
      <c r="J36" s="286">
        <f>'Data-total_employment'!J36-last_qrtr_totalemp!K36</f>
        <v>24.800000000000182</v>
      </c>
      <c r="K36" s="286">
        <f>'Data-total_employment'!K36-last_qrtr_totalemp!L36</f>
        <v>14.599999999999909</v>
      </c>
      <c r="L36" s="286">
        <f>'Data-total_employment'!L36</f>
        <v>2516.6</v>
      </c>
      <c r="M36" s="285" t="s">
        <v>40</v>
      </c>
      <c r="N36" s="286">
        <f>'Data-total_employment'!N36-last_qrtr_totalemp!O36</f>
        <v>-0.10000000000000053</v>
      </c>
      <c r="O36" s="286">
        <f>'Data-total_employment'!O36-last_qrtr_totalemp!P36</f>
        <v>0.20000000000000018</v>
      </c>
      <c r="P36" s="286">
        <f>'Data-total_employment'!P36-last_qrtr_totalemp!Q36</f>
        <v>0</v>
      </c>
      <c r="Q36" s="286">
        <f>'Data-total_employment'!Q36-last_qrtr_totalemp!R36</f>
        <v>0.40000000000000036</v>
      </c>
      <c r="R36" s="286">
        <f>'Data-total_employment'!R36-last_qrtr_totalemp!S36</f>
        <v>0</v>
      </c>
      <c r="S36" s="286">
        <f>'Data-total_employment'!S36-last_qrtr_totalemp!T36</f>
        <v>9.9999999999999645E-2</v>
      </c>
      <c r="T36" s="286">
        <f>'Data-total_employment'!T36-last_qrtr_totalemp!U36</f>
        <v>-9.9999999999999645E-2</v>
      </c>
      <c r="U36" s="286">
        <f>'Data-total_employment'!U36-last_qrtr_totalemp!V36</f>
        <v>-9.9999999999999645E-2</v>
      </c>
      <c r="V36" s="286">
        <f>'Data-total_employment'!V36-last_qrtr_totalemp!W36</f>
        <v>-0.20000000000000018</v>
      </c>
      <c r="W36" s="286">
        <f>'Data-total_employment'!W36</f>
        <v>5.0999999999999996</v>
      </c>
      <c r="X36" s="285" t="s">
        <v>40</v>
      </c>
      <c r="Y36" s="286">
        <f>'Data-total_employment'!Y36-last_qrtr_totalemp!Z36</f>
        <v>-0.59999999999999964</v>
      </c>
      <c r="Z36" s="286">
        <f>'Data-total_employment'!Z36-last_qrtr_totalemp!AA36</f>
        <v>-0.69999999999999929</v>
      </c>
      <c r="AA36" s="286">
        <f>'Data-total_employment'!AA36-last_qrtr_totalemp!AB36</f>
        <v>-0.29999999999999893</v>
      </c>
      <c r="AB36" s="286">
        <f>'Data-total_employment'!AB36-last_qrtr_totalemp!AC36</f>
        <v>-0.19999999999999929</v>
      </c>
      <c r="AC36" s="286">
        <f>'Data-total_employment'!AC36-last_qrtr_totalemp!AD36</f>
        <v>-0.5</v>
      </c>
      <c r="AD36" s="286">
        <f>'Data-total_employment'!AD36-last_qrtr_totalemp!AE36</f>
        <v>-0.19999999999999929</v>
      </c>
      <c r="AE36" s="286">
        <f>'Data-total_employment'!AE36-last_qrtr_totalemp!AF36</f>
        <v>-0.40000000000000036</v>
      </c>
      <c r="AF36" s="286">
        <f>'Data-total_employment'!AF36-last_qrtr_totalemp!AG36</f>
        <v>0</v>
      </c>
      <c r="AG36" s="286">
        <f>'Data-total_employment'!AG36-last_qrtr_totalemp!AH36</f>
        <v>-0.20000000000000018</v>
      </c>
      <c r="AH36" s="286">
        <f>'Data-total_employment'!AH36</f>
        <v>7</v>
      </c>
      <c r="AI36" s="279" t="s">
        <v>40</v>
      </c>
      <c r="AJ36" s="286">
        <f>'Data-total_employment'!AJ36-last_qrtr_totalemp!AK36</f>
        <v>1.5999999999999943</v>
      </c>
      <c r="AK36" s="286">
        <f>'Data-total_employment'!AK36-last_qrtr_totalemp!AL36</f>
        <v>1.9000000000000057</v>
      </c>
      <c r="AL36" s="286">
        <f>'Data-total_employment'!AL36-last_qrtr_totalemp!AM36</f>
        <v>1.5999999999999943</v>
      </c>
      <c r="AM36" s="286">
        <f>'Data-total_employment'!AM36-last_qrtr_totalemp!AN36</f>
        <v>1.2000000000000028</v>
      </c>
      <c r="AN36" s="286">
        <f>'Data-total_employment'!AN36-last_qrtr_totalemp!AO36</f>
        <v>0.89999999999999147</v>
      </c>
      <c r="AO36" s="286">
        <f>'Data-total_employment'!AO36-last_qrtr_totalemp!AP36</f>
        <v>1</v>
      </c>
      <c r="AP36" s="286">
        <f>'Data-total_employment'!AP36-last_qrtr_totalemp!AQ36</f>
        <v>1.1000000000000085</v>
      </c>
      <c r="AQ36" s="286">
        <f>'Data-total_employment'!AQ36-last_qrtr_totalemp!AR36</f>
        <v>0.60000000000000853</v>
      </c>
      <c r="AR36" s="286">
        <f>'Data-total_employment'!AR36-last_qrtr_totalemp!AS36</f>
        <v>1</v>
      </c>
      <c r="AS36" s="286">
        <f>'Data-total_employment'!AS36</f>
        <v>67.099999999999994</v>
      </c>
      <c r="AT36" s="279" t="s">
        <v>40</v>
      </c>
      <c r="AU36" s="286">
        <f>'Data-total_employment'!AU36-last_qrtr_totalemp!AV36</f>
        <v>-13</v>
      </c>
      <c r="AV36" s="286">
        <f>'Data-total_employment'!AV36-last_qrtr_totalemp!AW36</f>
        <v>13</v>
      </c>
      <c r="AW36" s="286">
        <f>'Data-total_employment'!AW36-last_qrtr_totalemp!AX36</f>
        <v>10</v>
      </c>
      <c r="AX36" s="286">
        <f>'Data-total_employment'!AX36-last_qrtr_totalemp!AY36</f>
        <v>-13</v>
      </c>
      <c r="AY36" s="286">
        <f>'Data-total_employment'!AY36-last_qrtr_totalemp!AZ36</f>
        <v>-12</v>
      </c>
      <c r="AZ36" s="286">
        <f>'Data-total_employment'!AZ36-last_qrtr_totalemp!BA36</f>
        <v>3</v>
      </c>
      <c r="BA36" s="286">
        <f>'Data-total_employment'!BA36-last_qrtr_totalemp!BB36</f>
        <v>2</v>
      </c>
      <c r="BB36" s="286">
        <f>'Data-total_employment'!BB36-last_qrtr_totalemp!BC36</f>
        <v>-10</v>
      </c>
      <c r="BC36" s="286">
        <f>'Data-total_employment'!BC36-last_qrtr_totalemp!BD36</f>
        <v>-6</v>
      </c>
      <c r="BD36" s="286">
        <f>'Data-total_employment'!BD36</f>
        <v>31</v>
      </c>
    </row>
    <row r="37" spans="1:56">
      <c r="A37" s="269">
        <v>34</v>
      </c>
      <c r="B37" s="285" t="s">
        <v>39</v>
      </c>
      <c r="C37" s="286">
        <f>'Data-total_employment'!C37-last_qrtr_totalemp!D37</f>
        <v>-23.200000000000045</v>
      </c>
      <c r="D37" s="286">
        <f>'Data-total_employment'!D37-last_qrtr_totalemp!E37</f>
        <v>-11.099999999999909</v>
      </c>
      <c r="E37" s="286">
        <f>'Data-total_employment'!E37-last_qrtr_totalemp!F37</f>
        <v>7.2000000000000455</v>
      </c>
      <c r="F37" s="286">
        <f>'Data-total_employment'!F37-last_qrtr_totalemp!G37</f>
        <v>29.100000000000023</v>
      </c>
      <c r="G37" s="286">
        <f>'Data-total_employment'!G37-last_qrtr_totalemp!H37</f>
        <v>12</v>
      </c>
      <c r="H37" s="286">
        <f>'Data-total_employment'!H37-last_qrtr_totalemp!I37</f>
        <v>33.399999999999977</v>
      </c>
      <c r="I37" s="286">
        <f>'Data-total_employment'!I37-last_qrtr_totalemp!J37</f>
        <v>46.299999999999955</v>
      </c>
      <c r="J37" s="286">
        <f>'Data-total_employment'!J37-last_qrtr_totalemp!K37</f>
        <v>36.099999999999909</v>
      </c>
      <c r="K37" s="286">
        <f>'Data-total_employment'!K37-last_qrtr_totalemp!L37</f>
        <v>3.3999999999999773</v>
      </c>
      <c r="L37" s="286">
        <f>'Data-total_employment'!L37</f>
        <v>963.8</v>
      </c>
      <c r="M37" s="285" t="s">
        <v>39</v>
      </c>
      <c r="N37" s="286">
        <f>'Data-total_employment'!N37-last_qrtr_totalemp!O37</f>
        <v>-1.2999999999999989</v>
      </c>
      <c r="O37" s="286">
        <f>'Data-total_employment'!O37-last_qrtr_totalemp!P37</f>
        <v>-1</v>
      </c>
      <c r="P37" s="286">
        <f>'Data-total_employment'!P37-last_qrtr_totalemp!Q37</f>
        <v>-0.20000000000000107</v>
      </c>
      <c r="Q37" s="286">
        <f>'Data-total_employment'!Q37-last_qrtr_totalemp!R37</f>
        <v>-9.9999999999999645E-2</v>
      </c>
      <c r="R37" s="286">
        <f>'Data-total_employment'!R37-last_qrtr_totalemp!S37</f>
        <v>1.1999999999999993</v>
      </c>
      <c r="S37" s="286">
        <f>'Data-total_employment'!S37-last_qrtr_totalemp!T37</f>
        <v>1</v>
      </c>
      <c r="T37" s="286">
        <f>'Data-total_employment'!T37-last_qrtr_totalemp!U37</f>
        <v>1.0999999999999996</v>
      </c>
      <c r="U37" s="286">
        <f>'Data-total_employment'!U37-last_qrtr_totalemp!V37</f>
        <v>-0.40000000000000036</v>
      </c>
      <c r="V37" s="286">
        <f>'Data-total_employment'!V37-last_qrtr_totalemp!W37</f>
        <v>0.30000000000000071</v>
      </c>
      <c r="W37" s="286">
        <f>'Data-total_employment'!W37</f>
        <v>10.4</v>
      </c>
      <c r="X37" s="285" t="s">
        <v>39</v>
      </c>
      <c r="Y37" s="286">
        <f>'Data-total_employment'!Y37-last_qrtr_totalemp!Z37</f>
        <v>-0.20000000000000107</v>
      </c>
      <c r="Z37" s="286">
        <f>'Data-total_employment'!Z37-last_qrtr_totalemp!AA37</f>
        <v>-1.2000000000000011</v>
      </c>
      <c r="AA37" s="286">
        <f>'Data-total_employment'!AA37-last_qrtr_totalemp!AB37</f>
        <v>-0.80000000000000071</v>
      </c>
      <c r="AB37" s="286">
        <f>'Data-total_employment'!AB37-last_qrtr_totalemp!AC37</f>
        <v>0</v>
      </c>
      <c r="AC37" s="286">
        <f>'Data-total_employment'!AC37-last_qrtr_totalemp!AD37</f>
        <v>0.5</v>
      </c>
      <c r="AD37" s="286">
        <f>'Data-total_employment'!AD37-last_qrtr_totalemp!AE37</f>
        <v>0.89999999999999858</v>
      </c>
      <c r="AE37" s="286">
        <f>'Data-total_employment'!AE37-last_qrtr_totalemp!AF37</f>
        <v>1.0999999999999996</v>
      </c>
      <c r="AF37" s="286">
        <f>'Data-total_employment'!AF37-last_qrtr_totalemp!AG37</f>
        <v>-1</v>
      </c>
      <c r="AG37" s="286">
        <f>'Data-total_employment'!AG37-last_qrtr_totalemp!AH37</f>
        <v>-0.59999999999999964</v>
      </c>
      <c r="AH37" s="286">
        <f>'Data-total_employment'!AH37</f>
        <v>13.9</v>
      </c>
      <c r="AI37" s="279" t="s">
        <v>39</v>
      </c>
      <c r="AJ37" s="286">
        <f>'Data-total_employment'!AJ37-last_qrtr_totalemp!AK37</f>
        <v>-1.2999999999999972</v>
      </c>
      <c r="AK37" s="286">
        <f>'Data-total_employment'!AK37-last_qrtr_totalemp!AL37</f>
        <v>-0.5</v>
      </c>
      <c r="AL37" s="286">
        <f>'Data-total_employment'!AL37-last_qrtr_totalemp!AM37</f>
        <v>1.2000000000000028</v>
      </c>
      <c r="AM37" s="286">
        <f>'Data-total_employment'!AM37-last_qrtr_totalemp!AN37</f>
        <v>2.3999999999999915</v>
      </c>
      <c r="AN37" s="286">
        <f>'Data-total_employment'!AN37-last_qrtr_totalemp!AO37</f>
        <v>1.0999999999999943</v>
      </c>
      <c r="AO37" s="286">
        <f>'Data-total_employment'!AO37-last_qrtr_totalemp!AP37</f>
        <v>2.6999999999999886</v>
      </c>
      <c r="AP37" s="286">
        <f>'Data-total_employment'!AP37-last_qrtr_totalemp!AQ37</f>
        <v>3.8000000000000114</v>
      </c>
      <c r="AQ37" s="286">
        <f>'Data-total_employment'!AQ37-last_qrtr_totalemp!AR37</f>
        <v>3</v>
      </c>
      <c r="AR37" s="286">
        <f>'Data-total_employment'!AR37-last_qrtr_totalemp!AS37</f>
        <v>0.60000000000000853</v>
      </c>
      <c r="AS37" s="286">
        <f>'Data-total_employment'!AS37</f>
        <v>71.099999999999994</v>
      </c>
      <c r="AT37" s="279" t="s">
        <v>39</v>
      </c>
      <c r="AU37" s="286">
        <f>'Data-total_employment'!AU37-last_qrtr_totalemp!AV37</f>
        <v>-3</v>
      </c>
      <c r="AV37" s="286">
        <f>'Data-total_employment'!AV37-last_qrtr_totalemp!AW37</f>
        <v>-2</v>
      </c>
      <c r="AW37" s="286">
        <f>'Data-total_employment'!AW37-last_qrtr_totalemp!AX37</f>
        <v>6</v>
      </c>
      <c r="AX37" s="286">
        <f>'Data-total_employment'!AX37-last_qrtr_totalemp!AY37</f>
        <v>0</v>
      </c>
      <c r="AY37" s="286">
        <f>'Data-total_employment'!AY37-last_qrtr_totalemp!AZ37</f>
        <v>-8</v>
      </c>
      <c r="AZ37" s="286">
        <f>'Data-total_employment'!AZ37-last_qrtr_totalemp!BA37</f>
        <v>2</v>
      </c>
      <c r="BA37" s="286">
        <f>'Data-total_employment'!BA37-last_qrtr_totalemp!BB37</f>
        <v>7</v>
      </c>
      <c r="BB37" s="286">
        <f>'Data-total_employment'!BB37-last_qrtr_totalemp!BC37</f>
        <v>0</v>
      </c>
      <c r="BC37" s="286">
        <f>'Data-total_employment'!BC37-last_qrtr_totalemp!BD37</f>
        <v>-3</v>
      </c>
      <c r="BD37" s="286">
        <f>'Data-total_employment'!BD37</f>
        <v>14</v>
      </c>
    </row>
    <row r="38" spans="1:56">
      <c r="A38" s="269">
        <v>35</v>
      </c>
      <c r="B38" s="285" t="s">
        <v>24</v>
      </c>
      <c r="C38" s="286">
        <f>'Data-total_employment'!C38-last_qrtr_totalemp!D38</f>
        <v>157.59999999999854</v>
      </c>
      <c r="D38" s="286">
        <f>'Data-total_employment'!D38-last_qrtr_totalemp!E38</f>
        <v>240.70000000000073</v>
      </c>
      <c r="E38" s="286">
        <f>'Data-total_employment'!E38-last_qrtr_totalemp!F38</f>
        <v>435.39999999999782</v>
      </c>
      <c r="F38" s="286">
        <f>'Data-total_employment'!F38-last_qrtr_totalemp!G38</f>
        <v>463.10000000000218</v>
      </c>
      <c r="G38" s="286">
        <f>'Data-total_employment'!G38-last_qrtr_totalemp!H38</f>
        <v>131.5</v>
      </c>
      <c r="H38" s="286">
        <f>'Data-total_employment'!H38-last_qrtr_totalemp!I38</f>
        <v>268.10000000000218</v>
      </c>
      <c r="I38" s="286">
        <f>'Data-total_employment'!I38-last_qrtr_totalemp!J38</f>
        <v>524.29999999999927</v>
      </c>
      <c r="J38" s="286">
        <f>'Data-total_employment'!J38-last_qrtr_totalemp!K38</f>
        <v>550.39999999999782</v>
      </c>
      <c r="K38" s="286">
        <f>'Data-total_employment'!K38-last_qrtr_totalemp!L38</f>
        <v>57.200000000000728</v>
      </c>
      <c r="L38" s="286">
        <f>'Data-total_employment'!L38</f>
        <v>19156.099999999999</v>
      </c>
      <c r="M38" s="285" t="s">
        <v>24</v>
      </c>
      <c r="N38" s="286">
        <f>'Data-total_employment'!N38-last_qrtr_totalemp!O38</f>
        <v>-9.9999999999999645E-2</v>
      </c>
      <c r="O38" s="286">
        <f>'Data-total_employment'!O38-last_qrtr_totalemp!P38</f>
        <v>9.9999999999999645E-2</v>
      </c>
      <c r="P38" s="286">
        <f>'Data-total_employment'!P38-last_qrtr_totalemp!Q38</f>
        <v>-1.1999999999999993</v>
      </c>
      <c r="Q38" s="286">
        <f>'Data-total_employment'!Q38-last_qrtr_totalemp!R38</f>
        <v>-0.40000000000000036</v>
      </c>
      <c r="R38" s="286">
        <f>'Data-total_employment'!R38-last_qrtr_totalemp!S38</f>
        <v>0.30000000000000071</v>
      </c>
      <c r="S38" s="286">
        <f>'Data-total_employment'!S38-last_qrtr_totalemp!T38</f>
        <v>0.79999999999999893</v>
      </c>
      <c r="T38" s="286">
        <f>'Data-total_employment'!T38-last_qrtr_totalemp!U38</f>
        <v>-1</v>
      </c>
      <c r="U38" s="286">
        <f>'Data-total_employment'!U38-last_qrtr_totalemp!V38</f>
        <v>-0.90000000000000036</v>
      </c>
      <c r="V38" s="286">
        <f>'Data-total_employment'!V38-last_qrtr_totalemp!W38</f>
        <v>-0.39999999999999858</v>
      </c>
      <c r="W38" s="286">
        <f>'Data-total_employment'!W38</f>
        <v>14.9</v>
      </c>
      <c r="X38" s="285" t="s">
        <v>24</v>
      </c>
      <c r="Y38" s="286">
        <f>'Data-total_employment'!Y38-last_qrtr_totalemp!Z38</f>
        <v>0.69999999999999929</v>
      </c>
      <c r="Z38" s="286">
        <f>'Data-total_employment'!Z38-last_qrtr_totalemp!AA38</f>
        <v>0.30000000000000071</v>
      </c>
      <c r="AA38" s="286">
        <f>'Data-total_employment'!AA38-last_qrtr_totalemp!AB38</f>
        <v>0.69999999999999929</v>
      </c>
      <c r="AB38" s="286">
        <f>'Data-total_employment'!AB38-last_qrtr_totalemp!AC38</f>
        <v>0.5</v>
      </c>
      <c r="AC38" s="286">
        <f>'Data-total_employment'!AC38-last_qrtr_totalemp!AD38</f>
        <v>0.80000000000000071</v>
      </c>
      <c r="AD38" s="286">
        <f>'Data-total_employment'!AD38-last_qrtr_totalemp!AE38</f>
        <v>0.5</v>
      </c>
      <c r="AE38" s="286">
        <f>'Data-total_employment'!AE38-last_qrtr_totalemp!AF38</f>
        <v>0.39999999999999858</v>
      </c>
      <c r="AF38" s="286">
        <f>'Data-total_employment'!AF38-last_qrtr_totalemp!AG38</f>
        <v>0.19999999999999929</v>
      </c>
      <c r="AG38" s="286">
        <f>'Data-total_employment'!AG38-last_qrtr_totalemp!AH38</f>
        <v>0.10000000000000142</v>
      </c>
      <c r="AH38" s="286">
        <f>'Data-total_employment'!AH38</f>
        <v>22.7</v>
      </c>
      <c r="AI38" s="279" t="s">
        <v>24</v>
      </c>
      <c r="AJ38" s="286">
        <f>'Data-total_employment'!AJ38-last_qrtr_totalemp!AK38</f>
        <v>0.70000000000000284</v>
      </c>
      <c r="AK38" s="286">
        <f>'Data-total_employment'!AK38-last_qrtr_totalemp!AL38</f>
        <v>1</v>
      </c>
      <c r="AL38" s="286">
        <f>'Data-total_employment'!AL38-last_qrtr_totalemp!AM38</f>
        <v>1.6000000000000014</v>
      </c>
      <c r="AM38" s="286">
        <f>'Data-total_employment'!AM38-last_qrtr_totalemp!AN38</f>
        <v>1.6000000000000014</v>
      </c>
      <c r="AN38" s="286">
        <f>'Data-total_employment'!AN38-last_qrtr_totalemp!AO38</f>
        <v>0.5</v>
      </c>
      <c r="AO38" s="286">
        <f>'Data-total_employment'!AO38-last_qrtr_totalemp!AP38</f>
        <v>0.89999999999999858</v>
      </c>
      <c r="AP38" s="286">
        <f>'Data-total_employment'!AP38-last_qrtr_totalemp!AQ38</f>
        <v>1.6999999999999957</v>
      </c>
      <c r="AQ38" s="286">
        <f>'Data-total_employment'!AQ38-last_qrtr_totalemp!AR38</f>
        <v>1.7000000000000028</v>
      </c>
      <c r="AR38" s="286">
        <f>'Data-total_employment'!AR38-last_qrtr_totalemp!AS38</f>
        <v>0</v>
      </c>
      <c r="AS38" s="286">
        <f>'Data-total_employment'!AS38</f>
        <v>62.5</v>
      </c>
      <c r="AT38" s="279" t="s">
        <v>24</v>
      </c>
      <c r="AU38" s="286">
        <f>'Data-total_employment'!AU38-last_qrtr_totalemp!AV38</f>
        <v>-77</v>
      </c>
      <c r="AV38" s="286">
        <f>'Data-total_employment'!AV38-last_qrtr_totalemp!AW38</f>
        <v>-208</v>
      </c>
      <c r="AW38" s="286">
        <f>'Data-total_employment'!AW38-last_qrtr_totalemp!AX38</f>
        <v>-13</v>
      </c>
      <c r="AX38" s="286">
        <f>'Data-total_employment'!AX38-last_qrtr_totalemp!AY38</f>
        <v>164</v>
      </c>
      <c r="AY38" s="286">
        <f>'Data-total_employment'!AY38-last_qrtr_totalemp!AZ38</f>
        <v>-13</v>
      </c>
      <c r="AZ38" s="286">
        <f>'Data-total_employment'!AZ38-last_qrtr_totalemp!BA38</f>
        <v>-198</v>
      </c>
      <c r="BA38" s="286">
        <f>'Data-total_employment'!BA38-last_qrtr_totalemp!BB38</f>
        <v>83</v>
      </c>
      <c r="BB38" s="286">
        <f>'Data-total_employment'!BB38-last_qrtr_totalemp!BC38</f>
        <v>150</v>
      </c>
      <c r="BC38" s="286">
        <f>'Data-total_employment'!BC38-last_qrtr_totalemp!BD38</f>
        <v>-141</v>
      </c>
      <c r="BD38" s="286">
        <f>'Data-total_employment'!BD38</f>
        <v>681</v>
      </c>
    </row>
    <row r="39" spans="1:56">
      <c r="A39" s="269">
        <v>36</v>
      </c>
      <c r="B39" s="285" t="s">
        <v>42</v>
      </c>
      <c r="C39" s="286">
        <f>'Data-total_employment'!C39-last_qrtr_totalemp!D39</f>
        <v>-20.899999999999636</v>
      </c>
      <c r="D39" s="286">
        <f>'Data-total_employment'!D39-last_qrtr_totalemp!E39</f>
        <v>11.100000000000364</v>
      </c>
      <c r="E39" s="286">
        <f>'Data-total_employment'!E39-last_qrtr_totalemp!F39</f>
        <v>129.5</v>
      </c>
      <c r="F39" s="286">
        <f>'Data-total_employment'!F39-last_qrtr_totalemp!G39</f>
        <v>104.69999999999982</v>
      </c>
      <c r="G39" s="286">
        <f>'Data-total_employment'!G39-last_qrtr_totalemp!H39</f>
        <v>-10.199999999999818</v>
      </c>
      <c r="H39" s="286">
        <f>'Data-total_employment'!H39-last_qrtr_totalemp!I39</f>
        <v>36.400000000000546</v>
      </c>
      <c r="I39" s="286">
        <f>'Data-total_employment'!I39-last_qrtr_totalemp!J39</f>
        <v>170.10000000000036</v>
      </c>
      <c r="J39" s="286">
        <f>'Data-total_employment'!J39-last_qrtr_totalemp!K39</f>
        <v>89.799999999999272</v>
      </c>
      <c r="K39" s="286">
        <f>'Data-total_employment'!K39-last_qrtr_totalemp!L39</f>
        <v>-19.300000000000182</v>
      </c>
      <c r="L39" s="286">
        <f>'Data-total_employment'!L39</f>
        <v>4928.8999999999996</v>
      </c>
      <c r="M39" s="285" t="s">
        <v>42</v>
      </c>
      <c r="N39" s="286">
        <f>'Data-total_employment'!N39-last_qrtr_totalemp!O39</f>
        <v>9.9999999999997868E-2</v>
      </c>
      <c r="O39" s="286">
        <f>'Data-total_employment'!O39-last_qrtr_totalemp!P39</f>
        <v>0.80000000000000071</v>
      </c>
      <c r="P39" s="286">
        <f>'Data-total_employment'!P39-last_qrtr_totalemp!Q39</f>
        <v>-1.5999999999999979</v>
      </c>
      <c r="Q39" s="286">
        <f>'Data-total_employment'!Q39-last_qrtr_totalemp!R39</f>
        <v>-0.80000000000000071</v>
      </c>
      <c r="R39" s="286">
        <f>'Data-total_employment'!R39-last_qrtr_totalemp!S39</f>
        <v>0</v>
      </c>
      <c r="S39" s="286">
        <f>'Data-total_employment'!S39-last_qrtr_totalemp!T39</f>
        <v>0.59999999999999787</v>
      </c>
      <c r="T39" s="286">
        <f>'Data-total_employment'!T39-last_qrtr_totalemp!U39</f>
        <v>-1.5</v>
      </c>
      <c r="U39" s="286">
        <f>'Data-total_employment'!U39-last_qrtr_totalemp!V39</f>
        <v>-0.70000000000000284</v>
      </c>
      <c r="V39" s="286">
        <f>'Data-total_employment'!V39-last_qrtr_totalemp!W39</f>
        <v>0.10000000000000142</v>
      </c>
      <c r="W39" s="286">
        <f>'Data-total_employment'!W39</f>
        <v>23.1</v>
      </c>
      <c r="X39" s="285" t="s">
        <v>42</v>
      </c>
      <c r="Y39" s="286">
        <f>'Data-total_employment'!Y39-last_qrtr_totalemp!Z39</f>
        <v>-9.9999999999999645E-2</v>
      </c>
      <c r="Z39" s="286">
        <f>'Data-total_employment'!Z39-last_qrtr_totalemp!AA39</f>
        <v>-0.29999999999999893</v>
      </c>
      <c r="AA39" s="286">
        <f>'Data-total_employment'!AA39-last_qrtr_totalemp!AB39</f>
        <v>-0.59999999999999964</v>
      </c>
      <c r="AB39" s="286">
        <f>'Data-total_employment'!AB39-last_qrtr_totalemp!AC39</f>
        <v>-0.30000000000000071</v>
      </c>
      <c r="AC39" s="286">
        <f>'Data-total_employment'!AC39-last_qrtr_totalemp!AD39</f>
        <v>9.9999999999999645E-2</v>
      </c>
      <c r="AD39" s="286">
        <f>'Data-total_employment'!AD39-last_qrtr_totalemp!AE39</f>
        <v>0.19999999999999929</v>
      </c>
      <c r="AE39" s="286">
        <f>'Data-total_employment'!AE39-last_qrtr_totalemp!AF39</f>
        <v>0</v>
      </c>
      <c r="AF39" s="286">
        <f>'Data-total_employment'!AF39-last_qrtr_totalemp!AG39</f>
        <v>-0.40000000000000036</v>
      </c>
      <c r="AG39" s="286">
        <f>'Data-total_employment'!AG39-last_qrtr_totalemp!AH39</f>
        <v>-9.9999999999999645E-2</v>
      </c>
      <c r="AH39" s="286">
        <f>'Data-total_employment'!AH39</f>
        <v>14.1</v>
      </c>
      <c r="AI39" s="279" t="s">
        <v>42</v>
      </c>
      <c r="AJ39" s="286">
        <f>'Data-total_employment'!AJ39-last_qrtr_totalemp!AK39</f>
        <v>-0.69999999999998863</v>
      </c>
      <c r="AK39" s="286">
        <f>'Data-total_employment'!AK39-last_qrtr_totalemp!AL39</f>
        <v>-0.20000000000000284</v>
      </c>
      <c r="AL39" s="286">
        <f>'Data-total_employment'!AL39-last_qrtr_totalemp!AM39</f>
        <v>1.7000000000000028</v>
      </c>
      <c r="AM39" s="286">
        <f>'Data-total_employment'!AM39-last_qrtr_totalemp!AN39</f>
        <v>1</v>
      </c>
      <c r="AN39" s="286">
        <f>'Data-total_employment'!AN39-last_qrtr_totalemp!AO39</f>
        <v>-1</v>
      </c>
      <c r="AO39" s="286">
        <f>'Data-total_employment'!AO39-last_qrtr_totalemp!AP39</f>
        <v>-0.20000000000000284</v>
      </c>
      <c r="AP39" s="286">
        <f>'Data-total_employment'!AP39-last_qrtr_totalemp!AQ39</f>
        <v>2.0999999999999943</v>
      </c>
      <c r="AQ39" s="286">
        <f>'Data-total_employment'!AQ39-last_qrtr_totalemp!AR39</f>
        <v>0.89999999999999147</v>
      </c>
      <c r="AR39" s="286">
        <f>'Data-total_employment'!AR39-last_qrtr_totalemp!AS39</f>
        <v>-0.89999999999999147</v>
      </c>
      <c r="AS39" s="286">
        <f>'Data-total_employment'!AS39</f>
        <v>77.8</v>
      </c>
      <c r="AT39" s="279" t="s">
        <v>42</v>
      </c>
      <c r="AU39" s="286">
        <f>'Data-total_employment'!AU39-last_qrtr_totalemp!AV39</f>
        <v>-25</v>
      </c>
      <c r="AV39" s="286">
        <f>'Data-total_employment'!AV39-last_qrtr_totalemp!AW39</f>
        <v>-47</v>
      </c>
      <c r="AW39" s="286">
        <f>'Data-total_employment'!AW39-last_qrtr_totalemp!AX39</f>
        <v>24</v>
      </c>
      <c r="AX39" s="286">
        <f>'Data-total_employment'!AX39-last_qrtr_totalemp!AY39</f>
        <v>27</v>
      </c>
      <c r="AY39" s="286">
        <f>'Data-total_employment'!AY39-last_qrtr_totalemp!AZ39</f>
        <v>-32</v>
      </c>
      <c r="AZ39" s="286">
        <f>'Data-total_employment'!AZ39-last_qrtr_totalemp!BA39</f>
        <v>-27</v>
      </c>
      <c r="BA39" s="286">
        <f>'Data-total_employment'!BA39-last_qrtr_totalemp!BB39</f>
        <v>24</v>
      </c>
      <c r="BB39" s="286">
        <f>'Data-total_employment'!BB39-last_qrtr_totalemp!BC39</f>
        <v>27</v>
      </c>
      <c r="BC39" s="286">
        <f>'Data-total_employment'!BC39-last_qrtr_totalemp!BD39</f>
        <v>-28</v>
      </c>
      <c r="BD39" s="286">
        <f>'Data-total_employment'!BD39</f>
        <v>73</v>
      </c>
    </row>
    <row r="40" spans="1:56">
      <c r="A40" s="269">
        <v>37</v>
      </c>
      <c r="B40" s="285" t="s">
        <v>46</v>
      </c>
      <c r="C40" s="286">
        <f>'Data-total_employment'!C40-last_qrtr_totalemp!D40</f>
        <v>44.899999999999636</v>
      </c>
      <c r="D40" s="286">
        <f>'Data-total_employment'!D40-last_qrtr_totalemp!E40</f>
        <v>58.299999999999272</v>
      </c>
      <c r="E40" s="286">
        <f>'Data-total_employment'!E40-last_qrtr_totalemp!F40</f>
        <v>-1.5</v>
      </c>
      <c r="F40" s="286">
        <f>'Data-total_employment'!F40-last_qrtr_totalemp!G40</f>
        <v>60.699999999999818</v>
      </c>
      <c r="G40" s="286">
        <f>'Data-total_employment'!G40-last_qrtr_totalemp!H40</f>
        <v>12.600000000000364</v>
      </c>
      <c r="H40" s="286">
        <f>'Data-total_employment'!H40-last_qrtr_totalemp!I40</f>
        <v>39.900000000000546</v>
      </c>
      <c r="I40" s="286">
        <f>'Data-total_employment'!I40-last_qrtr_totalemp!J40</f>
        <v>-7.2999999999992724</v>
      </c>
      <c r="J40" s="286">
        <f>'Data-total_employment'!J40-last_qrtr_totalemp!K40</f>
        <v>65.600000000000364</v>
      </c>
      <c r="K40" s="286">
        <f>'Data-total_employment'!K40-last_qrtr_totalemp!L40</f>
        <v>-3.5</v>
      </c>
      <c r="L40" s="286">
        <f>'Data-total_employment'!L40</f>
        <v>4475.8</v>
      </c>
      <c r="M40" s="285" t="s">
        <v>46</v>
      </c>
      <c r="N40" s="286">
        <f>'Data-total_employment'!N40-last_qrtr_totalemp!O40</f>
        <v>0.30000000000000426</v>
      </c>
      <c r="O40" s="286">
        <f>'Data-total_employment'!O40-last_qrtr_totalemp!P40</f>
        <v>1.4000000000000057</v>
      </c>
      <c r="P40" s="286">
        <f>'Data-total_employment'!P40-last_qrtr_totalemp!Q40</f>
        <v>0</v>
      </c>
      <c r="Q40" s="286">
        <f>'Data-total_employment'!Q40-last_qrtr_totalemp!R40</f>
        <v>-0.20000000000000284</v>
      </c>
      <c r="R40" s="286">
        <f>'Data-total_employment'!R40-last_qrtr_totalemp!S40</f>
        <v>0.29999999999999716</v>
      </c>
      <c r="S40" s="286">
        <f>'Data-total_employment'!S40-last_qrtr_totalemp!T40</f>
        <v>0.89999999999999858</v>
      </c>
      <c r="T40" s="286">
        <f>'Data-total_employment'!T40-last_qrtr_totalemp!U40</f>
        <v>-0.60000000000000142</v>
      </c>
      <c r="U40" s="286">
        <f>'Data-total_employment'!U40-last_qrtr_totalemp!V40</f>
        <v>-0.39999999999999858</v>
      </c>
      <c r="V40" s="286">
        <f>'Data-total_employment'!V40-last_qrtr_totalemp!W40</f>
        <v>0</v>
      </c>
      <c r="W40" s="286">
        <f>'Data-total_employment'!W40</f>
        <v>38</v>
      </c>
      <c r="X40" s="285" t="s">
        <v>46</v>
      </c>
      <c r="Y40" s="286">
        <f>'Data-total_employment'!Y40-last_qrtr_totalemp!Z40</f>
        <v>0</v>
      </c>
      <c r="Z40" s="286">
        <f>'Data-total_employment'!Z40-last_qrtr_totalemp!AA40</f>
        <v>-0.30000000000000071</v>
      </c>
      <c r="AA40" s="286">
        <f>'Data-total_employment'!AA40-last_qrtr_totalemp!AB40</f>
        <v>-0.80000000000000071</v>
      </c>
      <c r="AB40" s="286">
        <f>'Data-total_employment'!AB40-last_qrtr_totalemp!AC40</f>
        <v>-9.9999999999999645E-2</v>
      </c>
      <c r="AC40" s="286">
        <f>'Data-total_employment'!AC40-last_qrtr_totalemp!AD40</f>
        <v>0</v>
      </c>
      <c r="AD40" s="286">
        <f>'Data-total_employment'!AD40-last_qrtr_totalemp!AE40</f>
        <v>0.30000000000000071</v>
      </c>
      <c r="AE40" s="286">
        <f>'Data-total_employment'!AE40-last_qrtr_totalemp!AF40</f>
        <v>0</v>
      </c>
      <c r="AF40" s="286">
        <f>'Data-total_employment'!AF40-last_qrtr_totalemp!AG40</f>
        <v>9.9999999999999645E-2</v>
      </c>
      <c r="AG40" s="286">
        <f>'Data-total_employment'!AG40-last_qrtr_totalemp!AH40</f>
        <v>-9.9999999999999645E-2</v>
      </c>
      <c r="AH40" s="286">
        <f>'Data-total_employment'!AH40</f>
        <v>11.5</v>
      </c>
      <c r="AI40" s="279" t="s">
        <v>46</v>
      </c>
      <c r="AJ40" s="286">
        <f>'Data-total_employment'!AJ40-last_qrtr_totalemp!AK40</f>
        <v>0.30000000000001137</v>
      </c>
      <c r="AK40" s="286">
        <f>'Data-total_employment'!AK40-last_qrtr_totalemp!AL40</f>
        <v>0.60000000000000853</v>
      </c>
      <c r="AL40" s="286">
        <f>'Data-total_employment'!AL40-last_qrtr_totalemp!AM40</f>
        <v>-0.29999999999999716</v>
      </c>
      <c r="AM40" s="286">
        <f>'Data-total_employment'!AM40-last_qrtr_totalemp!AN40</f>
        <v>0.79999999999999716</v>
      </c>
      <c r="AN40" s="286">
        <f>'Data-total_employment'!AN40-last_qrtr_totalemp!AO40</f>
        <v>-0.10000000000000853</v>
      </c>
      <c r="AO40" s="286">
        <f>'Data-total_employment'!AO40-last_qrtr_totalemp!AP40</f>
        <v>0.39999999999999147</v>
      </c>
      <c r="AP40" s="286">
        <f>'Data-total_employment'!AP40-last_qrtr_totalemp!AQ40</f>
        <v>-0.29999999999999716</v>
      </c>
      <c r="AQ40" s="286">
        <f>'Data-total_employment'!AQ40-last_qrtr_totalemp!AR40</f>
        <v>0.90000000000000568</v>
      </c>
      <c r="AR40" s="286">
        <f>'Data-total_employment'!AR40-last_qrtr_totalemp!AS40</f>
        <v>-0.39999999999999147</v>
      </c>
      <c r="AS40" s="286">
        <f>'Data-total_employment'!AS40</f>
        <v>79.900000000000006</v>
      </c>
      <c r="AT40" s="279" t="s">
        <v>46</v>
      </c>
      <c r="AU40" s="286">
        <f>'Data-total_employment'!AU40-last_qrtr_totalemp!AV40</f>
        <v>14</v>
      </c>
      <c r="AV40" s="286">
        <f>'Data-total_employment'!AV40-last_qrtr_totalemp!AW40</f>
        <v>4</v>
      </c>
      <c r="AW40" s="286">
        <f>'Data-total_employment'!AW40-last_qrtr_totalemp!AX40</f>
        <v>-9</v>
      </c>
      <c r="AX40" s="286">
        <f>'Data-total_employment'!AX40-last_qrtr_totalemp!AY40</f>
        <v>-1</v>
      </c>
      <c r="AY40" s="286">
        <f>'Data-total_employment'!AY40-last_qrtr_totalemp!AZ40</f>
        <v>13</v>
      </c>
      <c r="AZ40" s="286">
        <f>'Data-total_employment'!AZ40-last_qrtr_totalemp!BA40</f>
        <v>5</v>
      </c>
      <c r="BA40" s="286">
        <f>'Data-total_employment'!BA40-last_qrtr_totalemp!BB40</f>
        <v>-2</v>
      </c>
      <c r="BB40" s="286">
        <f>'Data-total_employment'!BB40-last_qrtr_totalemp!BC40</f>
        <v>-4</v>
      </c>
      <c r="BC40" s="286">
        <f>'Data-total_employment'!BC40-last_qrtr_totalemp!BD40</f>
        <v>-5</v>
      </c>
      <c r="BD40" s="286">
        <f>'Data-total_employment'!BD40</f>
        <v>76</v>
      </c>
    </row>
    <row r="41" spans="1:56">
      <c r="A41" s="269">
        <v>38</v>
      </c>
      <c r="B41" s="285" t="s">
        <v>47</v>
      </c>
      <c r="C41" s="286">
        <f>'Data-total_employment'!C41-last_qrtr_totalemp!D41</f>
        <v>-607.30000000000291</v>
      </c>
      <c r="D41" s="286">
        <f>'Data-total_employment'!D41-last_qrtr_totalemp!E41</f>
        <v>677</v>
      </c>
      <c r="E41" s="286">
        <f>'Data-total_employment'!E41-last_qrtr_totalemp!F41</f>
        <v>794.19999999999709</v>
      </c>
      <c r="F41" s="286">
        <f>'Data-total_employment'!F41-last_qrtr_totalemp!G41</f>
        <v>612.5</v>
      </c>
      <c r="G41" s="286">
        <f>'Data-total_employment'!G41-last_qrtr_totalemp!H41</f>
        <v>-934.70000000000073</v>
      </c>
      <c r="H41" s="286">
        <f>'Data-total_employment'!H41-last_qrtr_totalemp!I41</f>
        <v>946</v>
      </c>
      <c r="I41" s="286">
        <f>'Data-total_employment'!I41-last_qrtr_totalemp!J41</f>
        <v>1662.8000000000029</v>
      </c>
      <c r="J41" s="286">
        <f>'Data-total_employment'!J41-last_qrtr_totalemp!K41</f>
        <v>1558.7999999999993</v>
      </c>
      <c r="K41" s="286">
        <f>'Data-total_employment'!K41-last_qrtr_totalemp!L41</f>
        <v>-353.29999999999927</v>
      </c>
      <c r="L41" s="286">
        <f>'Data-total_employment'!L41</f>
        <v>28275</v>
      </c>
      <c r="M41" s="285" t="s">
        <v>47</v>
      </c>
      <c r="N41" s="286">
        <f>'Data-total_employment'!N41-last_qrtr_totalemp!O41</f>
        <v>0.30000000000000071</v>
      </c>
      <c r="O41" s="286">
        <f>'Data-total_employment'!O41-last_qrtr_totalemp!P41</f>
        <v>1.1999999999999993</v>
      </c>
      <c r="P41" s="286">
        <f>'Data-total_employment'!P41-last_qrtr_totalemp!Q41</f>
        <v>-1.4000000000000004</v>
      </c>
      <c r="Q41" s="286">
        <f>'Data-total_employment'!Q41-last_qrtr_totalemp!R41</f>
        <v>-0.59999999999999964</v>
      </c>
      <c r="R41" s="286">
        <f>'Data-total_employment'!R41-last_qrtr_totalemp!S41</f>
        <v>0.5</v>
      </c>
      <c r="S41" s="286">
        <f>'Data-total_employment'!S41-last_qrtr_totalemp!T41</f>
        <v>2</v>
      </c>
      <c r="T41" s="286">
        <f>'Data-total_employment'!T41-last_qrtr_totalemp!U41</f>
        <v>-1.5</v>
      </c>
      <c r="U41" s="286">
        <f>'Data-total_employment'!U41-last_qrtr_totalemp!V41</f>
        <v>-0.5</v>
      </c>
      <c r="V41" s="286">
        <f>'Data-total_employment'!V41-last_qrtr_totalemp!W41</f>
        <v>1.1000000000000014</v>
      </c>
      <c r="W41" s="286">
        <f>'Data-total_employment'!W41</f>
        <v>10.4</v>
      </c>
      <c r="X41" s="285" t="s">
        <v>47</v>
      </c>
      <c r="Y41" s="286">
        <f>'Data-total_employment'!Y41-last_qrtr_totalemp!Z41</f>
        <v>0.40000000000000036</v>
      </c>
      <c r="Z41" s="286">
        <f>'Data-total_employment'!Z41-last_qrtr_totalemp!AA41</f>
        <v>0.69999999999999929</v>
      </c>
      <c r="AA41" s="286">
        <f>'Data-total_employment'!AA41-last_qrtr_totalemp!AB41</f>
        <v>-0.60000000000000142</v>
      </c>
      <c r="AB41" s="286">
        <f>'Data-total_employment'!AB41-last_qrtr_totalemp!AC41</f>
        <v>-0.70000000000000107</v>
      </c>
      <c r="AC41" s="286">
        <f>'Data-total_employment'!AC41-last_qrtr_totalemp!AD41</f>
        <v>-0.90000000000000036</v>
      </c>
      <c r="AD41" s="286">
        <f>'Data-total_employment'!AD41-last_qrtr_totalemp!AE41</f>
        <v>0.40000000000000036</v>
      </c>
      <c r="AE41" s="286">
        <f>'Data-total_employment'!AE41-last_qrtr_totalemp!AF41</f>
        <v>0.40000000000000036</v>
      </c>
      <c r="AF41" s="286">
        <f>'Data-total_employment'!AF41-last_qrtr_totalemp!AG41</f>
        <v>0.69999999999999929</v>
      </c>
      <c r="AG41" s="286">
        <f>'Data-total_employment'!AG41-last_qrtr_totalemp!AH41</f>
        <v>0.29999999999999893</v>
      </c>
      <c r="AH41" s="286">
        <f>'Data-total_employment'!AH41</f>
        <v>8.4</v>
      </c>
      <c r="AI41" s="279" t="s">
        <v>47</v>
      </c>
      <c r="AJ41" s="286">
        <f>'Data-total_employment'!AJ41-last_qrtr_totalemp!AK41</f>
        <v>-1.7000000000000028</v>
      </c>
      <c r="AK41" s="286">
        <f>'Data-total_employment'!AK41-last_qrtr_totalemp!AL41</f>
        <v>0.89999999999999858</v>
      </c>
      <c r="AL41" s="286">
        <f>'Data-total_employment'!AL41-last_qrtr_totalemp!AM41</f>
        <v>1.1000000000000014</v>
      </c>
      <c r="AM41" s="286">
        <f>'Data-total_employment'!AM41-last_qrtr_totalemp!AN41</f>
        <v>0.70000000000000284</v>
      </c>
      <c r="AN41" s="286">
        <f>'Data-total_employment'!AN41-last_qrtr_totalemp!AO41</f>
        <v>-2.5</v>
      </c>
      <c r="AO41" s="286">
        <f>'Data-total_employment'!AO41-last_qrtr_totalemp!AP41</f>
        <v>1.1000000000000014</v>
      </c>
      <c r="AP41" s="286">
        <f>'Data-total_employment'!AP41-last_qrtr_totalemp!AQ41</f>
        <v>2.5</v>
      </c>
      <c r="AQ41" s="286">
        <f>'Data-total_employment'!AQ41-last_qrtr_totalemp!AR41</f>
        <v>2.3999999999999986</v>
      </c>
      <c r="AR41" s="286">
        <f>'Data-total_employment'!AR41-last_qrtr_totalemp!AS41</f>
        <v>-1.1000000000000014</v>
      </c>
      <c r="AS41" s="286">
        <f>'Data-total_employment'!AS41</f>
        <v>52.7</v>
      </c>
      <c r="AT41" s="279" t="s">
        <v>47</v>
      </c>
      <c r="AU41" s="286">
        <f>'Data-total_employment'!AU41-last_qrtr_totalemp!AV41</f>
        <v>-202</v>
      </c>
      <c r="AV41" s="286">
        <f>'Data-total_employment'!AV41-last_qrtr_totalemp!AW41</f>
        <v>65</v>
      </c>
      <c r="AW41" s="286">
        <f>'Data-total_employment'!AW41-last_qrtr_totalemp!AX41</f>
        <v>55</v>
      </c>
      <c r="AX41" s="286">
        <f>'Data-total_employment'!AX41-last_qrtr_totalemp!AY41</f>
        <v>-130</v>
      </c>
      <c r="AY41" s="286">
        <f>'Data-total_employment'!AY41-last_qrtr_totalemp!AZ41</f>
        <v>-19</v>
      </c>
      <c r="AZ41" s="286">
        <f>'Data-total_employment'!AZ41-last_qrtr_totalemp!BA41</f>
        <v>128</v>
      </c>
      <c r="BA41" s="286">
        <f>'Data-total_employment'!BA41-last_qrtr_totalemp!BB41</f>
        <v>377</v>
      </c>
      <c r="BB41" s="286">
        <f>'Data-total_employment'!BB41-last_qrtr_totalemp!BC41</f>
        <v>35</v>
      </c>
      <c r="BC41" s="286">
        <f>'Data-total_employment'!BC41-last_qrtr_totalemp!BD41</f>
        <v>-319</v>
      </c>
      <c r="BD41" s="286">
        <f>'Data-total_employment'!BD41</f>
        <v>973</v>
      </c>
    </row>
    <row r="42" spans="1:56">
      <c r="A42" s="269">
        <v>39</v>
      </c>
      <c r="B42" s="285" t="s">
        <v>43</v>
      </c>
      <c r="C42" s="286">
        <f>'Data-total_employment'!C42-last_qrtr_totalemp!D42</f>
        <v>400.09999999999854</v>
      </c>
      <c r="D42" s="286">
        <f>'Data-total_employment'!D42-last_qrtr_totalemp!E42</f>
        <v>219.10000000000218</v>
      </c>
      <c r="E42" s="286">
        <f>'Data-total_employment'!E42-last_qrtr_totalemp!F42</f>
        <v>214.39999999999782</v>
      </c>
      <c r="F42" s="286">
        <f>'Data-total_employment'!F42-last_qrtr_totalemp!G42</f>
        <v>387.5</v>
      </c>
      <c r="G42" s="286">
        <f>'Data-total_employment'!G42-last_qrtr_totalemp!H42</f>
        <v>236.5</v>
      </c>
      <c r="H42" s="286">
        <f>'Data-total_employment'!H42-last_qrtr_totalemp!I42</f>
        <v>223.70000000000073</v>
      </c>
      <c r="I42" s="286">
        <f>'Data-total_employment'!I42-last_qrtr_totalemp!J42</f>
        <v>239.10000000000218</v>
      </c>
      <c r="J42" s="286">
        <f>'Data-total_employment'!J42-last_qrtr_totalemp!K42</f>
        <v>368.5</v>
      </c>
      <c r="K42" s="286">
        <f>'Data-total_employment'!K42-last_qrtr_totalemp!L42</f>
        <v>265.40000000000146</v>
      </c>
      <c r="L42" s="286">
        <f>'Data-total_employment'!L42</f>
        <v>31011.599999999999</v>
      </c>
      <c r="M42" s="285" t="s">
        <v>43</v>
      </c>
      <c r="N42" s="286">
        <f>'Data-total_employment'!N42-last_qrtr_totalemp!O42</f>
        <v>0.10000000000000142</v>
      </c>
      <c r="O42" s="286">
        <f>'Data-total_employment'!O42-last_qrtr_totalemp!P42</f>
        <v>0.10000000000000142</v>
      </c>
      <c r="P42" s="286">
        <f>'Data-total_employment'!P42-last_qrtr_totalemp!Q42</f>
        <v>0</v>
      </c>
      <c r="Q42" s="286">
        <f>'Data-total_employment'!Q42-last_qrtr_totalemp!R42</f>
        <v>-0.19999999999999929</v>
      </c>
      <c r="R42" s="286">
        <f>'Data-total_employment'!R42-last_qrtr_totalemp!S42</f>
        <v>-0.40000000000000213</v>
      </c>
      <c r="S42" s="286">
        <f>'Data-total_employment'!S42-last_qrtr_totalemp!T42</f>
        <v>-0.20000000000000284</v>
      </c>
      <c r="T42" s="286">
        <f>'Data-total_employment'!T42-last_qrtr_totalemp!U42</f>
        <v>-0.20000000000000284</v>
      </c>
      <c r="U42" s="286">
        <f>'Data-total_employment'!U42-last_qrtr_totalemp!V42</f>
        <v>-9.9999999999997868E-2</v>
      </c>
      <c r="V42" s="286">
        <f>'Data-total_employment'!V42-last_qrtr_totalemp!W42</f>
        <v>0</v>
      </c>
      <c r="W42" s="286">
        <f>'Data-total_employment'!W42</f>
        <v>24.6</v>
      </c>
      <c r="X42" s="285" t="s">
        <v>43</v>
      </c>
      <c r="Y42" s="286">
        <f>'Data-total_employment'!Y42-last_qrtr_totalemp!Z42</f>
        <v>-0.10000000000000053</v>
      </c>
      <c r="Z42" s="286">
        <f>'Data-total_employment'!Z42-last_qrtr_totalemp!AA42</f>
        <v>0</v>
      </c>
      <c r="AA42" s="286">
        <f>'Data-total_employment'!AA42-last_qrtr_totalemp!AB42</f>
        <v>-9.9999999999999645E-2</v>
      </c>
      <c r="AB42" s="286">
        <f>'Data-total_employment'!AB42-last_qrtr_totalemp!AC42</f>
        <v>-9.9999999999999645E-2</v>
      </c>
      <c r="AC42" s="286">
        <f>'Data-total_employment'!AC42-last_qrtr_totalemp!AD42</f>
        <v>-0.29999999999999982</v>
      </c>
      <c r="AD42" s="286">
        <f>'Data-total_employment'!AD42-last_qrtr_totalemp!AE42</f>
        <v>-9.9999999999999645E-2</v>
      </c>
      <c r="AE42" s="286">
        <f>'Data-total_employment'!AE42-last_qrtr_totalemp!AF42</f>
        <v>-9.9999999999999645E-2</v>
      </c>
      <c r="AF42" s="286">
        <f>'Data-total_employment'!AF42-last_qrtr_totalemp!AG42</f>
        <v>-0.20000000000000018</v>
      </c>
      <c r="AG42" s="286">
        <f>'Data-total_employment'!AG42-last_qrtr_totalemp!AH42</f>
        <v>-0.10000000000000053</v>
      </c>
      <c r="AH42" s="286">
        <f>'Data-total_employment'!AH42</f>
        <v>4.7</v>
      </c>
      <c r="AI42" s="279" t="s">
        <v>43</v>
      </c>
      <c r="AJ42" s="286">
        <f>'Data-total_employment'!AJ42-last_qrtr_totalemp!AK42</f>
        <v>0.79999999999999716</v>
      </c>
      <c r="AK42" s="286">
        <f>'Data-total_employment'!AK42-last_qrtr_totalemp!AL42</f>
        <v>0.5</v>
      </c>
      <c r="AL42" s="286">
        <f>'Data-total_employment'!AL42-last_qrtr_totalemp!AM42</f>
        <v>0.40000000000000568</v>
      </c>
      <c r="AM42" s="286">
        <f>'Data-total_employment'!AM42-last_qrtr_totalemp!AN42</f>
        <v>0.70000000000000284</v>
      </c>
      <c r="AN42" s="286">
        <f>'Data-total_employment'!AN42-last_qrtr_totalemp!AO42</f>
        <v>0.29999999999999716</v>
      </c>
      <c r="AO42" s="286">
        <f>'Data-total_employment'!AO42-last_qrtr_totalemp!AP42</f>
        <v>0.39999999999999147</v>
      </c>
      <c r="AP42" s="286">
        <f>'Data-total_employment'!AP42-last_qrtr_totalemp!AQ42</f>
        <v>0.40000000000000568</v>
      </c>
      <c r="AQ42" s="286">
        <f>'Data-total_employment'!AQ42-last_qrtr_totalemp!AR42</f>
        <v>0.79999999999999716</v>
      </c>
      <c r="AR42" s="286">
        <f>'Data-total_employment'!AR42-last_qrtr_totalemp!AS42</f>
        <v>0.5</v>
      </c>
      <c r="AS42" s="286">
        <f>'Data-total_employment'!AS42</f>
        <v>74.599999999999994</v>
      </c>
      <c r="AT42" s="279" t="s">
        <v>43</v>
      </c>
      <c r="AU42" s="286">
        <f>'Data-total_employment'!AU42-last_qrtr_totalemp!AV42</f>
        <v>100</v>
      </c>
      <c r="AV42" s="286">
        <f>'Data-total_employment'!AV42-last_qrtr_totalemp!AW42</f>
        <v>-95</v>
      </c>
      <c r="AW42" s="286">
        <f>'Data-total_employment'!AW42-last_qrtr_totalemp!AX42</f>
        <v>-113</v>
      </c>
      <c r="AX42" s="286">
        <f>'Data-total_employment'!AX42-last_qrtr_totalemp!AY42</f>
        <v>-14</v>
      </c>
      <c r="AY42" s="286">
        <f>'Data-total_employment'!AY42-last_qrtr_totalemp!AZ42</f>
        <v>58</v>
      </c>
      <c r="AZ42" s="286">
        <f>'Data-total_employment'!AZ42-last_qrtr_totalemp!BA42</f>
        <v>24</v>
      </c>
      <c r="BA42" s="286">
        <f>'Data-total_employment'!BA42-last_qrtr_totalemp!BB42</f>
        <v>-76</v>
      </c>
      <c r="BB42" s="286">
        <f>'Data-total_employment'!BB42-last_qrtr_totalemp!BC42</f>
        <v>-37</v>
      </c>
      <c r="BC42" s="286">
        <f>'Data-total_employment'!BC42-last_qrtr_totalemp!BD42</f>
        <v>16</v>
      </c>
      <c r="BD42" s="286">
        <f>'Data-total_employment'!BD42</f>
        <v>247</v>
      </c>
    </row>
    <row r="43" spans="1:56">
      <c r="M43" s="271"/>
      <c r="Y43" s="271"/>
      <c r="Z43" s="271"/>
      <c r="AA43" s="271"/>
      <c r="AB43" s="271"/>
      <c r="AC43" s="271"/>
      <c r="AD43" s="271"/>
      <c r="AE43" s="271"/>
      <c r="AF43" s="271"/>
      <c r="AG43" s="271"/>
      <c r="AH43" s="271"/>
    </row>
    <row r="44" spans="1:56">
      <c r="M44" s="271"/>
      <c r="Y44" s="271"/>
      <c r="Z44" s="271"/>
      <c r="AA44" s="271"/>
      <c r="AB44" s="271"/>
      <c r="AC44" s="271"/>
      <c r="AD44" s="271"/>
      <c r="AE44" s="271"/>
      <c r="AF44" s="271"/>
      <c r="AG44" s="271"/>
      <c r="AH44" s="271"/>
    </row>
    <row r="45" spans="1:56">
      <c r="M45" s="271"/>
      <c r="Y45" s="271"/>
      <c r="Z45" s="271"/>
      <c r="AA45" s="271"/>
      <c r="AB45" s="271"/>
      <c r="AC45" s="271"/>
      <c r="AD45" s="271"/>
      <c r="AE45" s="271"/>
      <c r="AF45" s="271"/>
      <c r="AG45" s="271"/>
      <c r="AH45" s="271"/>
    </row>
    <row r="46" spans="1:56">
      <c r="B46" s="285" t="str">
        <f>B3</f>
        <v>GEO/TIME</v>
      </c>
      <c r="C46" s="285" t="str">
        <f t="shared" ref="C46:L46" si="0">C3</f>
        <v>2016Q1</v>
      </c>
      <c r="D46" s="285" t="str">
        <f t="shared" si="0"/>
        <v>2016Q2</v>
      </c>
      <c r="E46" s="285" t="str">
        <f t="shared" si="0"/>
        <v>2016Q3</v>
      </c>
      <c r="F46" s="285" t="str">
        <f t="shared" si="0"/>
        <v>2016Q4</v>
      </c>
      <c r="G46" s="285" t="str">
        <f t="shared" si="0"/>
        <v>2017Q1</v>
      </c>
      <c r="H46" s="285" t="str">
        <f t="shared" si="0"/>
        <v>2017Q2</v>
      </c>
      <c r="I46" s="285" t="str">
        <f t="shared" si="0"/>
        <v>2017Q3</v>
      </c>
      <c r="J46" s="285" t="str">
        <f t="shared" si="0"/>
        <v>2017Q4</v>
      </c>
      <c r="K46" s="285" t="str">
        <f t="shared" si="0"/>
        <v>2018Q1</v>
      </c>
      <c r="L46" s="285" t="str">
        <f t="shared" si="0"/>
        <v>2018Q2</v>
      </c>
      <c r="M46" s="271"/>
      <c r="Y46" s="271"/>
      <c r="Z46" s="271"/>
      <c r="AA46" s="271"/>
      <c r="AB46" s="271"/>
      <c r="AC46" s="271"/>
      <c r="AD46" s="271"/>
      <c r="AE46" s="271"/>
      <c r="AF46" s="271"/>
      <c r="AG46" s="271"/>
      <c r="AH46" s="271"/>
    </row>
    <row r="47" spans="1:56">
      <c r="B47" s="285" t="str">
        <f>B4</f>
        <v>European Union (28 countries)</v>
      </c>
      <c r="G47" s="273">
        <f>G4/C4-1</f>
        <v>-0.78499100974731795</v>
      </c>
      <c r="H47" s="273">
        <f t="shared" ref="H47:L62" si="1">H4/D4-1</f>
        <v>0.12989585330012177</v>
      </c>
      <c r="I47" s="273">
        <f t="shared" si="1"/>
        <v>0.13485139730888651</v>
      </c>
      <c r="J47" s="273">
        <f t="shared" si="1"/>
        <v>0.10917345439978332</v>
      </c>
      <c r="K47" s="273">
        <f t="shared" si="1"/>
        <v>-1.0510563380281921</v>
      </c>
      <c r="L47" s="273">
        <f>L4/H4-1</f>
        <v>125.93627007464417</v>
      </c>
      <c r="M47" s="271"/>
      <c r="Y47" s="271"/>
      <c r="Z47" s="271"/>
      <c r="AA47" s="271"/>
      <c r="AB47" s="271"/>
      <c r="AC47" s="271"/>
      <c r="AD47" s="271"/>
      <c r="AE47" s="271"/>
      <c r="AF47" s="271"/>
      <c r="AG47" s="271"/>
      <c r="AH47" s="271"/>
    </row>
    <row r="48" spans="1:56">
      <c r="B48" s="285" t="str">
        <f t="shared" ref="B48:B85" si="2">B5</f>
        <v>European Union (27 countries)</v>
      </c>
      <c r="G48" s="273">
        <f t="shared" ref="G48:L63" si="3">G5/C5-1</f>
        <v>-0.74594692509736571</v>
      </c>
      <c r="H48" s="273">
        <f t="shared" si="1"/>
        <v>0.11440677966101243</v>
      </c>
      <c r="I48" s="273">
        <f t="shared" si="1"/>
        <v>0.12478941034898239</v>
      </c>
      <c r="J48" s="273">
        <f t="shared" si="1"/>
        <v>9.744516686001381E-2</v>
      </c>
      <c r="K48" s="273">
        <f t="shared" si="1"/>
        <v>-0.97040998217472951</v>
      </c>
      <c r="L48" s="273">
        <f t="shared" si="1"/>
        <v>125.45701152034462</v>
      </c>
      <c r="M48" s="271"/>
      <c r="Y48" s="271"/>
      <c r="Z48" s="271"/>
      <c r="AA48" s="271"/>
      <c r="AB48" s="271"/>
      <c r="AC48" s="271"/>
      <c r="AD48" s="271"/>
      <c r="AE48" s="271"/>
      <c r="AF48" s="271"/>
      <c r="AG48" s="271"/>
      <c r="AH48" s="271"/>
    </row>
    <row r="49" spans="2:34">
      <c r="B49" s="285" t="str">
        <f t="shared" si="2"/>
        <v>European Union (15 countries)</v>
      </c>
      <c r="G49" s="273">
        <f t="shared" si="3"/>
        <v>-0.75322101090187998</v>
      </c>
      <c r="H49" s="273">
        <f t="shared" si="1"/>
        <v>-0.39949241506604438</v>
      </c>
      <c r="I49" s="273">
        <f t="shared" si="1"/>
        <v>-5.183475338606558E-2</v>
      </c>
      <c r="J49" s="273">
        <f t="shared" si="1"/>
        <v>0.16390384683068082</v>
      </c>
      <c r="K49" s="273">
        <f t="shared" si="1"/>
        <v>0.59695926563397106</v>
      </c>
      <c r="L49" s="273">
        <f t="shared" si="1"/>
        <v>170.48784939006723</v>
      </c>
      <c r="M49" s="271"/>
      <c r="Y49" s="271"/>
      <c r="Z49" s="271"/>
      <c r="AA49" s="271"/>
      <c r="AB49" s="271"/>
      <c r="AC49" s="271"/>
      <c r="AD49" s="271"/>
      <c r="AE49" s="271"/>
      <c r="AF49" s="271"/>
      <c r="AG49" s="271"/>
      <c r="AH49" s="271"/>
    </row>
    <row r="50" spans="2:34">
      <c r="B50" s="285" t="str">
        <f t="shared" si="2"/>
        <v>Euro area (19 countries)</v>
      </c>
      <c r="G50" s="273">
        <f t="shared" si="3"/>
        <v>-0.81740356531370884</v>
      </c>
      <c r="H50" s="273">
        <f t="shared" si="1"/>
        <v>-0.41149732620321244</v>
      </c>
      <c r="I50" s="273">
        <f t="shared" si="1"/>
        <v>-5.1409618573795224E-2</v>
      </c>
      <c r="J50" s="273">
        <f t="shared" si="1"/>
        <v>0.19838303404566071</v>
      </c>
      <c r="K50" s="273">
        <f t="shared" si="1"/>
        <v>0.83287369001646705</v>
      </c>
      <c r="L50" s="273">
        <f t="shared" si="1"/>
        <v>165.65697410268169</v>
      </c>
      <c r="X50" s="278" t="s">
        <v>0</v>
      </c>
      <c r="Y50" s="298" t="s">
        <v>536</v>
      </c>
    </row>
    <row r="51" spans="2:34">
      <c r="B51" s="285" t="str">
        <f t="shared" si="2"/>
        <v>Euro area (18 countries)</v>
      </c>
      <c r="G51" s="273">
        <f t="shared" si="3"/>
        <v>-0.78727512958632739</v>
      </c>
      <c r="H51" s="273">
        <f t="shared" si="1"/>
        <v>-0.3974566007266902</v>
      </c>
      <c r="I51" s="273">
        <f t="shared" si="1"/>
        <v>-4.2604134995452458E-2</v>
      </c>
      <c r="J51" s="273">
        <f t="shared" si="1"/>
        <v>0.19703510629630805</v>
      </c>
      <c r="K51" s="273">
        <f t="shared" si="1"/>
        <v>0.66220735785936524</v>
      </c>
      <c r="L51" s="273">
        <f t="shared" si="1"/>
        <v>161.37431602456729</v>
      </c>
      <c r="X51" s="269">
        <v>24</v>
      </c>
      <c r="Y51" s="277">
        <v>25</v>
      </c>
      <c r="Z51" s="277">
        <v>26</v>
      </c>
      <c r="AA51" s="277">
        <v>27</v>
      </c>
      <c r="AB51" s="277">
        <v>28</v>
      </c>
      <c r="AC51" s="277">
        <v>29</v>
      </c>
      <c r="AD51" s="277">
        <v>30</v>
      </c>
      <c r="AE51" s="277">
        <v>31</v>
      </c>
      <c r="AF51" s="277">
        <v>32</v>
      </c>
      <c r="AG51" s="277">
        <v>33</v>
      </c>
      <c r="AH51" s="277">
        <v>34</v>
      </c>
    </row>
    <row r="52" spans="2:34">
      <c r="B52" s="285" t="str">
        <f t="shared" si="2"/>
        <v>Euro area (17 countries)</v>
      </c>
      <c r="G52" s="273">
        <f t="shared" si="3"/>
        <v>-0.77222445695896891</v>
      </c>
      <c r="H52" s="273">
        <f t="shared" si="1"/>
        <v>-0.39768003218453007</v>
      </c>
      <c r="I52" s="273">
        <f t="shared" si="1"/>
        <v>-4.9482817413710078E-2</v>
      </c>
      <c r="J52" s="273">
        <f t="shared" si="1"/>
        <v>0.18897028897028423</v>
      </c>
      <c r="K52" s="273">
        <f t="shared" si="1"/>
        <v>0.51876379690949226</v>
      </c>
      <c r="L52" s="273">
        <f t="shared" si="1"/>
        <v>159.89457864856047</v>
      </c>
      <c r="X52" s="279" t="s">
        <v>1</v>
      </c>
      <c r="Y52" s="285" t="s">
        <v>8</v>
      </c>
      <c r="Z52" s="285" t="s">
        <v>9</v>
      </c>
      <c r="AA52" s="285" t="s">
        <v>10</v>
      </c>
      <c r="AB52" s="285" t="s">
        <v>58</v>
      </c>
      <c r="AC52" s="285" t="s">
        <v>325</v>
      </c>
      <c r="AD52" s="285" t="s">
        <v>384</v>
      </c>
      <c r="AE52" s="285" t="s">
        <v>409</v>
      </c>
      <c r="AF52" s="285" t="s">
        <v>436</v>
      </c>
      <c r="AG52" s="285" t="s">
        <v>445</v>
      </c>
      <c r="AH52" s="285" t="s">
        <v>545</v>
      </c>
    </row>
    <row r="53" spans="2:34">
      <c r="B53" s="285" t="str">
        <f t="shared" si="2"/>
        <v>Austria</v>
      </c>
      <c r="G53" s="273">
        <f t="shared" si="3"/>
        <v>-2.2879581151831929</v>
      </c>
      <c r="H53" s="273">
        <f t="shared" si="1"/>
        <v>-2.6250000000000102</v>
      </c>
      <c r="I53" s="273">
        <f t="shared" si="1"/>
        <v>-0.39534883720930236</v>
      </c>
      <c r="J53" s="273">
        <f t="shared" si="1"/>
        <v>7.564766839378434E-2</v>
      </c>
      <c r="K53" s="273">
        <f t="shared" si="1"/>
        <v>-0.50406504065040292</v>
      </c>
      <c r="L53" s="273">
        <f t="shared" si="1"/>
        <v>-233.97252747252983</v>
      </c>
      <c r="X53" s="279" t="s">
        <v>11</v>
      </c>
      <c r="Y53" s="285">
        <v>11.8</v>
      </c>
      <c r="Z53" s="285">
        <v>11.9</v>
      </c>
      <c r="AA53" s="285">
        <v>12</v>
      </c>
      <c r="AB53" s="285">
        <v>12</v>
      </c>
      <c r="AC53" s="285">
        <v>12</v>
      </c>
      <c r="AD53" s="285">
        <v>12.1</v>
      </c>
      <c r="AE53" s="285">
        <v>12</v>
      </c>
      <c r="AF53" s="285">
        <v>12.1</v>
      </c>
      <c r="AG53" s="285">
        <v>12.1</v>
      </c>
      <c r="AH53" s="285">
        <v>12.2</v>
      </c>
    </row>
    <row r="54" spans="2:34">
      <c r="B54" s="285" t="str">
        <f t="shared" si="2"/>
        <v>Belgium</v>
      </c>
      <c r="G54" s="273">
        <f t="shared" si="3"/>
        <v>-0.87394957983193378</v>
      </c>
      <c r="H54" s="273">
        <f t="shared" si="1"/>
        <v>37.444444444460387</v>
      </c>
      <c r="I54" s="273">
        <f t="shared" si="1"/>
        <v>-2.2146341463414903</v>
      </c>
      <c r="J54" s="273">
        <f t="shared" si="1"/>
        <v>4.6647230320703725E-2</v>
      </c>
      <c r="K54" s="315">
        <f t="shared" si="1"/>
        <v>30.533333333333456</v>
      </c>
      <c r="L54" s="315">
        <f t="shared" si="1"/>
        <v>133.1994219653165</v>
      </c>
      <c r="X54" s="279" t="s">
        <v>12</v>
      </c>
      <c r="Y54" s="285">
        <v>11.8</v>
      </c>
      <c r="Z54" s="285">
        <v>11.9</v>
      </c>
      <c r="AA54" s="285">
        <v>12</v>
      </c>
      <c r="AB54" s="285">
        <v>11.9</v>
      </c>
      <c r="AC54" s="285">
        <v>12</v>
      </c>
      <c r="AD54" s="285">
        <v>12</v>
      </c>
      <c r="AE54" s="285">
        <v>12</v>
      </c>
      <c r="AF54" s="285">
        <v>12</v>
      </c>
      <c r="AG54" s="285">
        <v>12.1</v>
      </c>
      <c r="AH54" s="285">
        <v>12.1</v>
      </c>
    </row>
    <row r="55" spans="2:34">
      <c r="B55" s="285" t="str">
        <f t="shared" si="2"/>
        <v>Bulgaria</v>
      </c>
      <c r="G55" s="273">
        <f t="shared" si="3"/>
        <v>-0.88059701492537934</v>
      </c>
      <c r="H55" s="273">
        <f t="shared" si="1"/>
        <v>-2.4555555555555584</v>
      </c>
      <c r="I55" s="273">
        <f t="shared" si="1"/>
        <v>-18.399999999999991</v>
      </c>
      <c r="J55" s="273">
        <f t="shared" si="1"/>
        <v>3.6616541353383614</v>
      </c>
      <c r="K55" s="315">
        <f t="shared" si="1"/>
        <v>13.395833333334133</v>
      </c>
      <c r="L55" s="274">
        <f>L12/H12-1</f>
        <v>28.372137404580101</v>
      </c>
      <c r="X55" s="279" t="s">
        <v>13</v>
      </c>
      <c r="Y55" s="285">
        <v>11.8</v>
      </c>
      <c r="Z55" s="285">
        <v>11.9</v>
      </c>
      <c r="AA55" s="285">
        <v>12</v>
      </c>
      <c r="AB55" s="285">
        <v>12</v>
      </c>
      <c r="AC55" s="285">
        <v>12</v>
      </c>
      <c r="AD55" s="285">
        <v>12.1</v>
      </c>
      <c r="AE55" s="285">
        <v>12.1</v>
      </c>
      <c r="AF55" s="285">
        <v>12.2</v>
      </c>
      <c r="AG55" s="285">
        <v>12.3</v>
      </c>
      <c r="AH55" s="285">
        <v>12.4</v>
      </c>
    </row>
    <row r="56" spans="2:34">
      <c r="B56" s="285" t="str">
        <f t="shared" si="2"/>
        <v>Croatia</v>
      </c>
      <c r="G56" s="273">
        <f t="shared" si="3"/>
        <v>0.12210526315789383</v>
      </c>
      <c r="H56" s="273">
        <f t="shared" si="1"/>
        <v>-1.3888888888888851</v>
      </c>
      <c r="I56" s="273">
        <f t="shared" si="1"/>
        <v>0.71951219512194919</v>
      </c>
      <c r="J56" s="273">
        <f t="shared" si="1"/>
        <v>1.2566137566137581</v>
      </c>
      <c r="K56" s="315">
        <f t="shared" si="1"/>
        <v>-0.62664165103189717</v>
      </c>
      <c r="L56" s="315">
        <f t="shared" si="1"/>
        <v>259.98412698412886</v>
      </c>
      <c r="X56" s="279" t="s">
        <v>14</v>
      </c>
      <c r="Y56" s="285">
        <v>12.9</v>
      </c>
      <c r="Z56" s="285">
        <v>13.1</v>
      </c>
      <c r="AA56" s="285">
        <v>13.2</v>
      </c>
      <c r="AB56" s="285">
        <v>13.2</v>
      </c>
      <c r="AC56" s="285">
        <v>13.1</v>
      </c>
      <c r="AD56" s="285">
        <v>13.3</v>
      </c>
      <c r="AE56" s="285">
        <v>13.3</v>
      </c>
      <c r="AF56" s="285">
        <v>13.5</v>
      </c>
      <c r="AG56" s="285">
        <v>13.5</v>
      </c>
      <c r="AH56" s="285">
        <v>13.7</v>
      </c>
    </row>
    <row r="57" spans="2:34">
      <c r="B57" s="285" t="str">
        <f t="shared" si="2"/>
        <v>Cyprus</v>
      </c>
      <c r="G57" s="273">
        <f t="shared" si="3"/>
        <v>-0.86956521739130432</v>
      </c>
      <c r="H57" s="273">
        <f t="shared" si="1"/>
        <v>0.59770114942528685</v>
      </c>
      <c r="I57" s="273">
        <f t="shared" si="1"/>
        <v>3.0232558139534804</v>
      </c>
      <c r="J57" s="273">
        <f t="shared" si="1"/>
        <v>2.7777777777777679E-2</v>
      </c>
      <c r="K57" s="315">
        <f t="shared" si="1"/>
        <v>-4.6000000000000227</v>
      </c>
      <c r="L57" s="315">
        <f t="shared" si="1"/>
        <v>27.208633093525229</v>
      </c>
      <c r="X57" s="279" t="s">
        <v>15</v>
      </c>
      <c r="Y57" s="285">
        <v>13</v>
      </c>
      <c r="Z57" s="285">
        <v>13.2</v>
      </c>
      <c r="AA57" s="285">
        <v>13.3</v>
      </c>
      <c r="AB57" s="285">
        <v>13.3</v>
      </c>
      <c r="AC57" s="285">
        <v>13.3</v>
      </c>
      <c r="AD57" s="285">
        <v>13.4</v>
      </c>
      <c r="AE57" s="285">
        <v>13.4</v>
      </c>
      <c r="AF57" s="285">
        <v>13.6</v>
      </c>
      <c r="AG57" s="285">
        <v>13.7</v>
      </c>
      <c r="AH57" s="285">
        <v>13.8</v>
      </c>
    </row>
    <row r="58" spans="2:34">
      <c r="B58" s="285" t="str">
        <f t="shared" si="2"/>
        <v>Czech Republic</v>
      </c>
      <c r="G58" s="273">
        <f t="shared" si="3"/>
        <v>0.6892857142856883</v>
      </c>
      <c r="H58" s="273">
        <f t="shared" si="1"/>
        <v>-0.19003690036902132</v>
      </c>
      <c r="I58" s="273">
        <f t="shared" si="1"/>
        <v>-0.18051575931232566</v>
      </c>
      <c r="J58" s="273">
        <f t="shared" si="1"/>
        <v>-0.2179487179487134</v>
      </c>
      <c r="K58" s="315">
        <f t="shared" si="1"/>
        <v>-0.10359408033824102</v>
      </c>
      <c r="L58" s="315">
        <f t="shared" si="1"/>
        <v>116.11161731207386</v>
      </c>
      <c r="X58" s="279" t="s">
        <v>16</v>
      </c>
      <c r="Y58" s="285">
        <v>13.1</v>
      </c>
      <c r="Z58" s="285">
        <v>13.3</v>
      </c>
      <c r="AA58" s="285">
        <v>13.4</v>
      </c>
      <c r="AB58" s="285">
        <v>13.4</v>
      </c>
      <c r="AC58" s="285">
        <v>13.3</v>
      </c>
      <c r="AD58" s="285">
        <v>13.4</v>
      </c>
      <c r="AE58" s="285">
        <v>13.5</v>
      </c>
      <c r="AF58" s="285">
        <v>13.6</v>
      </c>
      <c r="AG58" s="285">
        <v>13.7</v>
      </c>
      <c r="AH58" s="285">
        <v>13.9</v>
      </c>
    </row>
    <row r="59" spans="2:34">
      <c r="B59" s="285" t="str">
        <f t="shared" si="2"/>
        <v>Denmark</v>
      </c>
      <c r="G59" s="273">
        <f t="shared" si="3"/>
        <v>-2.2968749999999973</v>
      </c>
      <c r="H59" s="273">
        <f t="shared" si="1"/>
        <v>-1.4149933065595726</v>
      </c>
      <c r="I59" s="273">
        <f t="shared" si="1"/>
        <v>-0.77547495682210743</v>
      </c>
      <c r="J59" s="273">
        <f t="shared" si="1"/>
        <v>1.9073170731707272</v>
      </c>
      <c r="K59" s="315">
        <f t="shared" si="1"/>
        <v>-1.2921686746987981</v>
      </c>
      <c r="L59" s="315">
        <f t="shared" si="1"/>
        <v>-91.125806451612902</v>
      </c>
      <c r="X59" s="279" t="s">
        <v>35</v>
      </c>
      <c r="Y59" s="285">
        <v>9.9</v>
      </c>
      <c r="Z59" s="285">
        <v>10.4</v>
      </c>
      <c r="AA59" s="285">
        <v>8.4</v>
      </c>
      <c r="AB59" s="285">
        <v>9.1999999999999993</v>
      </c>
      <c r="AC59" s="285">
        <v>8.8000000000000007</v>
      </c>
      <c r="AD59" s="285">
        <v>10.7</v>
      </c>
      <c r="AE59" s="285">
        <v>10.5</v>
      </c>
      <c r="AF59" s="285">
        <v>11.4</v>
      </c>
      <c r="AG59" s="285">
        <v>10.7</v>
      </c>
      <c r="AH59" s="285">
        <v>10.7</v>
      </c>
    </row>
    <row r="60" spans="2:34">
      <c r="B60" s="285" t="str">
        <f t="shared" si="2"/>
        <v>Estonia</v>
      </c>
      <c r="G60" s="273">
        <f t="shared" si="3"/>
        <v>-0.5704225352112674</v>
      </c>
      <c r="H60" s="273">
        <f t="shared" si="1"/>
        <v>-0.8556701030927848</v>
      </c>
      <c r="I60" s="273">
        <f t="shared" si="1"/>
        <v>1.7380952380952457</v>
      </c>
      <c r="J60" s="273">
        <f t="shared" si="1"/>
        <v>0.80188679245282857</v>
      </c>
      <c r="K60" s="315">
        <f t="shared" si="1"/>
        <v>-1.032786885245909</v>
      </c>
      <c r="L60" s="274">
        <f t="shared" si="1"/>
        <v>-451.50000000000733</v>
      </c>
      <c r="X60" s="279" t="s">
        <v>17</v>
      </c>
      <c r="Y60" s="285">
        <v>7.9</v>
      </c>
      <c r="Z60" s="285">
        <v>8.1</v>
      </c>
      <c r="AA60" s="285">
        <v>8</v>
      </c>
      <c r="AB60" s="285">
        <v>8</v>
      </c>
      <c r="AC60" s="285">
        <v>7.9</v>
      </c>
      <c r="AD60" s="285">
        <v>7.9</v>
      </c>
      <c r="AE60" s="285">
        <v>8</v>
      </c>
      <c r="AF60" s="285">
        <v>7.9</v>
      </c>
      <c r="AG60" s="285">
        <v>8.1</v>
      </c>
      <c r="AH60" s="285">
        <v>8.3000000000000007</v>
      </c>
    </row>
    <row r="61" spans="2:34">
      <c r="B61" s="285" t="str">
        <f t="shared" si="2"/>
        <v>Finland</v>
      </c>
      <c r="G61" s="273">
        <f t="shared" si="3"/>
        <v>-1.6034985422739179E-2</v>
      </c>
      <c r="H61" s="273">
        <f t="shared" si="1"/>
        <v>-0.5</v>
      </c>
      <c r="I61" s="273">
        <f t="shared" si="1"/>
        <v>-9.1753774680605082E-2</v>
      </c>
      <c r="J61" s="273">
        <f t="shared" si="1"/>
        <v>1.4551724137930973</v>
      </c>
      <c r="K61" s="315">
        <f t="shared" si="1"/>
        <v>-0.65925925925925921</v>
      </c>
      <c r="L61" s="315">
        <f t="shared" si="1"/>
        <v>-1249.75</v>
      </c>
      <c r="X61" s="279" t="s">
        <v>18</v>
      </c>
      <c r="Y61" s="285">
        <v>8</v>
      </c>
      <c r="Z61" s="285">
        <v>7.8</v>
      </c>
      <c r="AA61" s="285">
        <v>7.5</v>
      </c>
      <c r="AB61" s="285">
        <v>7.5</v>
      </c>
      <c r="AC61" s="285">
        <v>7.7</v>
      </c>
      <c r="AD61" s="285">
        <v>7.9</v>
      </c>
      <c r="AE61" s="285">
        <v>7.5</v>
      </c>
      <c r="AF61" s="285">
        <v>8.1999999999999993</v>
      </c>
      <c r="AG61" s="285">
        <v>8.1999999999999993</v>
      </c>
      <c r="AH61" s="285">
        <v>8.5</v>
      </c>
    </row>
    <row r="62" spans="2:34">
      <c r="B62" s="285" t="str">
        <f t="shared" si="2"/>
        <v>France</v>
      </c>
      <c r="G62" s="273">
        <f t="shared" si="3"/>
        <v>0.46453287197228432</v>
      </c>
      <c r="H62" s="273">
        <f t="shared" si="1"/>
        <v>16.937007874014665</v>
      </c>
      <c r="I62" s="273">
        <f t="shared" si="1"/>
        <v>0.38910256410255717</v>
      </c>
      <c r="J62" s="273">
        <f t="shared" si="1"/>
        <v>2.4295824486906739</v>
      </c>
      <c r="K62" s="315">
        <f t="shared" si="1"/>
        <v>-0.33490844654460117</v>
      </c>
      <c r="L62" s="315">
        <f t="shared" si="1"/>
        <v>116.63784021071153</v>
      </c>
      <c r="X62" s="279" t="s">
        <v>26</v>
      </c>
      <c r="Y62" s="285">
        <v>4.0999999999999996</v>
      </c>
      <c r="Z62" s="285">
        <v>3.8</v>
      </c>
      <c r="AA62" s="285">
        <v>4</v>
      </c>
      <c r="AB62" s="285">
        <v>3.6</v>
      </c>
      <c r="AC62" s="285">
        <v>3.7</v>
      </c>
      <c r="AD62" s="285">
        <v>3.6</v>
      </c>
      <c r="AE62" s="285">
        <v>3.6</v>
      </c>
      <c r="AF62" s="285">
        <v>3.6</v>
      </c>
      <c r="AG62" s="285">
        <v>3.9</v>
      </c>
      <c r="AH62" s="285">
        <v>4.0999999999999996</v>
      </c>
    </row>
    <row r="63" spans="2:34">
      <c r="B63" s="285" t="str">
        <f t="shared" si="2"/>
        <v>Germany</v>
      </c>
      <c r="G63" s="273">
        <f t="shared" si="3"/>
        <v>-0.66978351458481455</v>
      </c>
      <c r="H63" s="273">
        <f t="shared" si="3"/>
        <v>-1.3470559291454884</v>
      </c>
      <c r="I63" s="273">
        <f t="shared" si="3"/>
        <v>-0.56126126126125941</v>
      </c>
      <c r="J63" s="273">
        <f t="shared" si="3"/>
        <v>-3.8287911720450651E-2</v>
      </c>
      <c r="K63" s="315">
        <f t="shared" si="3"/>
        <v>-8.2486919052002228E-2</v>
      </c>
      <c r="L63" s="315">
        <f t="shared" si="3"/>
        <v>-191.3634215500893</v>
      </c>
      <c r="X63" s="279" t="s">
        <v>28</v>
      </c>
      <c r="Y63" s="285">
        <v>16.2</v>
      </c>
      <c r="Z63" s="285">
        <v>16.5</v>
      </c>
      <c r="AA63" s="285">
        <v>17.8</v>
      </c>
      <c r="AB63" s="285">
        <v>18.3</v>
      </c>
      <c r="AC63" s="285">
        <v>18.600000000000001</v>
      </c>
      <c r="AD63" s="285">
        <v>19.7</v>
      </c>
      <c r="AE63" s="285">
        <v>19.7</v>
      </c>
      <c r="AF63" s="285">
        <v>18.5</v>
      </c>
      <c r="AG63" s="285">
        <v>18</v>
      </c>
      <c r="AH63" s="285">
        <v>18.3</v>
      </c>
    </row>
    <row r="64" spans="2:34">
      <c r="B64" s="285" t="str">
        <f t="shared" si="2"/>
        <v>Greece</v>
      </c>
      <c r="G64" s="273">
        <f t="shared" ref="G64:L79" si="4">G21/C21-1</f>
        <v>1.2807881773398675</v>
      </c>
      <c r="H64" s="273">
        <f t="shared" si="4"/>
        <v>0.46461538461539575</v>
      </c>
      <c r="I64" s="273">
        <f t="shared" si="4"/>
        <v>0.71676891615542493</v>
      </c>
      <c r="J64" s="273">
        <f t="shared" si="4"/>
        <v>0.73429951690820205</v>
      </c>
      <c r="K64" s="315">
        <f t="shared" si="4"/>
        <v>0.54427645788337853</v>
      </c>
      <c r="L64" s="315">
        <f t="shared" si="4"/>
        <v>78.493697478990995</v>
      </c>
      <c r="X64" s="279" t="s">
        <v>19</v>
      </c>
      <c r="Y64" s="285">
        <v>15.5</v>
      </c>
      <c r="Z64" s="285">
        <v>16.2</v>
      </c>
      <c r="AA64" s="285">
        <v>15.7</v>
      </c>
      <c r="AB64" s="285">
        <v>16</v>
      </c>
      <c r="AC64" s="285">
        <v>14.6</v>
      </c>
      <c r="AD64" s="285">
        <v>15.6</v>
      </c>
      <c r="AE64" s="285">
        <v>14.4</v>
      </c>
      <c r="AF64" s="285">
        <v>12.9</v>
      </c>
      <c r="AG64" s="285">
        <v>12.7</v>
      </c>
      <c r="AH64" s="285">
        <v>13.9</v>
      </c>
    </row>
    <row r="65" spans="2:34">
      <c r="B65" s="285" t="str">
        <f t="shared" si="2"/>
        <v>Hungary</v>
      </c>
      <c r="G65" s="273">
        <f t="shared" si="4"/>
        <v>-0.68466898954703503</v>
      </c>
      <c r="H65" s="273">
        <f t="shared" si="4"/>
        <v>-0.67015706806282804</v>
      </c>
      <c r="I65" s="273">
        <f t="shared" si="4"/>
        <v>-0.68086816720257293</v>
      </c>
      <c r="J65" s="273">
        <f t="shared" si="4"/>
        <v>-0.45619116582187003</v>
      </c>
      <c r="K65" s="315">
        <f t="shared" si="4"/>
        <v>-0.3701657458563361</v>
      </c>
      <c r="L65" s="315">
        <f t="shared" si="4"/>
        <v>174.32936507936634</v>
      </c>
      <c r="X65" s="279" t="s">
        <v>20</v>
      </c>
      <c r="Y65" s="285">
        <v>8.3000000000000007</v>
      </c>
      <c r="Z65" s="285">
        <v>8.5</v>
      </c>
      <c r="AA65" s="285">
        <v>8.3000000000000007</v>
      </c>
      <c r="AB65" s="285">
        <v>8.1999999999999993</v>
      </c>
      <c r="AC65" s="285">
        <v>8.1</v>
      </c>
      <c r="AD65" s="285">
        <v>8.1</v>
      </c>
      <c r="AE65" s="285">
        <v>8.1</v>
      </c>
      <c r="AF65" s="285">
        <v>8.1</v>
      </c>
      <c r="AG65" s="285">
        <v>8.1999999999999993</v>
      </c>
      <c r="AH65" s="285">
        <v>8</v>
      </c>
    </row>
    <row r="66" spans="2:34">
      <c r="B66" s="285" t="str">
        <f t="shared" si="2"/>
        <v>Iceland</v>
      </c>
      <c r="G66" s="273">
        <f t="shared" si="4"/>
        <v>-0.50000000000000511</v>
      </c>
      <c r="H66" s="273">
        <f t="shared" si="4"/>
        <v>-0.53846153846153633</v>
      </c>
      <c r="I66" s="273">
        <f t="shared" si="4"/>
        <v>-0.62962962962962998</v>
      </c>
      <c r="J66" s="273">
        <f t="shared" si="4"/>
        <v>-0.46031746031746246</v>
      </c>
      <c r="K66" s="315">
        <f t="shared" si="4"/>
        <v>0.78571428571431468</v>
      </c>
      <c r="L66" s="315">
        <f t="shared" si="4"/>
        <v>76.749999999999815</v>
      </c>
      <c r="X66" s="279" t="s">
        <v>21</v>
      </c>
      <c r="Y66" s="285">
        <v>7.4</v>
      </c>
      <c r="Z66" s="285">
        <v>8.3000000000000007</v>
      </c>
      <c r="AA66" s="285">
        <v>8.4</v>
      </c>
      <c r="AB66" s="285">
        <v>7.7</v>
      </c>
      <c r="AC66" s="285">
        <v>13.1</v>
      </c>
      <c r="AD66" s="285">
        <v>12.6</v>
      </c>
      <c r="AE66" s="285">
        <v>11.9</v>
      </c>
      <c r="AF66" s="285">
        <v>12.1</v>
      </c>
      <c r="AG66" s="285">
        <v>12.8</v>
      </c>
      <c r="AH66" s="285">
        <v>12</v>
      </c>
    </row>
    <row r="67" spans="2:34">
      <c r="B67" s="285" t="str">
        <f t="shared" si="2"/>
        <v>Ireland</v>
      </c>
      <c r="G67" s="273">
        <f t="shared" si="4"/>
        <v>0.1791767554479422</v>
      </c>
      <c r="H67" s="273">
        <f t="shared" si="4"/>
        <v>-3.047091412742442E-2</v>
      </c>
      <c r="I67" s="273">
        <f t="shared" si="4"/>
        <v>-9.6032202415181511E-2</v>
      </c>
      <c r="J67" s="273">
        <f t="shared" si="4"/>
        <v>-5.8760107816710816E-2</v>
      </c>
      <c r="K67" s="315">
        <f t="shared" si="4"/>
        <v>4.1067761806958814E-3</v>
      </c>
      <c r="L67" s="315">
        <f t="shared" si="4"/>
        <v>14.544285714285714</v>
      </c>
      <c r="X67" s="279" t="s">
        <v>41</v>
      </c>
      <c r="Y67" s="285">
        <v>2.4</v>
      </c>
      <c r="Z67" s="285">
        <v>3.4</v>
      </c>
      <c r="AA67" s="285">
        <v>3.4</v>
      </c>
      <c r="AB67" s="285">
        <v>3.2</v>
      </c>
      <c r="AC67" s="285">
        <v>3</v>
      </c>
      <c r="AD67" s="285">
        <v>3.6</v>
      </c>
      <c r="AE67" s="285">
        <v>4.3</v>
      </c>
      <c r="AF67" s="285">
        <v>2.6</v>
      </c>
      <c r="AG67" s="285">
        <v>2.6</v>
      </c>
      <c r="AH67" s="285">
        <v>2.9</v>
      </c>
    </row>
    <row r="68" spans="2:34">
      <c r="B68" s="285" t="str">
        <f t="shared" si="2"/>
        <v>Italy</v>
      </c>
      <c r="G68" s="273">
        <f t="shared" si="4"/>
        <v>2.2213541666667163</v>
      </c>
      <c r="H68" s="273">
        <f t="shared" si="4"/>
        <v>-0.47429989365473901</v>
      </c>
      <c r="I68" s="273">
        <f t="shared" si="4"/>
        <v>0.13787085514834208</v>
      </c>
      <c r="J68" s="273">
        <f t="shared" si="4"/>
        <v>-0.12556433408576928</v>
      </c>
      <c r="K68" s="315">
        <f t="shared" si="4"/>
        <v>-3.8803556992732968E-2</v>
      </c>
      <c r="L68" s="315">
        <f t="shared" si="4"/>
        <v>152.79568442346672</v>
      </c>
      <c r="X68" s="279" t="s">
        <v>25</v>
      </c>
      <c r="Y68" s="285">
        <v>13.4</v>
      </c>
      <c r="Z68" s="285">
        <v>13.3</v>
      </c>
      <c r="AA68" s="285">
        <v>13.1</v>
      </c>
      <c r="AB68" s="285">
        <v>12.9</v>
      </c>
      <c r="AC68" s="285">
        <v>13.2</v>
      </c>
      <c r="AD68" s="285">
        <v>13.5</v>
      </c>
      <c r="AE68" s="285">
        <v>13.8</v>
      </c>
      <c r="AF68" s="285">
        <v>13.8</v>
      </c>
      <c r="AG68" s="285">
        <v>13.9</v>
      </c>
      <c r="AH68" s="285">
        <v>14.2</v>
      </c>
    </row>
    <row r="69" spans="2:34">
      <c r="B69" s="285" t="str">
        <f t="shared" si="2"/>
        <v>Latvia</v>
      </c>
      <c r="G69" s="273">
        <f t="shared" si="4"/>
        <v>0.63809523809523161</v>
      </c>
      <c r="H69" s="273">
        <f t="shared" si="4"/>
        <v>-0.461538461538475</v>
      </c>
      <c r="I69" s="273">
        <f t="shared" si="4"/>
        <v>-2.2716049382715955</v>
      </c>
      <c r="J69" s="273">
        <f t="shared" si="4"/>
        <v>-12.125000000000604</v>
      </c>
      <c r="K69" s="315">
        <f t="shared" si="4"/>
        <v>-1.2267441860465111</v>
      </c>
      <c r="L69" s="274">
        <f t="shared" si="4"/>
        <v>-313.35714285714795</v>
      </c>
      <c r="X69" s="279" t="s">
        <v>49</v>
      </c>
      <c r="Y69" s="285">
        <v>13.7</v>
      </c>
      <c r="Z69" s="285">
        <v>14.2</v>
      </c>
      <c r="AA69" s="285">
        <v>14.1</v>
      </c>
      <c r="AB69" s="285">
        <v>14.2</v>
      </c>
      <c r="AC69" s="285">
        <v>14</v>
      </c>
      <c r="AD69" s="285">
        <v>14.2</v>
      </c>
      <c r="AE69" s="285">
        <v>14.1</v>
      </c>
      <c r="AF69" s="285">
        <v>14.3</v>
      </c>
      <c r="AG69" s="285">
        <v>14.7</v>
      </c>
      <c r="AH69" s="285">
        <v>14.7</v>
      </c>
    </row>
    <row r="70" spans="2:34">
      <c r="B70" s="285" t="str">
        <f t="shared" si="2"/>
        <v>Lithuania</v>
      </c>
      <c r="G70" s="273">
        <f t="shared" si="4"/>
        <v>-4.1460674157303048</v>
      </c>
      <c r="H70" s="273">
        <f t="shared" si="4"/>
        <v>-2.5510204081632772</v>
      </c>
      <c r="I70" s="273">
        <f t="shared" si="4"/>
        <v>-1.1045454545454525</v>
      </c>
      <c r="J70" s="273">
        <f t="shared" si="4"/>
        <v>0.75</v>
      </c>
      <c r="K70" s="315">
        <f t="shared" si="4"/>
        <v>-0.44285714285714606</v>
      </c>
      <c r="L70" s="315">
        <f t="shared" si="4"/>
        <v>-87.74999999999973</v>
      </c>
      <c r="X70" s="279" t="s">
        <v>23</v>
      </c>
      <c r="Y70" s="285">
        <v>11.8</v>
      </c>
      <c r="Z70" s="285">
        <v>11.7</v>
      </c>
      <c r="AA70" s="285">
        <v>11.8</v>
      </c>
      <c r="AB70" s="285">
        <v>11.8</v>
      </c>
      <c r="AC70" s="285">
        <v>11.9</v>
      </c>
      <c r="AD70" s="285">
        <v>11.9</v>
      </c>
      <c r="AE70" s="285">
        <v>11.9</v>
      </c>
      <c r="AF70" s="285">
        <v>12</v>
      </c>
      <c r="AG70" s="285">
        <v>11.8</v>
      </c>
      <c r="AH70" s="285">
        <v>11.7</v>
      </c>
    </row>
    <row r="71" spans="2:34">
      <c r="B71" s="285" t="str">
        <f t="shared" si="2"/>
        <v>Luxembourg</v>
      </c>
      <c r="G71" s="273">
        <f t="shared" si="4"/>
        <v>-110.00000000003695</v>
      </c>
      <c r="H71" s="273">
        <f t="shared" si="4"/>
        <v>0.88888888888888484</v>
      </c>
      <c r="I71" s="273">
        <f t="shared" si="4"/>
        <v>1.3333333333333424</v>
      </c>
      <c r="J71" s="273">
        <f t="shared" si="4"/>
        <v>-0.75609756097560776</v>
      </c>
      <c r="K71" s="315">
        <f t="shared" si="4"/>
        <v>-3.6697247706420022E-2</v>
      </c>
      <c r="L71" s="315">
        <f t="shared" si="4"/>
        <v>25.921568627451013</v>
      </c>
      <c r="X71" s="279" t="s">
        <v>32</v>
      </c>
      <c r="Y71" s="285">
        <v>7.7</v>
      </c>
      <c r="Z71" s="285">
        <v>7.8</v>
      </c>
      <c r="AA71" s="285">
        <v>7.9</v>
      </c>
      <c r="AB71" s="285">
        <v>8</v>
      </c>
      <c r="AC71" s="285">
        <v>7.8</v>
      </c>
      <c r="AD71" s="285">
        <v>7.7</v>
      </c>
      <c r="AE71" s="285">
        <v>7.5</v>
      </c>
      <c r="AF71" s="285">
        <v>6.8</v>
      </c>
      <c r="AG71" s="285">
        <v>7</v>
      </c>
      <c r="AH71" s="285">
        <v>8.1</v>
      </c>
    </row>
    <row r="72" spans="2:34">
      <c r="B72" s="285" t="str">
        <f t="shared" si="2"/>
        <v>Macedonia</v>
      </c>
      <c r="G72" s="273">
        <f t="shared" si="4"/>
        <v>0.89108910891088899</v>
      </c>
      <c r="H72" s="273">
        <f t="shared" si="4"/>
        <v>0.83950617283949813</v>
      </c>
      <c r="I72" s="273">
        <f t="shared" si="4"/>
        <v>-0.11971830985915777</v>
      </c>
      <c r="J72" s="273">
        <f t="shared" si="4"/>
        <v>-0.59340659340659574</v>
      </c>
      <c r="K72" s="315">
        <f t="shared" si="4"/>
        <v>-0.80628272251309285</v>
      </c>
      <c r="L72" s="315">
        <f t="shared" si="4"/>
        <v>48.865771812080609</v>
      </c>
      <c r="X72" s="279" t="s">
        <v>44</v>
      </c>
      <c r="Y72" s="285">
        <v>9.9</v>
      </c>
      <c r="Z72" s="285">
        <v>10</v>
      </c>
      <c r="AA72" s="285">
        <v>10.199999999999999</v>
      </c>
      <c r="AB72" s="285">
        <v>10.4</v>
      </c>
      <c r="AC72" s="285">
        <v>9.4</v>
      </c>
      <c r="AD72" s="285">
        <v>8.9</v>
      </c>
      <c r="AE72" s="285">
        <v>8.6</v>
      </c>
      <c r="AF72" s="285">
        <v>8.1</v>
      </c>
      <c r="AG72" s="285">
        <v>8.6999999999999993</v>
      </c>
      <c r="AH72" s="285">
        <v>8.1999999999999993</v>
      </c>
    </row>
    <row r="73" spans="2:34">
      <c r="B73" s="285" t="str">
        <f t="shared" si="2"/>
        <v>Malta</v>
      </c>
      <c r="G73" s="273">
        <f t="shared" si="4"/>
        <v>0.18902439024390194</v>
      </c>
      <c r="H73" s="273">
        <f t="shared" si="4"/>
        <v>0.32571428571428496</v>
      </c>
      <c r="I73" s="273">
        <f t="shared" si="4"/>
        <v>0.11363636363636487</v>
      </c>
      <c r="J73" s="273">
        <f t="shared" si="4"/>
        <v>0.39999999999999969</v>
      </c>
      <c r="K73" s="315">
        <f t="shared" si="4"/>
        <v>0.50256410256410167</v>
      </c>
      <c r="L73" s="315">
        <f t="shared" si="4"/>
        <v>8.7801724137931085</v>
      </c>
      <c r="X73" s="279" t="s">
        <v>22</v>
      </c>
      <c r="Y73" s="285">
        <v>11.2</v>
      </c>
      <c r="Z73" s="285">
        <v>11.8</v>
      </c>
      <c r="AA73" s="285">
        <v>11.6</v>
      </c>
      <c r="AB73" s="285">
        <v>11</v>
      </c>
      <c r="AC73" s="285">
        <v>10.4</v>
      </c>
      <c r="AD73" s="285">
        <v>10.6</v>
      </c>
      <c r="AE73" s="285">
        <v>10.3</v>
      </c>
      <c r="AF73" s="285">
        <v>10.4</v>
      </c>
      <c r="AG73" s="285">
        <v>10</v>
      </c>
      <c r="AH73" s="285">
        <v>10</v>
      </c>
    </row>
    <row r="74" spans="2:34">
      <c r="B74" s="285" t="str">
        <f t="shared" si="2"/>
        <v>Netherlands</v>
      </c>
      <c r="G74" s="273">
        <f t="shared" si="4"/>
        <v>-10.575342465754328</v>
      </c>
      <c r="H74" s="273">
        <f t="shared" si="4"/>
        <v>0.36073825503355494</v>
      </c>
      <c r="I74" s="273">
        <f t="shared" si="4"/>
        <v>-6.8823124569843297E-2</v>
      </c>
      <c r="J74" s="273">
        <f t="shared" si="4"/>
        <v>-0.11092150170648507</v>
      </c>
      <c r="K74" s="315">
        <f t="shared" si="4"/>
        <v>4.8640915593700429E-2</v>
      </c>
      <c r="L74" s="315">
        <f t="shared" si="4"/>
        <v>104.03575832305748</v>
      </c>
      <c r="X74" s="279" t="s">
        <v>27</v>
      </c>
      <c r="Y74" s="285">
        <v>7.4</v>
      </c>
      <c r="Z74" s="285">
        <v>7.3</v>
      </c>
      <c r="AA74" s="285">
        <v>7.4</v>
      </c>
      <c r="AB74" s="285">
        <v>6.9</v>
      </c>
      <c r="AC74" s="285">
        <v>6.9</v>
      </c>
      <c r="AD74" s="285">
        <v>7</v>
      </c>
      <c r="AE74" s="285">
        <v>6.9</v>
      </c>
      <c r="AF74" s="285">
        <v>6.7</v>
      </c>
      <c r="AG74" s="285">
        <v>6.4</v>
      </c>
      <c r="AH74" s="285">
        <v>5.9</v>
      </c>
    </row>
    <row r="75" spans="2:34">
      <c r="B75" s="285" t="str">
        <f t="shared" si="2"/>
        <v>Norway</v>
      </c>
      <c r="G75" s="273">
        <f t="shared" si="4"/>
        <v>-0.15853658536584725</v>
      </c>
      <c r="H75" s="273">
        <f t="shared" si="4"/>
        <v>-0.62569832402233305</v>
      </c>
      <c r="I75" s="273">
        <f t="shared" si="4"/>
        <v>0.28169014084504673</v>
      </c>
      <c r="J75" s="273">
        <f t="shared" si="4"/>
        <v>-19.833333333336114</v>
      </c>
      <c r="K75" s="315">
        <f t="shared" si="4"/>
        <v>-1.3405797101449428</v>
      </c>
      <c r="L75" s="315">
        <f t="shared" si="4"/>
        <v>-387.86567164177529</v>
      </c>
      <c r="X75" s="279" t="s">
        <v>29</v>
      </c>
      <c r="Y75" s="285">
        <v>10.5</v>
      </c>
      <c r="Z75" s="285">
        <v>10.7</v>
      </c>
      <c r="AA75" s="285">
        <v>11.1</v>
      </c>
      <c r="AB75" s="285">
        <v>10.8</v>
      </c>
      <c r="AC75" s="285">
        <v>10.4</v>
      </c>
      <c r="AD75" s="285">
        <v>10.8</v>
      </c>
      <c r="AE75" s="285">
        <v>11</v>
      </c>
      <c r="AF75" s="285">
        <v>11.1</v>
      </c>
      <c r="AG75" s="285">
        <v>11.4</v>
      </c>
      <c r="AH75" s="285">
        <v>11.9</v>
      </c>
    </row>
    <row r="76" spans="2:34">
      <c r="B76" s="285" t="str">
        <f t="shared" si="2"/>
        <v>Poland</v>
      </c>
      <c r="G76" s="273">
        <f t="shared" si="4"/>
        <v>3.0932203389826105</v>
      </c>
      <c r="H76" s="273">
        <f t="shared" si="4"/>
        <v>-4.2570016474464989</v>
      </c>
      <c r="I76" s="273">
        <f t="shared" si="4"/>
        <v>-4.289276807980011</v>
      </c>
      <c r="J76" s="273">
        <f t="shared" si="4"/>
        <v>-0.60763520678685001</v>
      </c>
      <c r="K76" s="315">
        <f t="shared" si="4"/>
        <v>-4.0786749482401898</v>
      </c>
      <c r="L76" s="315">
        <f t="shared" si="4"/>
        <v>81.075366717248812</v>
      </c>
      <c r="X76" s="279" t="s">
        <v>30</v>
      </c>
      <c r="Y76" s="285">
        <v>2.7</v>
      </c>
      <c r="Z76" s="285">
        <v>3.2</v>
      </c>
      <c r="AA76" s="285">
        <v>3.3</v>
      </c>
      <c r="AB76" s="285">
        <v>3.9</v>
      </c>
      <c r="AC76" s="285">
        <v>3.7</v>
      </c>
      <c r="AD76" s="285">
        <v>3.3</v>
      </c>
      <c r="AE76" s="285">
        <v>3.1</v>
      </c>
      <c r="AF76" s="285">
        <v>2.8</v>
      </c>
      <c r="AG76" s="285">
        <v>2.6</v>
      </c>
      <c r="AH76" s="285">
        <v>2.6</v>
      </c>
    </row>
    <row r="77" spans="2:34">
      <c r="B77" s="285" t="str">
        <f t="shared" si="2"/>
        <v>Portugal</v>
      </c>
      <c r="G77" s="273">
        <f t="shared" si="4"/>
        <v>-2.5456989247311901</v>
      </c>
      <c r="H77" s="273">
        <f t="shared" si="4"/>
        <v>1.5625000000000524</v>
      </c>
      <c r="I77" s="273">
        <f t="shared" si="4"/>
        <v>0.6112244897959147</v>
      </c>
      <c r="J77" s="273">
        <f t="shared" si="4"/>
        <v>0.43542074363993133</v>
      </c>
      <c r="K77" s="315">
        <f t="shared" si="4"/>
        <v>0.18434782608694711</v>
      </c>
      <c r="L77" s="315">
        <f t="shared" si="4"/>
        <v>52.715447154471313</v>
      </c>
      <c r="X77" s="279" t="s">
        <v>31</v>
      </c>
      <c r="Y77" s="285">
        <v>1.9</v>
      </c>
      <c r="Z77" s="285">
        <v>1.7</v>
      </c>
      <c r="AA77" s="285">
        <v>1.7</v>
      </c>
      <c r="AB77" s="285">
        <v>2.1</v>
      </c>
      <c r="AC77" s="285">
        <v>1.8</v>
      </c>
      <c r="AD77" s="285">
        <v>2</v>
      </c>
      <c r="AE77" s="285">
        <v>1.6</v>
      </c>
      <c r="AF77" s="285">
        <v>1.4</v>
      </c>
      <c r="AG77" s="285">
        <v>1.7</v>
      </c>
      <c r="AH77" s="285">
        <v>1.5</v>
      </c>
    </row>
    <row r="78" spans="2:34">
      <c r="B78" s="285" t="str">
        <f t="shared" si="2"/>
        <v>Romania</v>
      </c>
      <c r="G78" s="273">
        <f t="shared" si="4"/>
        <v>-0.54893617021276742</v>
      </c>
      <c r="H78" s="273">
        <f t="shared" si="4"/>
        <v>-2.29314312011044</v>
      </c>
      <c r="I78" s="273">
        <f t="shared" si="4"/>
        <v>1.9320158102766771</v>
      </c>
      <c r="J78" s="273">
        <f t="shared" si="4"/>
        <v>0.14869281045751714</v>
      </c>
      <c r="K78" s="315">
        <f t="shared" si="4"/>
        <v>1.5094339622641613</v>
      </c>
      <c r="L78" s="274">
        <f t="shared" si="4"/>
        <v>29.272953736654806</v>
      </c>
      <c r="X78" s="279" t="s">
        <v>56</v>
      </c>
      <c r="Y78" s="285">
        <v>7.9</v>
      </c>
      <c r="Z78" s="285">
        <v>9</v>
      </c>
      <c r="AA78" s="285">
        <v>10.3</v>
      </c>
      <c r="AB78" s="285">
        <v>9.3000000000000007</v>
      </c>
      <c r="AC78" s="285">
        <v>7.7</v>
      </c>
      <c r="AD78" s="285">
        <v>7.2</v>
      </c>
      <c r="AE78" s="285">
        <v>8.6</v>
      </c>
      <c r="AF78" s="285">
        <v>8.3000000000000007</v>
      </c>
      <c r="AG78" s="285">
        <v>7.9</v>
      </c>
      <c r="AH78" s="285">
        <v>8.6</v>
      </c>
    </row>
    <row r="79" spans="2:34">
      <c r="B79" s="285" t="str">
        <f t="shared" si="2"/>
        <v>Slovakia</v>
      </c>
      <c r="G79" s="273">
        <f t="shared" si="4"/>
        <v>-0.69351230425056209</v>
      </c>
      <c r="H79" s="273">
        <f t="shared" si="4"/>
        <v>-0.69930069930069594</v>
      </c>
      <c r="I79" s="273">
        <f t="shared" si="4"/>
        <v>-0.55419222903885701</v>
      </c>
      <c r="J79" s="273">
        <f t="shared" si="4"/>
        <v>-0.4689507494646673</v>
      </c>
      <c r="K79" s="315">
        <f t="shared" si="4"/>
        <v>6.5693430656941887E-2</v>
      </c>
      <c r="L79" s="315">
        <f t="shared" si="4"/>
        <v>145.31395348836978</v>
      </c>
      <c r="X79" s="279" t="s">
        <v>33</v>
      </c>
      <c r="Y79" s="285">
        <v>6.1</v>
      </c>
      <c r="Z79" s="285">
        <v>6.3</v>
      </c>
      <c r="AA79" s="285">
        <v>6.8</v>
      </c>
      <c r="AB79" s="285">
        <v>6.5</v>
      </c>
      <c r="AC79" s="285">
        <v>6.5</v>
      </c>
      <c r="AD79" s="285">
        <v>6.5</v>
      </c>
      <c r="AE79" s="285">
        <v>6.5</v>
      </c>
      <c r="AF79" s="285">
        <v>6.6</v>
      </c>
      <c r="AG79" s="285">
        <v>5.5</v>
      </c>
      <c r="AH79" s="285">
        <v>4.9000000000000004</v>
      </c>
    </row>
    <row r="80" spans="2:34">
      <c r="B80" s="285" t="str">
        <f t="shared" si="2"/>
        <v>Slovenia</v>
      </c>
      <c r="G80" s="273">
        <f t="shared" ref="G80:L85" si="5">G37/C37-1</f>
        <v>-1.5172413793103439</v>
      </c>
      <c r="H80" s="273">
        <f t="shared" si="5"/>
        <v>-4.0090090090090316</v>
      </c>
      <c r="I80" s="273">
        <f t="shared" si="5"/>
        <v>5.4305555555555083</v>
      </c>
      <c r="J80" s="273">
        <f t="shared" si="5"/>
        <v>0.24054982817868997</v>
      </c>
      <c r="K80" s="315">
        <f t="shared" si="5"/>
        <v>-0.71666666666666856</v>
      </c>
      <c r="L80" s="274">
        <f t="shared" si="5"/>
        <v>27.85628742514972</v>
      </c>
      <c r="X80" s="279" t="s">
        <v>34</v>
      </c>
      <c r="Y80" s="285">
        <v>16.3</v>
      </c>
      <c r="Z80" s="285">
        <v>16.7</v>
      </c>
      <c r="AA80" s="285">
        <v>16.899999999999999</v>
      </c>
      <c r="AB80" s="285">
        <v>16.8</v>
      </c>
      <c r="AC80" s="285">
        <v>16.8</v>
      </c>
      <c r="AD80" s="285">
        <v>17.100000000000001</v>
      </c>
      <c r="AE80" s="285">
        <v>17.2</v>
      </c>
      <c r="AF80" s="285">
        <v>17.600000000000001</v>
      </c>
      <c r="AG80" s="285">
        <v>18</v>
      </c>
      <c r="AH80" s="285">
        <v>18.100000000000001</v>
      </c>
    </row>
    <row r="81" spans="2:34">
      <c r="B81" s="285" t="str">
        <f t="shared" si="2"/>
        <v>Spain</v>
      </c>
      <c r="G81" s="273">
        <f t="shared" si="5"/>
        <v>-0.16560913705582991</v>
      </c>
      <c r="H81" s="273">
        <f t="shared" si="5"/>
        <v>0.1138346489405957</v>
      </c>
      <c r="I81" s="273">
        <f t="shared" si="5"/>
        <v>0.20418006430868596</v>
      </c>
      <c r="J81" s="273">
        <f t="shared" si="5"/>
        <v>0.18851220038867456</v>
      </c>
      <c r="K81" s="315">
        <f t="shared" si="5"/>
        <v>-0.56501901140683852</v>
      </c>
      <c r="L81" s="315">
        <f t="shared" si="5"/>
        <v>70.451324132785686</v>
      </c>
      <c r="X81" s="279" t="s">
        <v>45</v>
      </c>
      <c r="Y81" s="285">
        <v>6.8</v>
      </c>
      <c r="Z81" s="285">
        <v>7.6</v>
      </c>
      <c r="AA81" s="285">
        <v>7.9</v>
      </c>
      <c r="AB81" s="285">
        <v>7.6</v>
      </c>
      <c r="AC81" s="285">
        <v>7.8</v>
      </c>
      <c r="AD81" s="285">
        <v>8.4</v>
      </c>
      <c r="AE81" s="285">
        <v>8.9</v>
      </c>
      <c r="AF81" s="285">
        <v>7.7</v>
      </c>
      <c r="AG81" s="285">
        <v>7.3</v>
      </c>
      <c r="AH81" s="285">
        <v>8.1999999999999993</v>
      </c>
    </row>
    <row r="82" spans="2:34">
      <c r="B82" s="285" t="str">
        <f t="shared" si="2"/>
        <v>Sweden</v>
      </c>
      <c r="G82" s="273">
        <f t="shared" si="5"/>
        <v>-0.51196172248803851</v>
      </c>
      <c r="H82" s="273">
        <f t="shared" si="5"/>
        <v>2.2792792792792209</v>
      </c>
      <c r="I82" s="273">
        <f t="shared" si="5"/>
        <v>0.31351351351351631</v>
      </c>
      <c r="J82" s="273">
        <f t="shared" si="5"/>
        <v>-0.14231136580707326</v>
      </c>
      <c r="K82" s="315">
        <f t="shared" si="5"/>
        <v>0.89215686274514971</v>
      </c>
      <c r="L82" s="315">
        <f t="shared" si="5"/>
        <v>134.40934065933862</v>
      </c>
      <c r="X82" s="279" t="s">
        <v>36</v>
      </c>
      <c r="Y82" s="285">
        <v>22.5</v>
      </c>
      <c r="Z82" s="285">
        <v>22.1</v>
      </c>
      <c r="AA82" s="285">
        <v>22</v>
      </c>
      <c r="AB82" s="285">
        <v>22.1</v>
      </c>
      <c r="AC82" s="285">
        <v>22.3</v>
      </c>
      <c r="AD82" s="285">
        <v>22.2</v>
      </c>
      <c r="AE82" s="285">
        <v>21.8</v>
      </c>
      <c r="AF82" s="285">
        <v>21.4</v>
      </c>
      <c r="AG82" s="285">
        <v>21.2</v>
      </c>
      <c r="AH82" s="285">
        <v>21.2</v>
      </c>
    </row>
    <row r="83" spans="2:34">
      <c r="B83" s="285" t="str">
        <f t="shared" si="2"/>
        <v>Switzerland</v>
      </c>
      <c r="G83" s="273">
        <f t="shared" si="5"/>
        <v>-0.71937639198217229</v>
      </c>
      <c r="H83" s="273">
        <f t="shared" si="5"/>
        <v>-0.31560891938248636</v>
      </c>
      <c r="I83" s="273">
        <f t="shared" si="5"/>
        <v>3.8666666666661813</v>
      </c>
      <c r="J83" s="273">
        <f t="shared" si="5"/>
        <v>8.0724876441524929E-2</v>
      </c>
      <c r="K83" s="315">
        <f t="shared" si="5"/>
        <v>-1.2777777777777697</v>
      </c>
      <c r="L83" s="315">
        <f t="shared" si="5"/>
        <v>111.1754385964897</v>
      </c>
      <c r="X83" s="279" t="s">
        <v>37</v>
      </c>
      <c r="Y83" s="285">
        <v>18.3</v>
      </c>
      <c r="Z83" s="285">
        <v>18.8</v>
      </c>
      <c r="AA83" s="285">
        <v>18.7</v>
      </c>
      <c r="AB83" s="285">
        <v>19.100000000000001</v>
      </c>
      <c r="AC83" s="285">
        <v>19</v>
      </c>
      <c r="AD83" s="285">
        <v>19.2</v>
      </c>
      <c r="AE83" s="285">
        <v>18.8</v>
      </c>
      <c r="AF83" s="285">
        <v>19.100000000000001</v>
      </c>
      <c r="AG83" s="285">
        <v>18.5</v>
      </c>
      <c r="AH83" s="285">
        <v>19</v>
      </c>
    </row>
    <row r="84" spans="2:34">
      <c r="B84" s="285" t="str">
        <f t="shared" si="2"/>
        <v>Turkey</v>
      </c>
      <c r="G84" s="273">
        <f t="shared" si="5"/>
        <v>0.53910752511114146</v>
      </c>
      <c r="H84" s="273">
        <f t="shared" si="5"/>
        <v>0.39734121122599708</v>
      </c>
      <c r="I84" s="273">
        <f t="shared" si="5"/>
        <v>1.0936791740115952</v>
      </c>
      <c r="J84" s="273">
        <f t="shared" si="5"/>
        <v>1.5449795918367335</v>
      </c>
      <c r="K84" s="315">
        <f t="shared" si="5"/>
        <v>-0.62201775970899864</v>
      </c>
      <c r="L84" s="315">
        <f t="shared" si="5"/>
        <v>28.889006342494714</v>
      </c>
      <c r="X84" s="279" t="s">
        <v>38</v>
      </c>
      <c r="Y84" s="285">
        <v>1</v>
      </c>
      <c r="Z84" s="285">
        <v>1.2</v>
      </c>
      <c r="AA84" s="285">
        <v>0.9</v>
      </c>
      <c r="AB84" s="285">
        <v>1</v>
      </c>
      <c r="AC84" s="285">
        <v>1</v>
      </c>
      <c r="AD84" s="285">
        <v>1</v>
      </c>
      <c r="AE84" s="285">
        <v>1</v>
      </c>
      <c r="AF84" s="285">
        <v>1</v>
      </c>
      <c r="AG84" s="285">
        <v>0.9</v>
      </c>
      <c r="AH84" s="285">
        <v>0.9</v>
      </c>
    </row>
    <row r="85" spans="2:34">
      <c r="B85" s="285" t="str">
        <f t="shared" si="2"/>
        <v>United Kingdom</v>
      </c>
      <c r="G85" s="273">
        <f t="shared" si="5"/>
        <v>-0.40889777555610884</v>
      </c>
      <c r="H85" s="273">
        <f t="shared" si="5"/>
        <v>2.0994979461426366E-2</v>
      </c>
      <c r="I85" s="273">
        <f t="shared" si="5"/>
        <v>0.11520522388061849</v>
      </c>
      <c r="J85" s="273">
        <f t="shared" si="5"/>
        <v>-4.9032258064516165E-2</v>
      </c>
      <c r="K85" s="315">
        <f t="shared" si="5"/>
        <v>0.12219873150106331</v>
      </c>
      <c r="L85" s="315">
        <f t="shared" si="5"/>
        <v>137.63030844881493</v>
      </c>
      <c r="X85" s="279" t="s">
        <v>40</v>
      </c>
      <c r="Y85" s="285">
        <v>8.8000000000000007</v>
      </c>
      <c r="Z85" s="285">
        <v>9.1999999999999993</v>
      </c>
      <c r="AA85" s="285">
        <v>9.1</v>
      </c>
      <c r="AB85" s="285">
        <v>8.6</v>
      </c>
      <c r="AC85" s="285">
        <v>8.6</v>
      </c>
      <c r="AD85" s="285">
        <v>8.4</v>
      </c>
      <c r="AE85" s="285">
        <v>8.1999999999999993</v>
      </c>
      <c r="AF85" s="285">
        <v>8.4</v>
      </c>
      <c r="AG85" s="285">
        <v>8</v>
      </c>
      <c r="AH85" s="285">
        <v>8</v>
      </c>
    </row>
    <row r="86" spans="2:34">
      <c r="X86" s="279" t="s">
        <v>39</v>
      </c>
      <c r="Y86" s="285">
        <v>14.2</v>
      </c>
      <c r="Z86" s="285">
        <v>14.9</v>
      </c>
      <c r="AA86" s="285">
        <v>16.100000000000001</v>
      </c>
      <c r="AB86" s="285">
        <v>15</v>
      </c>
      <c r="AC86" s="285">
        <v>14.7</v>
      </c>
      <c r="AD86" s="285">
        <v>14.9</v>
      </c>
      <c r="AE86" s="285">
        <v>14.3</v>
      </c>
      <c r="AF86" s="285">
        <v>14.6</v>
      </c>
      <c r="AG86" s="285">
        <v>15.5</v>
      </c>
      <c r="AH86" s="285">
        <v>15.2</v>
      </c>
    </row>
    <row r="87" spans="2:34">
      <c r="X87" s="279" t="s">
        <v>24</v>
      </c>
      <c r="Y87" s="285">
        <v>20.3</v>
      </c>
      <c r="Z87" s="285">
        <v>20.8</v>
      </c>
      <c r="AA87" s="285">
        <v>21.2</v>
      </c>
      <c r="AB87" s="285">
        <v>21.3</v>
      </c>
      <c r="AC87" s="285">
        <v>21.6</v>
      </c>
      <c r="AD87" s="285">
        <v>21.4</v>
      </c>
      <c r="AE87" s="285">
        <v>22</v>
      </c>
      <c r="AF87" s="285">
        <v>22.1</v>
      </c>
      <c r="AG87" s="285">
        <v>22.3</v>
      </c>
      <c r="AH87" s="285">
        <v>22.5</v>
      </c>
    </row>
    <row r="88" spans="2:34">
      <c r="X88" s="279" t="s">
        <v>42</v>
      </c>
      <c r="Y88" s="285">
        <v>15.2</v>
      </c>
      <c r="Z88" s="285">
        <v>14.9</v>
      </c>
      <c r="AA88" s="285">
        <v>15.1</v>
      </c>
      <c r="AB88" s="285">
        <v>15.1</v>
      </c>
      <c r="AC88" s="285">
        <v>15</v>
      </c>
      <c r="AD88" s="285">
        <v>14.8</v>
      </c>
      <c r="AE88" s="285">
        <v>14.4</v>
      </c>
      <c r="AF88" s="285">
        <v>14.7</v>
      </c>
      <c r="AG88" s="285">
        <v>15.1</v>
      </c>
      <c r="AH88" s="285">
        <v>14.6</v>
      </c>
    </row>
    <row r="89" spans="2:34">
      <c r="X89" s="279" t="s">
        <v>46</v>
      </c>
      <c r="Y89" s="285">
        <v>11.8</v>
      </c>
      <c r="Z89" s="285">
        <v>11.7</v>
      </c>
      <c r="AA89" s="285">
        <v>11.9</v>
      </c>
      <c r="AB89" s="285">
        <v>11.9</v>
      </c>
      <c r="AC89" s="285">
        <v>11.6</v>
      </c>
      <c r="AD89" s="285">
        <v>11.5</v>
      </c>
      <c r="AE89" s="285">
        <v>11.2</v>
      </c>
      <c r="AF89" s="285">
        <v>11.6</v>
      </c>
      <c r="AG89" s="285">
        <v>11.4</v>
      </c>
      <c r="AH89" s="285">
        <v>11.5</v>
      </c>
    </row>
    <row r="90" spans="2:34">
      <c r="X90" s="279" t="s">
        <v>47</v>
      </c>
      <c r="Y90" s="285">
        <v>8.8000000000000007</v>
      </c>
      <c r="Z90" s="285">
        <v>8.9</v>
      </c>
      <c r="AA90" s="285">
        <v>9</v>
      </c>
      <c r="AB90" s="285">
        <v>9.3000000000000007</v>
      </c>
      <c r="AC90" s="285">
        <v>9.4</v>
      </c>
      <c r="AD90" s="285">
        <v>9.6</v>
      </c>
      <c r="AE90" s="285">
        <v>8.6</v>
      </c>
      <c r="AF90" s="285">
        <v>8.9</v>
      </c>
      <c r="AG90" s="285">
        <v>8.8000000000000007</v>
      </c>
      <c r="AH90" s="285">
        <v>8.8000000000000007</v>
      </c>
    </row>
    <row r="91" spans="2:34">
      <c r="X91" s="279" t="s">
        <v>43</v>
      </c>
      <c r="Y91" s="285">
        <v>5.3</v>
      </c>
      <c r="Z91" s="285">
        <v>5.2</v>
      </c>
      <c r="AA91" s="285">
        <v>5.2</v>
      </c>
      <c r="AB91" s="285">
        <v>5.0999999999999996</v>
      </c>
      <c r="AC91" s="285">
        <v>5.0999999999999996</v>
      </c>
      <c r="AD91" s="285">
        <v>5.2</v>
      </c>
      <c r="AE91" s="285">
        <v>5</v>
      </c>
      <c r="AF91" s="285">
        <v>5</v>
      </c>
      <c r="AG91" s="285">
        <v>4.9000000000000004</v>
      </c>
      <c r="AH91" s="285">
        <v>4.9000000000000004</v>
      </c>
    </row>
  </sheetData>
  <conditionalFormatting sqref="C4:K42">
    <cfRule type="cellIs" dxfId="183" priority="9" operator="lessThan">
      <formula>0</formula>
    </cfRule>
    <cfRule type="cellIs" dxfId="182" priority="10" operator="greaterThan">
      <formula>0</formula>
    </cfRule>
  </conditionalFormatting>
  <conditionalFormatting sqref="N4:V42">
    <cfRule type="cellIs" dxfId="181" priority="7" operator="lessThan">
      <formula>0</formula>
    </cfRule>
    <cfRule type="cellIs" dxfId="180" priority="8" operator="greaterThan">
      <formula>0</formula>
    </cfRule>
  </conditionalFormatting>
  <conditionalFormatting sqref="Y4:AG42">
    <cfRule type="cellIs" dxfId="179" priority="5" operator="lessThan">
      <formula>0</formula>
    </cfRule>
    <cfRule type="cellIs" dxfId="178" priority="6" operator="greaterThan">
      <formula>0</formula>
    </cfRule>
  </conditionalFormatting>
  <conditionalFormatting sqref="AJ4:AR42">
    <cfRule type="cellIs" dxfId="177" priority="3" operator="lessThan">
      <formula>0</formula>
    </cfRule>
    <cfRule type="cellIs" dxfId="176" priority="4" operator="greaterThan">
      <formula>0</formula>
    </cfRule>
  </conditionalFormatting>
  <conditionalFormatting sqref="AU4:BC42">
    <cfRule type="cellIs" dxfId="175" priority="1" operator="lessThan">
      <formula>0</formula>
    </cfRule>
    <cfRule type="cellIs" dxfId="174" priority="2" operator="greaterThan">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Y1036"/>
  <sheetViews>
    <sheetView zoomScale="63" zoomScaleNormal="63" zoomScaleSheetLayoutView="50" workbookViewId="0">
      <selection activeCell="A35" sqref="A35"/>
    </sheetView>
  </sheetViews>
  <sheetFormatPr defaultColWidth="9.140625" defaultRowHeight="15"/>
  <cols>
    <col min="1" max="1" width="4.85546875" style="8" customWidth="1"/>
    <col min="2" max="2" width="10.140625" style="8" bestFit="1" customWidth="1"/>
    <col min="3" max="3" width="10.5703125" style="8" customWidth="1"/>
    <col min="4" max="5" width="9.140625" style="8"/>
    <col min="6" max="6" width="7" style="8" customWidth="1"/>
    <col min="7" max="7" width="9.140625" style="8" customWidth="1"/>
    <col min="8" max="11" width="9.140625" style="8"/>
    <col min="12" max="12" width="21.140625" style="8" customWidth="1"/>
    <col min="13" max="16384" width="9.140625" style="8"/>
  </cols>
  <sheetData>
    <row r="1" spans="1:24" ht="9" customHeight="1"/>
    <row r="2" spans="1:24" ht="22.5" customHeight="1">
      <c r="A2" s="46"/>
      <c r="B2" s="46" t="s">
        <v>567</v>
      </c>
      <c r="C2" s="46"/>
      <c r="D2" s="46"/>
      <c r="E2" s="46"/>
      <c r="F2" s="46"/>
      <c r="G2" s="46"/>
      <c r="H2" s="46"/>
      <c r="I2" s="46"/>
      <c r="J2" s="46"/>
      <c r="K2" s="46"/>
      <c r="L2" s="46"/>
      <c r="M2" s="46"/>
      <c r="N2" s="46"/>
      <c r="O2" s="46"/>
      <c r="P2" s="46"/>
      <c r="Q2" s="46"/>
      <c r="R2" s="46"/>
      <c r="S2" s="46"/>
      <c r="T2" s="46"/>
      <c r="U2" s="46"/>
      <c r="V2" s="46"/>
      <c r="W2" s="46"/>
      <c r="X2" s="46"/>
    </row>
    <row r="3" spans="1:24" ht="6" customHeight="1"/>
    <row r="4" spans="1:24" ht="4.5" customHeight="1"/>
    <row r="5" spans="1:24" ht="19.5" customHeight="1">
      <c r="C5" s="8">
        <v>4</v>
      </c>
      <c r="G5" s="368" t="s">
        <v>342</v>
      </c>
      <c r="H5" s="368"/>
      <c r="I5" s="368"/>
      <c r="J5" s="368"/>
      <c r="K5" s="368"/>
      <c r="L5" s="92"/>
      <c r="M5" s="92"/>
      <c r="N5" s="92"/>
      <c r="O5" s="92"/>
      <c r="P5" s="92"/>
    </row>
    <row r="6" spans="1:24" ht="9" customHeight="1"/>
    <row r="7" spans="1:24">
      <c r="B7" s="8" t="str">
        <f>CONCATENATE(B1000," ",L1002, " - ", B999)</f>
        <v xml:space="preserve"> Temporary employees - European Union (28 countries)</v>
      </c>
      <c r="I7" s="8" t="str">
        <f>CONCATENATE(A1003, " - ", B999)</f>
        <v>Temporary employees as % of total employees - European Union (28 countries)</v>
      </c>
      <c r="P7" s="9" t="str">
        <f xml:space="preserve"> CONCATENATE( "Temporary employees by ", Q8, " - ", B999)</f>
        <v>Temporary employees by length of contracts - European Union (28 countries)</v>
      </c>
    </row>
    <row r="8" spans="1:24">
      <c r="P8" s="8" t="s">
        <v>96</v>
      </c>
      <c r="Q8" s="8" t="s">
        <v>175</v>
      </c>
    </row>
    <row r="23" spans="2:17" ht="42" customHeight="1"/>
    <row r="24" spans="2:17">
      <c r="B24" s="8" t="str">
        <f>CONCATENATE("Temporary employees",C25, B999)</f>
        <v>Temporary employees by education - European Union (28 countries)</v>
      </c>
      <c r="I24" s="8" t="str">
        <f>CONCATENATE("Temporary employees", J25, " - ", B999)</f>
        <v>Temporary employees by occupation  - European Union (28 countries)</v>
      </c>
      <c r="P24" s="8" t="str">
        <f>CONCATENATE("Temporary employees", Q25, " - ", B999)</f>
        <v>Temporary employees by economic activity - European Union (28 countries)</v>
      </c>
    </row>
    <row r="25" spans="2:17">
      <c r="B25" s="8" t="s">
        <v>96</v>
      </c>
      <c r="C25" s="8" t="s">
        <v>178</v>
      </c>
      <c r="J25" s="8" t="s">
        <v>176</v>
      </c>
      <c r="Q25" s="8" t="s">
        <v>177</v>
      </c>
    </row>
    <row r="38" spans="1:20">
      <c r="A38" s="370" t="s">
        <v>451</v>
      </c>
      <c r="B38" s="370"/>
      <c r="C38" s="370"/>
      <c r="D38" s="370"/>
      <c r="E38" s="370"/>
      <c r="F38" s="370"/>
    </row>
    <row r="41" spans="1:20">
      <c r="B41" s="370"/>
      <c r="C41" s="370"/>
      <c r="D41" s="370"/>
      <c r="E41" s="370"/>
      <c r="F41" s="370"/>
      <c r="G41" s="370"/>
    </row>
    <row r="44" spans="1:20">
      <c r="B44" s="369"/>
      <c r="C44" s="369"/>
      <c r="D44" s="369"/>
      <c r="E44" s="369"/>
      <c r="F44" s="369"/>
      <c r="G44" s="369"/>
      <c r="H44" s="369"/>
      <c r="I44" s="369"/>
      <c r="J44" s="369"/>
      <c r="K44" s="369"/>
      <c r="L44" s="369"/>
    </row>
    <row r="45" spans="1:20">
      <c r="B45" s="370"/>
      <c r="C45" s="370"/>
      <c r="D45" s="370"/>
      <c r="E45" s="370"/>
      <c r="F45" s="370"/>
      <c r="G45" s="370"/>
    </row>
    <row r="47" spans="1:20">
      <c r="T47" s="8" t="s">
        <v>123</v>
      </c>
    </row>
    <row r="999" spans="1:25">
      <c r="A999" s="8" t="s">
        <v>51</v>
      </c>
      <c r="B999" s="8" t="str">
        <f>VLOOKUP('Temp Employment'!$C$5,'Data-temp_employment'!A4:B42,2,FALSE)</f>
        <v>European Union (28 countries)</v>
      </c>
    </row>
    <row r="1001" spans="1:25">
      <c r="B1001" s="10" t="str">
        <f>'Data-temp_employment'!C3</f>
        <v>2016Q1</v>
      </c>
      <c r="C1001" s="10" t="str">
        <f>'Data-temp_employment'!D3</f>
        <v>2016Q2</v>
      </c>
      <c r="D1001" s="10" t="str">
        <f>'Data-temp_employment'!E3</f>
        <v>2016Q3</v>
      </c>
      <c r="E1001" s="10" t="str">
        <f>'Data-temp_employment'!F3</f>
        <v>2016Q4</v>
      </c>
      <c r="F1001" s="10" t="str">
        <f>'Data-temp_employment'!G3</f>
        <v>2017Q1</v>
      </c>
      <c r="G1001" s="10" t="str">
        <f>'Data-temp_employment'!H3</f>
        <v>2017Q2</v>
      </c>
      <c r="H1001" s="10" t="str">
        <f>'Data-temp_employment'!I3</f>
        <v>2017Q3</v>
      </c>
      <c r="I1001" s="10" t="str">
        <f>'Data-temp_employment'!J3</f>
        <v>2017Q4</v>
      </c>
      <c r="J1001" s="10" t="str">
        <f>'Data-temp_employment'!K3</f>
        <v>2018Q1</v>
      </c>
      <c r="K1001" s="10" t="str">
        <f>'Data-temp_employment'!L3</f>
        <v>2018Q2</v>
      </c>
      <c r="P1001" s="10"/>
      <c r="Q1001" s="10"/>
      <c r="R1001" s="10"/>
      <c r="S1001" s="10"/>
      <c r="T1001" s="10"/>
      <c r="U1001" s="10"/>
      <c r="V1001" s="10"/>
      <c r="W1001" s="10"/>
      <c r="X1001" s="10"/>
      <c r="Y1001" s="10"/>
    </row>
    <row r="1002" spans="1:25">
      <c r="A1002" s="8" t="s">
        <v>90</v>
      </c>
      <c r="B1002" s="8">
        <f>IF(ISNUMBER(VLOOKUP('Temp Employment'!$C$5,'Data-temp_employment'!$A$4:$W$42,14,FALSE)),VLOOKUP('Temp Employment'!$C$5,'Data-temp_employment'!$A$4:$W$42,14,FALSE), NA())</f>
        <v>25177.5</v>
      </c>
      <c r="C1002" s="8">
        <f>IF(ISNUMBER(VLOOKUP('Temp Employment'!$C$5,'Data-temp_employment'!$A$4:$W$42,15,FALSE)),VLOOKUP('Temp Employment'!$C$5,'Data-temp_employment'!$A$4:$W$42,15,FALSE), NA())</f>
        <v>26650.9</v>
      </c>
      <c r="D1002" s="8">
        <f>IF(ISNUMBER(VLOOKUP('Temp Employment'!$C$5,'Data-temp_employment'!$A$4:$W$42,16,FALSE)),VLOOKUP('Temp Employment'!$C$5,'Data-temp_employment'!$A$4:$W$42,16,FALSE), NA())</f>
        <v>27267.3</v>
      </c>
      <c r="E1002" s="8">
        <f>IF(ISNUMBER(VLOOKUP('Temp Employment'!$C$5,'Data-temp_employment'!$A$4:$W$42,17,FALSE)),VLOOKUP('Temp Employment'!$C$5,'Data-temp_employment'!$A$4:$W$42,17,FALSE), NA())</f>
        <v>26674</v>
      </c>
      <c r="F1002" s="8">
        <f>IF(ISNUMBER(VLOOKUP('Temp Employment'!$C$5,'Data-temp_employment'!$A$4:$W$42,18,FALSE)),VLOOKUP('Temp Employment'!$C$5,'Data-temp_employment'!$A$4:$W$42,18,FALSE), NA())</f>
        <v>25683.4</v>
      </c>
      <c r="G1002" s="8">
        <f>IF(ISNUMBER(VLOOKUP('Temp Employment'!$C$5,'Data-temp_employment'!$A$4:$W$42,19,FALSE)),VLOOKUP('Temp Employment'!$C$5,'Data-temp_employment'!$A$4:$W$42,19,FALSE), NA())</f>
        <v>27288.3</v>
      </c>
      <c r="H1002" s="8">
        <f>IF(ISNUMBER(VLOOKUP('Temp Employment'!$C$5,'Data-temp_employment'!$A$4:$W$42,20,FALSE)),VLOOKUP('Temp Employment'!$C$5,'Data-temp_employment'!$A$4:$W$42,20,FALSE), NA())</f>
        <v>28143.8</v>
      </c>
      <c r="I1002" s="8">
        <f>IF(ISNUMBER(VLOOKUP('Temp Employment'!$C$5,'Data-temp_employment'!$A$4:$W$42,21,FALSE)),VLOOKUP('Temp Employment'!$C$5,'Data-temp_employment'!$A$4:$W$42,21,FALSE), NA())</f>
        <v>27301</v>
      </c>
      <c r="J1002" s="8">
        <f>IF(ISNUMBER(VLOOKUP('Temp Employment'!$C$5,'Data-temp_employment'!$A$4:$W$42,22,FALSE)),VLOOKUP('Temp Employment'!$C$5,'Data-temp_employment'!$A$4:$W$42,22,FALSE), NA())</f>
        <v>26332.5</v>
      </c>
      <c r="K1002" s="8">
        <f>IF(ISNUMBER(VLOOKUP('Temp Employment'!$C$5,'Data-temp_employment'!$A$4:$W$42,23,FALSE)),VLOOKUP('Temp Employment'!$C$5,'Data-temp_employment'!$A$4:$W$42,23,FALSE), NA())</f>
        <v>27443.599999999999</v>
      </c>
      <c r="L1002" s="8" t="s">
        <v>161</v>
      </c>
      <c r="P1002" s="8">
        <f>IF(ISNUMBER(VLOOKUP('Temp Employment'!$C$5,'Data-temp_employment'!$A$4:$OG$42,267,FALSE)),VLOOKUP('Temp Employment'!$C$5,'Data-temp_employment'!$A$4:$OG$42,267,FALSE),NA())</f>
        <v>3661.2</v>
      </c>
      <c r="Q1002" s="8">
        <f>IF(ISNUMBER(VLOOKUP('Temp Employment'!$C$5,'Data-temp_employment'!$A$4:$OG$42,267,FALSE)),VLOOKUP('Temp Employment'!$C$5,'Data-temp_employment'!$A$4:$OG$42,267,FALSE),NA())</f>
        <v>3661.2</v>
      </c>
    </row>
    <row r="1003" spans="1:25">
      <c r="A1003" s="11" t="s">
        <v>174</v>
      </c>
      <c r="B1003" s="8">
        <f>VLOOKUP('Temp Employment'!$C$5,'Data-temp_employment'!$A$4:$W$42,3,FALSE)</f>
        <v>13.7</v>
      </c>
      <c r="C1003" s="8">
        <f>VLOOKUP('Temp Employment'!$C$5,'Data-temp_employment'!$A$4:$W$42,4,FALSE)</f>
        <v>14.4</v>
      </c>
      <c r="D1003" s="8">
        <f>VLOOKUP('Temp Employment'!$C$5,'Data-temp_employment'!$A$4:$W$42,5,FALSE)</f>
        <v>14.6</v>
      </c>
      <c r="E1003" s="8">
        <f>VLOOKUP('Temp Employment'!$C$5,'Data-temp_employment'!$A$4:$W$42,6,FALSE)</f>
        <v>14.3</v>
      </c>
      <c r="F1003" s="8">
        <f>VLOOKUP('Temp Employment'!$C$5,'Data-temp_employment'!$A$4:$W$42,7,FALSE)</f>
        <v>13.8</v>
      </c>
      <c r="G1003" s="8">
        <f>VLOOKUP('Temp Employment'!$C$5,'Data-temp_employment'!$A$4:$W$42,8,FALSE)</f>
        <v>14.4</v>
      </c>
      <c r="H1003" s="8">
        <f>VLOOKUP('Temp Employment'!$C$5,'Data-temp_employment'!$A$4:$W$42,9,FALSE)</f>
        <v>14.8</v>
      </c>
      <c r="I1003" s="8">
        <f>VLOOKUP('Temp Employment'!$C$5,'Data-temp_employment'!$A$4:$W$42,10,FALSE)</f>
        <v>14.3</v>
      </c>
      <c r="J1003" s="8">
        <f>VLOOKUP('Temp Employment'!$C$5,'Data-temp_employment'!$A$4:$W$42,11,FALSE)</f>
        <v>13.9</v>
      </c>
      <c r="K1003" s="8">
        <f>IF(ISNUMBER(VLOOKUP('Temp Employment'!$C$5,'Data-temp_employment'!$A$4:$W$42,12,FALSE)),VLOOKUP('Temp Employment'!$C$5,'Data-temp_employment'!$A$4:$W$42,12,FALSE), NA())</f>
        <v>14.3</v>
      </c>
      <c r="L1003" s="11" t="s">
        <v>95</v>
      </c>
    </row>
    <row r="1004" spans="1:25">
      <c r="A1004" s="8" t="s">
        <v>113</v>
      </c>
      <c r="B1004" s="12">
        <f>VLOOKUP('Temp Employment'!$C$5,'Data-temp_employment'!$A$4:$OG$42,25,FALSE)</f>
        <v>1192.7</v>
      </c>
      <c r="C1004" s="12">
        <f>VLOOKUP('Temp Employment'!$C$5,'Data-temp_employment'!$A$4:$OG$42,26,FALSE)</f>
        <v>1315</v>
      </c>
      <c r="D1004" s="12">
        <f>VLOOKUP('Temp Employment'!$C$5,'Data-temp_employment'!$A$4:$OG$42,27,FALSE)</f>
        <v>1331</v>
      </c>
      <c r="E1004" s="12">
        <f>VLOOKUP('Temp Employment'!$C$5,'Data-temp_employment'!$A$4:$OG$42,28,FALSE)</f>
        <v>1266.5</v>
      </c>
      <c r="F1004" s="12">
        <f>VLOOKUP('Temp Employment'!$C$5,'Data-temp_employment'!$A$4:$OG$42,29,FALSE)</f>
        <v>1240.9000000000001</v>
      </c>
      <c r="G1004" s="12">
        <f>VLOOKUP('Temp Employment'!$C$5,'Data-temp_employment'!$A$4:$OG$42,30,FALSE)</f>
        <v>1323.7</v>
      </c>
      <c r="H1004" s="12">
        <f>VLOOKUP('Temp Employment'!$C$5,'Data-temp_employment'!$A$4:$OG$42,31,FALSE)</f>
        <v>1389.7</v>
      </c>
      <c r="I1004" s="12">
        <f>VLOOKUP('Temp Employment'!$C$5,'Data-temp_employment'!$A$4:$OG$42,32,FALSE)</f>
        <v>1304.3</v>
      </c>
      <c r="J1004" s="12">
        <f>VLOOKUP('Temp Employment'!$C$5,'Data-temp_employment'!$A$4:$OG$42,33,FALSE)</f>
        <v>1200</v>
      </c>
      <c r="K1004" s="8">
        <f>IF(ISNUMBER(VLOOKUP('Temp Employment'!$C$5,'Data-temp_employment'!$A$4:$OG$42,34,FALSE)),VLOOKUP('Temp Employment'!$C$5,'Data-temp_employment'!$A$4:$OG$42,34,FALSE), NA())</f>
        <v>1304.3</v>
      </c>
      <c r="L1004" s="8" t="s">
        <v>91</v>
      </c>
    </row>
    <row r="1005" spans="1:25">
      <c r="A1005" s="8" t="s">
        <v>114</v>
      </c>
      <c r="B1005" s="12">
        <f>VLOOKUP('Temp Employment'!$C$5,'Data-temp_employment'!$A$4:$OG$42,36,FALSE)</f>
        <v>2507</v>
      </c>
      <c r="C1005" s="12">
        <f>VLOOKUP('Temp Employment'!$C$5,'Data-temp_employment'!$A$4:$OG$42,37,FALSE)</f>
        <v>2826.4</v>
      </c>
      <c r="D1005" s="12">
        <f>VLOOKUP('Temp Employment'!$C$5,'Data-temp_employment'!$A$4:$OG$42,38,FALSE)</f>
        <v>3722.2</v>
      </c>
      <c r="E1005" s="12">
        <f>VLOOKUP('Temp Employment'!$C$5,'Data-temp_employment'!$A$4:$OG$42,39,FALSE)</f>
        <v>2992.5</v>
      </c>
      <c r="F1005" s="12">
        <f>VLOOKUP('Temp Employment'!$C$5,'Data-temp_employment'!$A$4:$OG$42,40,FALSE)</f>
        <v>2538.6</v>
      </c>
      <c r="G1005" s="12">
        <f>VLOOKUP('Temp Employment'!$C$5,'Data-temp_employment'!$A$4:$OG$42,41,FALSE)</f>
        <v>2903.5</v>
      </c>
      <c r="H1005" s="12">
        <f>VLOOKUP('Temp Employment'!$C$5,'Data-temp_employment'!$A$4:$OG$42,42,FALSE)</f>
        <v>3865.5</v>
      </c>
      <c r="I1005" s="12">
        <f>VLOOKUP('Temp Employment'!$C$5,'Data-temp_employment'!$A$4:$OG$42,43,FALSE)</f>
        <v>3007</v>
      </c>
      <c r="J1005" s="12">
        <f>VLOOKUP('Temp Employment'!$C$5,'Data-temp_employment'!$A$4:$OG$42,44,FALSE)</f>
        <v>2612.3000000000002</v>
      </c>
      <c r="K1005" s="8">
        <f>IF(ISNUMBER(VLOOKUP('Temp Employment'!$C$5,'Data-temp_employment'!$A$4:$OG$42,45,FALSE)),VLOOKUP('Temp Employment'!$C$5,'Data-temp_employment'!$A$4:$OG$42,45,FALSE), NA())</f>
        <v>2970.3</v>
      </c>
      <c r="L1005" s="8" t="s">
        <v>92</v>
      </c>
    </row>
    <row r="1006" spans="1:25">
      <c r="A1006" s="8" t="s">
        <v>115</v>
      </c>
      <c r="B1006" s="12">
        <f>VLOOKUP('Temp Employment'!$C$5,'Data-temp_employment'!$A$4:$OG$42,47,FALSE)</f>
        <v>3539.8</v>
      </c>
      <c r="C1006" s="12">
        <f>VLOOKUP('Temp Employment'!$C$5,'Data-temp_employment'!$A$4:$OG$42,48,FALSE)</f>
        <v>4074.8</v>
      </c>
      <c r="D1006" s="12">
        <f>VLOOKUP('Temp Employment'!$C$5,'Data-temp_employment'!$A$4:$OG$42,49,FALSE)</f>
        <v>4233.8999999999996</v>
      </c>
      <c r="E1006" s="12">
        <f>VLOOKUP('Temp Employment'!$C$5,'Data-temp_employment'!$A$4:$OG$42,50,FALSE)</f>
        <v>3770.2</v>
      </c>
      <c r="F1006" s="12">
        <f>VLOOKUP('Temp Employment'!$C$5,'Data-temp_employment'!$A$4:$OG$42,51,FALSE)</f>
        <v>3507.5</v>
      </c>
      <c r="G1006" s="12">
        <f>VLOOKUP('Temp Employment'!$C$5,'Data-temp_employment'!$A$4:$OG$42,52,FALSE)</f>
        <v>4125.2</v>
      </c>
      <c r="H1006" s="12">
        <f>VLOOKUP('Temp Employment'!$C$5,'Data-temp_employment'!$A$4:$OG$42,53,FALSE)</f>
        <v>4523.8</v>
      </c>
      <c r="I1006" s="12">
        <f>VLOOKUP('Temp Employment'!$C$5,'Data-temp_employment'!$A$4:$OG$42,54,FALSE)</f>
        <v>4035.7</v>
      </c>
      <c r="J1006" s="12">
        <f>VLOOKUP('Temp Employment'!$C$5,'Data-temp_employment'!$A$4:$OG$42,55,FALSE)</f>
        <v>3742.2</v>
      </c>
      <c r="K1006" s="8">
        <f>IF(ISNUMBER(VLOOKUP('Temp Employment'!$C$5,'Data-temp_employment'!$A$4:$OG$42,56,FALSE)),VLOOKUP('Temp Employment'!$C$5,'Data-temp_employment'!$A$4:$OG$42,56,FALSE), NA())</f>
        <v>4244</v>
      </c>
      <c r="L1006" s="8" t="s">
        <v>93</v>
      </c>
    </row>
    <row r="1007" spans="1:25">
      <c r="A1007" s="8" t="s">
        <v>116</v>
      </c>
      <c r="B1007" s="12">
        <f>VLOOKUP('Temp Employment'!$C$5,'Data-temp_employment'!$A$4:$OG$42,58,FALSE)</f>
        <v>6486.7</v>
      </c>
      <c r="C1007" s="12">
        <f>VLOOKUP('Temp Employment'!$C$5,'Data-temp_employment'!$A$4:$OG$42,59,FALSE)</f>
        <v>6691.5</v>
      </c>
      <c r="D1007" s="12">
        <f>VLOOKUP('Temp Employment'!$C$5,'Data-temp_employment'!$A$4:$OG$42,60,FALSE)</f>
        <v>6343.2</v>
      </c>
      <c r="E1007" s="12">
        <f>VLOOKUP('Temp Employment'!$C$5,'Data-temp_employment'!$A$4:$OG$42,61,FALSE)</f>
        <v>6643.6</v>
      </c>
      <c r="F1007" s="12">
        <f>VLOOKUP('Temp Employment'!$C$5,'Data-temp_employment'!$A$4:$OG$42,62,FALSE)</f>
        <v>6640.3</v>
      </c>
      <c r="G1007" s="12">
        <f>VLOOKUP('Temp Employment'!$C$5,'Data-temp_employment'!$A$4:$OG$42,63,FALSE)</f>
        <v>7017.5</v>
      </c>
      <c r="H1007" s="12">
        <f>VLOOKUP('Temp Employment'!$C$5,'Data-temp_employment'!$A$4:$OG$42,64,FALSE)</f>
        <v>6674.1</v>
      </c>
      <c r="I1007" s="12">
        <f>VLOOKUP('Temp Employment'!$C$5,'Data-temp_employment'!$A$4:$OG$42,65,FALSE)</f>
        <v>7004.2</v>
      </c>
      <c r="J1007" s="12">
        <f>VLOOKUP('Temp Employment'!$C$5,'Data-temp_employment'!$A$4:$OG$42,66,FALSE)</f>
        <v>6890.2</v>
      </c>
      <c r="K1007" s="8">
        <f>IF(ISNUMBER(VLOOKUP('Temp Employment'!$C$5,'Data-temp_employment'!$A$4:$OG$42,67,FALSE)),VLOOKUP('Temp Employment'!$C$5,'Data-temp_employment'!$A$4:$OG$42,67,FALSE), NA())</f>
        <v>7135.8</v>
      </c>
      <c r="L1007" s="8" t="s">
        <v>94</v>
      </c>
    </row>
    <row r="1008" spans="1:25">
      <c r="A1008" s="8" t="s">
        <v>117</v>
      </c>
      <c r="B1008" s="12">
        <f>IF(ISNUMBER(VLOOKUP('Temp Employment'!$C$5,'Data-temp_employment'!$A$4:$OG$42,69,FALSE)),VLOOKUP('Temp Employment'!$C$5,'Data-temp_employment'!$A$4:$OG$42,69,FALSE),NA())</f>
        <v>2824</v>
      </c>
      <c r="C1008" s="12">
        <f>IF(ISNUMBER(VLOOKUP('Temp Employment'!$C$5,'Data-temp_employment'!$A$4:$OG$42,70,FALSE)),VLOOKUP('Temp Employment'!$C$5,'Data-temp_employment'!$A$4:$OG$42,70,FALSE),NA())</f>
        <v>2881.1</v>
      </c>
      <c r="D1008" s="12">
        <f>IF(ISNUMBER(VLOOKUP('Temp Employment'!$C$5,'Data-temp_employment'!$A$4:$OG$42,71,FALSE)),VLOOKUP('Temp Employment'!$C$5,'Data-temp_employment'!$A$4:$OG$42,71,FALSE),NA())</f>
        <v>2860.5</v>
      </c>
      <c r="E1008" s="12">
        <f>IF(ISNUMBER(VLOOKUP('Temp Employment'!$C$5,'Data-temp_employment'!$A$4:$OG$42,72,FALSE)),VLOOKUP('Temp Employment'!$C$5,'Data-temp_employment'!$A$4:$OG$42,72,FALSE),NA())</f>
        <v>2921.8999999999996</v>
      </c>
      <c r="F1008" s="12">
        <f>IF(ISNUMBER(VLOOKUP('Temp Employment'!$C$5,'Data-temp_employment'!$A$4:$OG$42,73,FALSE)),VLOOKUP('Temp Employment'!$C$5,'Data-temp_employment'!$A$4:$OG$42,73,FALSE),NA())</f>
        <v>2906.3999999999996</v>
      </c>
      <c r="G1008" s="12">
        <f>IF(ISNUMBER(VLOOKUP('Temp Employment'!$C$5,'Data-temp_employment'!$A$4:$OG$42,74,FALSE)),VLOOKUP('Temp Employment'!$C$5,'Data-temp_employment'!$A$4:$OG$42,74,FALSE),NA())</f>
        <v>2983.7</v>
      </c>
      <c r="H1008" s="12">
        <f>IF(ISNUMBER(VLOOKUP('Temp Employment'!$C$5,'Data-temp_employment'!$A$4:$OG$42,75,FALSE)),VLOOKUP('Temp Employment'!$C$5,'Data-temp_employment'!$A$4:$OG$42,75,FALSE),NA())</f>
        <v>2932.6</v>
      </c>
      <c r="I1008" s="12">
        <f>IF(ISNUMBER(VLOOKUP('Temp Employment'!$C$5,'Data-temp_employment'!$A$4:$OG$42,76,FALSE)),VLOOKUP('Temp Employment'!$C$5,'Data-temp_employment'!$A$4:$OG$42,76,FALSE),NA())</f>
        <v>2875.8</v>
      </c>
      <c r="J1008" s="12">
        <f>IF(ISNUMBER(VLOOKUP('Temp Employment'!$C$5,'Data-temp_employment'!$A$4:$OG$42,77,FALSE)),VLOOKUP('Temp Employment'!$C$5,'Data-temp_employment'!$A$4:$OG$42,77,FALSE),NA())</f>
        <v>2850.7</v>
      </c>
      <c r="K1008" s="12">
        <f>IF(ISNUMBER(VLOOKUP('Temp Employment'!$C$5,'Data-temp_employment'!$A$4:$OG$42,78,FALSE)),VLOOKUP('Temp Employment'!$C$5,'Data-temp_employment'!$A$4:$OG$42,78,FALSE),NA())</f>
        <v>2885.2</v>
      </c>
      <c r="L1008" s="8" t="s">
        <v>111</v>
      </c>
    </row>
    <row r="1009" spans="1:12">
      <c r="A1009" s="8" t="s">
        <v>118</v>
      </c>
      <c r="B1009" s="12">
        <f>IF(ISNUMBER(VLOOKUP('Temp Employment'!$C$5,'Data-temp_employment'!$A$4:$OG$42,80,FALSE)),VLOOKUP('Temp Employment'!$C$5,'Data-temp_employment'!$A$4:$OG$42,80,FALSE),NA())</f>
        <v>4270.2</v>
      </c>
      <c r="C1009" s="12">
        <f>IF(ISNUMBER(VLOOKUP('Temp Employment'!$C$5,'Data-temp_employment'!$A$4:$OG$42,81,FALSE)),VLOOKUP('Temp Employment'!$C$5,'Data-temp_employment'!$A$4:$OG$42,81,FALSE),NA())</f>
        <v>4175.7999999999993</v>
      </c>
      <c r="D1009" s="12">
        <f>IF(ISNUMBER(VLOOKUP('Temp Employment'!$C$5,'Data-temp_employment'!$A$4:$OG$42,82,FALSE)),VLOOKUP('Temp Employment'!$C$5,'Data-temp_employment'!$A$4:$OG$42,82,FALSE),NA())</f>
        <v>4155.7</v>
      </c>
      <c r="E1009" s="12">
        <f>IF(ISNUMBER(VLOOKUP('Temp Employment'!$C$5,'Data-temp_employment'!$A$4:$OG$42,83,FALSE)),VLOOKUP('Temp Employment'!$C$5,'Data-temp_employment'!$A$4:$OG$42,83,FALSE),NA())</f>
        <v>4346.7999999999993</v>
      </c>
      <c r="F1009" s="12">
        <f>IF(ISNUMBER(VLOOKUP('Temp Employment'!$C$5,'Data-temp_employment'!$A$4:$OG$42,84,FALSE)),VLOOKUP('Temp Employment'!$C$5,'Data-temp_employment'!$A$4:$OG$42,84,FALSE),NA())</f>
        <v>4197</v>
      </c>
      <c r="G1009" s="12">
        <f>IF(ISNUMBER(VLOOKUP('Temp Employment'!$C$5,'Data-temp_employment'!$A$4:$OG$42,85,FALSE)),VLOOKUP('Temp Employment'!$C$5,'Data-temp_employment'!$A$4:$OG$42,85,FALSE),NA())</f>
        <v>4142.3</v>
      </c>
      <c r="H1009" s="12">
        <f>IF(ISNUMBER(VLOOKUP('Temp Employment'!$C$5,'Data-temp_employment'!$A$4:$OG$42,86,FALSE)),VLOOKUP('Temp Employment'!$C$5,'Data-temp_employment'!$A$4:$OG$42,86,FALSE),NA())</f>
        <v>4097.7999999999993</v>
      </c>
      <c r="I1009" s="12">
        <f>IF(ISNUMBER(VLOOKUP('Temp Employment'!$C$5,'Data-temp_employment'!$A$4:$OG$42,87,FALSE)),VLOOKUP('Temp Employment'!$C$5,'Data-temp_employment'!$A$4:$OG$42,87,FALSE),NA())</f>
        <v>4232.3</v>
      </c>
      <c r="J1009" s="12">
        <f>IF(ISNUMBER(VLOOKUP('Temp Employment'!$C$5,'Data-temp_employment'!$A$4:$OG$42,88,FALSE)),VLOOKUP('Temp Employment'!$C$5,'Data-temp_employment'!$A$4:$OG$42,88,FALSE),NA())</f>
        <v>4213.1000000000004</v>
      </c>
      <c r="K1009" s="12">
        <f>IF(ISNUMBER(VLOOKUP('Temp Employment'!$C$5,'Data-temp_employment'!$A$4:$OG$42,89,FALSE)),VLOOKUP('Temp Employment'!$C$5,'Data-temp_employment'!$A$4:$OG$42,89,FALSE),NA())</f>
        <v>4054.1</v>
      </c>
      <c r="L1009" s="8" t="s">
        <v>112</v>
      </c>
    </row>
    <row r="1010" spans="1:12">
      <c r="A1010" s="8" t="s">
        <v>119</v>
      </c>
      <c r="B1010" s="12">
        <f>B1002-SUM(B1005:B1009)</f>
        <v>5549.7999999999993</v>
      </c>
      <c r="C1010" s="12">
        <f t="shared" ref="C1010:K1010" si="0">C1002-SUM(C1005:C1009)</f>
        <v>6001.3000000000029</v>
      </c>
      <c r="D1010" s="12">
        <f t="shared" si="0"/>
        <v>5951.7999999999993</v>
      </c>
      <c r="E1010" s="12">
        <f t="shared" si="0"/>
        <v>5999</v>
      </c>
      <c r="F1010" s="12">
        <f t="shared" si="0"/>
        <v>5893.5999999999985</v>
      </c>
      <c r="G1010" s="12">
        <f t="shared" si="0"/>
        <v>6116.0999999999985</v>
      </c>
      <c r="H1010" s="12">
        <f t="shared" si="0"/>
        <v>6050</v>
      </c>
      <c r="I1010" s="12">
        <f t="shared" si="0"/>
        <v>6146</v>
      </c>
      <c r="J1010" s="12">
        <f t="shared" si="0"/>
        <v>6024</v>
      </c>
      <c r="K1010" s="12">
        <f t="shared" si="0"/>
        <v>6154.2000000000007</v>
      </c>
    </row>
    <row r="1011" spans="1:12">
      <c r="A1011" s="8" t="s">
        <v>97</v>
      </c>
      <c r="B1011" s="12">
        <f>IF(ISNUMBER(VLOOKUP('Temp Employment'!$C$5,'Data-temp_employment'!$A$4:$OG$42,91,FALSE)),VLOOKUP('Temp Employment'!$C$5,'Data-temp_employment'!$A$4:$OG$42,91,FALSE),NA())</f>
        <v>6350.5</v>
      </c>
      <c r="C1011" s="12">
        <f>IF(ISNUMBER(VLOOKUP('Temp Employment'!$C$5,'Data-temp_employment'!$A$4:$OG$42,92,FALSE)),VLOOKUP('Temp Employment'!$C$5,'Data-temp_employment'!$A$4:$OG$42,92,FALSE),NA())</f>
        <v>6830.9</v>
      </c>
      <c r="D1011" s="12">
        <f>IF(ISNUMBER(VLOOKUP('Temp Employment'!$C$5,'Data-temp_employment'!$A$4:$OG$42,93,FALSE)),VLOOKUP('Temp Employment'!$C$5,'Data-temp_employment'!$A$4:$OG$42,93,FALSE),NA())</f>
        <v>7032.4</v>
      </c>
      <c r="E1011" s="12">
        <f>IF(ISNUMBER(VLOOKUP('Temp Employment'!$C$5,'Data-temp_employment'!$A$4:$OG$42,94,FALSE)),VLOOKUP('Temp Employment'!$C$5,'Data-temp_employment'!$A$4:$OG$42,94,FALSE),NA())</f>
        <v>6939.9</v>
      </c>
      <c r="F1011" s="12">
        <f>IF(ISNUMBER(VLOOKUP('Temp Employment'!$C$5,'Data-temp_employment'!$A$4:$OG$42,95,FALSE)),VLOOKUP('Temp Employment'!$C$5,'Data-temp_employment'!$A$4:$OG$42,95,FALSE),NA())</f>
        <v>6546.8</v>
      </c>
      <c r="G1011" s="12">
        <f>IF(ISNUMBER(VLOOKUP('Temp Employment'!$C$5,'Data-temp_employment'!$A$4:$OG$42,96,FALSE)),VLOOKUP('Temp Employment'!$C$5,'Data-temp_employment'!$A$4:$OG$42,96,FALSE),NA())</f>
        <v>7128.4</v>
      </c>
      <c r="H1011" s="12">
        <f>IF(ISNUMBER(VLOOKUP('Temp Employment'!$C$5,'Data-temp_employment'!$A$4:$OG$42,97,FALSE)),VLOOKUP('Temp Employment'!$C$5,'Data-temp_employment'!$A$4:$OG$42,97,FALSE),NA())</f>
        <v>7465.9</v>
      </c>
      <c r="I1011" s="12">
        <f>IF(ISNUMBER(VLOOKUP('Temp Employment'!$C$5,'Data-temp_employment'!$A$4:$OG$42,98,FALSE)),VLOOKUP('Temp Employment'!$C$5,'Data-temp_employment'!$A$4:$OG$42,98,FALSE),NA())</f>
        <v>7119.9</v>
      </c>
      <c r="J1011" s="12">
        <f>IF(ISNUMBER(VLOOKUP('Temp Employment'!$C$5,'Data-temp_employment'!$A$4:$OG$42,99,FALSE)),VLOOKUP('Temp Employment'!$C$5,'Data-temp_employment'!$A$4:$OG$42,99,FALSE),NA())</f>
        <v>6803.8</v>
      </c>
      <c r="K1011" s="12">
        <f>IF(ISNUMBER(VLOOKUP('Temp Employment'!$C$5,'Data-temp_employment'!$A$4:$OG$42,100,FALSE)),VLOOKUP('Temp Employment'!$C$5,'Data-temp_employment'!$A$4:$OG$42,100,FALSE),NA())</f>
        <v>7276.3</v>
      </c>
    </row>
    <row r="1012" spans="1:12">
      <c r="A1012" s="8" t="s">
        <v>98</v>
      </c>
      <c r="B1012" s="12">
        <f>IF(ISNUMBER(VLOOKUP('Temp Employment'!$C$5,'Data-temp_employment'!$A$4:$OG$42,102,FALSE)),VLOOKUP('Temp Employment'!$C$5,'Data-temp_employment'!$A$4:$OG$42,102,FALSE),NA())</f>
        <v>11511.5</v>
      </c>
      <c r="C1012" s="12">
        <f>IF(ISNUMBER(VLOOKUP('Temp Employment'!$C$5,'Data-temp_employment'!$A$4:$OG$42,103,FALSE)),VLOOKUP('Temp Employment'!$C$5,'Data-temp_employment'!$A$4:$OG$42,103,FALSE),NA())</f>
        <v>12272.2</v>
      </c>
      <c r="D1012" s="12">
        <f>IF(ISNUMBER(VLOOKUP('Temp Employment'!$C$5,'Data-temp_employment'!$A$4:$OG$42,104,FALSE)),VLOOKUP('Temp Employment'!$C$5,'Data-temp_employment'!$A$4:$OG$42,104,FALSE),NA())</f>
        <v>12665.4</v>
      </c>
      <c r="E1012" s="12">
        <f>IF(ISNUMBER(VLOOKUP('Temp Employment'!$C$5,'Data-temp_employment'!$A$4:$OG$42,105,FALSE)),VLOOKUP('Temp Employment'!$C$5,'Data-temp_employment'!$A$4:$OG$42,105,FALSE),NA())</f>
        <v>12164.8</v>
      </c>
      <c r="F1012" s="12">
        <f>IF(ISNUMBER(VLOOKUP('Temp Employment'!$C$5,'Data-temp_employment'!$A$4:$OG$42,106,FALSE)),VLOOKUP('Temp Employment'!$C$5,'Data-temp_employment'!$A$4:$OG$42,106,FALSE),NA())</f>
        <v>11633.9</v>
      </c>
      <c r="G1012" s="12">
        <f>IF(ISNUMBER(VLOOKUP('Temp Employment'!$C$5,'Data-temp_employment'!$A$4:$OG$42,107,FALSE)),VLOOKUP('Temp Employment'!$C$5,'Data-temp_employment'!$A$4:$OG$42,107,FALSE),NA())</f>
        <v>12328.7</v>
      </c>
      <c r="H1012" s="12">
        <f>IF(ISNUMBER(VLOOKUP('Temp Employment'!$C$5,'Data-temp_employment'!$A$4:$OG$42,108,FALSE)),VLOOKUP('Temp Employment'!$C$5,'Data-temp_employment'!$A$4:$OG$42,108,FALSE),NA())</f>
        <v>12795.2</v>
      </c>
      <c r="I1012" s="12">
        <f>IF(ISNUMBER(VLOOKUP('Temp Employment'!$C$5,'Data-temp_employment'!$A$4:$OG$42,109,FALSE)),VLOOKUP('Temp Employment'!$C$5,'Data-temp_employment'!$A$4:$OG$42,109,FALSE),NA())</f>
        <v>12285.3</v>
      </c>
      <c r="J1012" s="12">
        <f>IF(ISNUMBER(VLOOKUP('Temp Employment'!$C$5,'Data-temp_employment'!$A$4:$OG$42,110,FALSE)),VLOOKUP('Temp Employment'!$C$5,'Data-temp_employment'!$A$4:$OG$42,110,FALSE),NA())</f>
        <v>11753.5</v>
      </c>
      <c r="K1012" s="12">
        <f>IF(ISNUMBER(VLOOKUP('Temp Employment'!$C$5,'Data-temp_employment'!$A$4:$OG$42,111,FALSE)),VLOOKUP('Temp Employment'!$C$5,'Data-temp_employment'!$A$4:$OG$42,111,FALSE),NA())</f>
        <v>12205.2</v>
      </c>
    </row>
    <row r="1013" spans="1:12">
      <c r="A1013" s="8" t="s">
        <v>99</v>
      </c>
      <c r="B1013" s="12">
        <f>IF(ISNUMBER(VLOOKUP('Temp Employment'!$C$5,'Data-temp_employment'!$A$4:$OG$42,113,FALSE)),VLOOKUP('Temp Employment'!$C$5,'Data-temp_employment'!$A$4:$OG$42,113,FALSE),NA())</f>
        <v>7245.3</v>
      </c>
      <c r="C1013" s="12">
        <f>IF(ISNUMBER(VLOOKUP('Temp Employment'!$C$5,'Data-temp_employment'!$A$4:$OG$42,114,FALSE)),VLOOKUP('Temp Employment'!$C$5,'Data-temp_employment'!$A$4:$OG$42,114,FALSE),NA())</f>
        <v>7470.1</v>
      </c>
      <c r="D1013" s="12">
        <f>IF(ISNUMBER(VLOOKUP('Temp Employment'!$C$5,'Data-temp_employment'!$A$4:$OG$42,115,FALSE)),VLOOKUP('Temp Employment'!$C$5,'Data-temp_employment'!$A$4:$OG$42,115,FALSE),NA())</f>
        <v>7497.7</v>
      </c>
      <c r="E1013" s="12">
        <f>IF(ISNUMBER(VLOOKUP('Temp Employment'!$C$5,'Data-temp_employment'!$A$4:$OG$42,116,FALSE)),VLOOKUP('Temp Employment'!$C$5,'Data-temp_employment'!$A$4:$OG$42,116,FALSE),NA())</f>
        <v>7493.4</v>
      </c>
      <c r="F1013" s="12">
        <f>IF(ISNUMBER(VLOOKUP('Temp Employment'!$C$5,'Data-temp_employment'!$A$4:$OG$42,117,FALSE)),VLOOKUP('Temp Employment'!$C$5,'Data-temp_employment'!$A$4:$OG$42,117,FALSE),NA())</f>
        <v>7418.6</v>
      </c>
      <c r="G1013" s="12">
        <f>IF(ISNUMBER(VLOOKUP('Temp Employment'!$C$5,'Data-temp_employment'!$A$4:$OG$42,118,FALSE)),VLOOKUP('Temp Employment'!$C$5,'Data-temp_employment'!$A$4:$OG$42,118,FALSE),NA())</f>
        <v>7757.9</v>
      </c>
      <c r="H1013" s="12">
        <f>IF(ISNUMBER(VLOOKUP('Temp Employment'!$C$5,'Data-temp_employment'!$A$4:$OG$42,119,FALSE)),VLOOKUP('Temp Employment'!$C$5,'Data-temp_employment'!$A$4:$OG$42,119,FALSE),NA())</f>
        <v>7796.8</v>
      </c>
      <c r="I1013" s="12">
        <f>IF(ISNUMBER(VLOOKUP('Temp Employment'!$C$5,'Data-temp_employment'!$A$4:$OG$42,120,FALSE)),VLOOKUP('Temp Employment'!$C$5,'Data-temp_employment'!$A$4:$OG$42,120,FALSE),NA())</f>
        <v>7816</v>
      </c>
      <c r="J1013" s="12">
        <f>IF(ISNUMBER(VLOOKUP('Temp Employment'!$C$5,'Data-temp_employment'!$A$4:$OG$42,121,FALSE)),VLOOKUP('Temp Employment'!$C$5,'Data-temp_employment'!$A$4:$OG$42,121,FALSE),NA())</f>
        <v>7701.4</v>
      </c>
      <c r="K1013" s="12">
        <f>IF(ISNUMBER(VLOOKUP('Temp Employment'!$C$5,'Data-temp_employment'!$A$4:$OG$42,122,FALSE)),VLOOKUP('Temp Employment'!$C$5,'Data-temp_employment'!$A$4:$OG$42,122,FALSE),NA())</f>
        <v>7894.9</v>
      </c>
    </row>
    <row r="1014" spans="1:12">
      <c r="A1014" s="8" t="s">
        <v>100</v>
      </c>
      <c r="B1014" s="12">
        <f>IF(ISNUMBER(VLOOKUP('Temp Employment'!$C$5,'Data-temp_employment'!$A$4:$OG$42,135,FALSE)),VLOOKUP('Temp Employment'!$C$5,'Data-temp_employment'!$A$4:$OG$42,135,FALSE),NA())</f>
        <v>329.6</v>
      </c>
      <c r="C1014" s="12">
        <f>IF(ISNUMBER(VLOOKUP('Temp Employment'!$C$5,'Data-temp_employment'!$A$4:$OG$42,136,FALSE)),VLOOKUP('Temp Employment'!$C$5,'Data-temp_employment'!$A$4:$OG$42,136,FALSE),NA())</f>
        <v>344</v>
      </c>
      <c r="D1014" s="12">
        <f>IF(ISNUMBER(VLOOKUP('Temp Employment'!$C$5,'Data-temp_employment'!$A$4:$OG$42,137,FALSE)),VLOOKUP('Temp Employment'!$C$5,'Data-temp_employment'!$A$4:$OG$42,137,FALSE),NA())</f>
        <v>369.2</v>
      </c>
      <c r="E1014" s="12">
        <f>IF(ISNUMBER(VLOOKUP('Temp Employment'!$C$5,'Data-temp_employment'!$A$4:$OG$42,138,FALSE)),VLOOKUP('Temp Employment'!$C$5,'Data-temp_employment'!$A$4:$OG$42,138,FALSE),NA())</f>
        <v>358.6</v>
      </c>
      <c r="F1014" s="12">
        <f>IF(ISNUMBER(VLOOKUP('Temp Employment'!$C$5,'Data-temp_employment'!$A$4:$OG$42,139,FALSE)),VLOOKUP('Temp Employment'!$C$5,'Data-temp_employment'!$A$4:$OG$42,139,FALSE),NA())</f>
        <v>327.60000000000002</v>
      </c>
      <c r="G1014" s="12">
        <f>IF(ISNUMBER(VLOOKUP('Temp Employment'!$C$5,'Data-temp_employment'!$A$4:$OG$42,140,FALSE)),VLOOKUP('Temp Employment'!$C$5,'Data-temp_employment'!$A$4:$OG$42,140,FALSE),NA())</f>
        <v>322.5</v>
      </c>
      <c r="H1014" s="12">
        <f>IF(ISNUMBER(VLOOKUP('Temp Employment'!$C$5,'Data-temp_employment'!$A$4:$OG$42,141,FALSE)),VLOOKUP('Temp Employment'!$C$5,'Data-temp_employment'!$A$4:$OG$42,141,FALSE),NA())</f>
        <v>366.9</v>
      </c>
      <c r="I1014" s="12">
        <f>IF(ISNUMBER(VLOOKUP('Temp Employment'!$C$5,'Data-temp_employment'!$A$4:$OG$42,142,FALSE)),VLOOKUP('Temp Employment'!$C$5,'Data-temp_employment'!$A$4:$OG$42,142,FALSE),NA())</f>
        <v>346.5</v>
      </c>
      <c r="J1014" s="12">
        <f>IF(ISNUMBER(VLOOKUP('Temp Employment'!$C$5,'Data-temp_employment'!$A$4:$OG$42,143,FALSE)),VLOOKUP('Temp Employment'!$C$5,'Data-temp_employment'!$A$4:$OG$42,143,FALSE),NA())</f>
        <v>317.5</v>
      </c>
      <c r="K1014" s="12">
        <f>IF(ISNUMBER(VLOOKUP('Temp Employment'!$C$5,'Data-temp_employment'!$A$4:$OG$42,144,FALSE)),VLOOKUP('Temp Employment'!$C$5,'Data-temp_employment'!$A$4:$OG$42,144,FALSE),NA())</f>
        <v>294.10000000000002</v>
      </c>
    </row>
    <row r="1015" spans="1:12">
      <c r="A1015" s="8" t="s">
        <v>101</v>
      </c>
      <c r="B1015" s="12">
        <f>IF(ISNUMBER(VLOOKUP('Temp Employment'!$C$5,'Data-temp_employment'!$A$4:$OG$42,146,FALSE)),VLOOKUP('Temp Employment'!$C$5,'Data-temp_employment'!$A$4:$OG$42,146,FALSE),NA())</f>
        <v>4063.3</v>
      </c>
      <c r="C1015" s="12">
        <f>IF(ISNUMBER(VLOOKUP('Temp Employment'!$C$5,'Data-temp_employment'!$A$4:$OG$42,147,FALSE)),VLOOKUP('Temp Employment'!$C$5,'Data-temp_employment'!$A$4:$OG$42,147,FALSE),NA())</f>
        <v>4133</v>
      </c>
      <c r="D1015" s="12">
        <f>IF(ISNUMBER(VLOOKUP('Temp Employment'!$C$5,'Data-temp_employment'!$A$4:$OG$42,148,FALSE)),VLOOKUP('Temp Employment'!$C$5,'Data-temp_employment'!$A$4:$OG$42,148,FALSE),NA())</f>
        <v>3851.9</v>
      </c>
      <c r="E1015" s="12">
        <f>IF(ISNUMBER(VLOOKUP('Temp Employment'!$C$5,'Data-temp_employment'!$A$4:$OG$42,149,FALSE)),VLOOKUP('Temp Employment'!$C$5,'Data-temp_employment'!$A$4:$OG$42,149,FALSE),NA())</f>
        <v>4112</v>
      </c>
      <c r="F1015" s="12">
        <f>IF(ISNUMBER(VLOOKUP('Temp Employment'!$C$5,'Data-temp_employment'!$A$4:$OG$42,150,FALSE)),VLOOKUP('Temp Employment'!$C$5,'Data-temp_employment'!$A$4:$OG$42,150,FALSE),NA())</f>
        <v>4112.5</v>
      </c>
      <c r="G1015" s="12">
        <f>IF(ISNUMBER(VLOOKUP('Temp Employment'!$C$5,'Data-temp_employment'!$A$4:$OG$42,151,FALSE)),VLOOKUP('Temp Employment'!$C$5,'Data-temp_employment'!$A$4:$OG$42,151,FALSE),NA())</f>
        <v>4250.5</v>
      </c>
      <c r="H1015" s="12">
        <f>IF(ISNUMBER(VLOOKUP('Temp Employment'!$C$5,'Data-temp_employment'!$A$4:$OG$42,152,FALSE)),VLOOKUP('Temp Employment'!$C$5,'Data-temp_employment'!$A$4:$OG$42,152,FALSE),NA())</f>
        <v>3935.3</v>
      </c>
      <c r="I1015" s="12">
        <f>IF(ISNUMBER(VLOOKUP('Temp Employment'!$C$5,'Data-temp_employment'!$A$4:$OG$42,153,FALSE)),VLOOKUP('Temp Employment'!$C$5,'Data-temp_employment'!$A$4:$OG$42,153,FALSE),NA())</f>
        <v>4225.3</v>
      </c>
      <c r="J1015" s="12">
        <f>IF(ISNUMBER(VLOOKUP('Temp Employment'!$C$5,'Data-temp_employment'!$A$4:$OG$42,154,FALSE)),VLOOKUP('Temp Employment'!$C$5,'Data-temp_employment'!$A$4:$OG$42,154,FALSE),NA())</f>
        <v>4276.8999999999996</v>
      </c>
      <c r="K1015" s="12">
        <f>IF(ISNUMBER(VLOOKUP('Temp Employment'!$C$5,'Data-temp_employment'!$A$4:$OG$42,155,FALSE)),VLOOKUP('Temp Employment'!$C$5,'Data-temp_employment'!$A$4:$OG$42,155,FALSE),NA())</f>
        <v>4330.3999999999996</v>
      </c>
    </row>
    <row r="1016" spans="1:12">
      <c r="A1016" s="8" t="s">
        <v>102</v>
      </c>
      <c r="B1016" s="12">
        <f>IF(ISNUMBER(VLOOKUP('Temp Employment'!$C$5,'Data-temp_employment'!$A$4:$OG$42,157,FALSE)),VLOOKUP('Temp Employment'!$C$5,'Data-temp_employment'!$A$4:$OG$42,157,FALSE),NA())</f>
        <v>3331.7</v>
      </c>
      <c r="C1016" s="12">
        <f>IF(ISNUMBER(VLOOKUP('Temp Employment'!$C$5,'Data-temp_employment'!$A$4:$OG$42,158,FALSE)),VLOOKUP('Temp Employment'!$C$5,'Data-temp_employment'!$A$4:$OG$42,158,FALSE),NA())</f>
        <v>3466.1</v>
      </c>
      <c r="D1016" s="12">
        <f>IF(ISNUMBER(VLOOKUP('Temp Employment'!$C$5,'Data-temp_employment'!$A$4:$OG$42,159,FALSE)),VLOOKUP('Temp Employment'!$C$5,'Data-temp_employment'!$A$4:$OG$42,159,FALSE),NA())</f>
        <v>3415.3</v>
      </c>
      <c r="E1016" s="12">
        <f>IF(ISNUMBER(VLOOKUP('Temp Employment'!$C$5,'Data-temp_employment'!$A$4:$OG$42,160,FALSE)),VLOOKUP('Temp Employment'!$C$5,'Data-temp_employment'!$A$4:$OG$42,160,FALSE),NA())</f>
        <v>3404.1</v>
      </c>
      <c r="F1016" s="12">
        <f>IF(ISNUMBER(VLOOKUP('Temp Employment'!$C$5,'Data-temp_employment'!$A$4:$OG$42,161,FALSE)),VLOOKUP('Temp Employment'!$C$5,'Data-temp_employment'!$A$4:$OG$42,161,FALSE),NA())</f>
        <v>3397.6</v>
      </c>
      <c r="G1016" s="12">
        <f>IF(ISNUMBER(VLOOKUP('Temp Employment'!$C$5,'Data-temp_employment'!$A$4:$OG$42,162,FALSE)),VLOOKUP('Temp Employment'!$C$5,'Data-temp_employment'!$A$4:$OG$42,162,FALSE),NA())</f>
        <v>3494.1</v>
      </c>
      <c r="H1016" s="12">
        <f>IF(ISNUMBER(VLOOKUP('Temp Employment'!$C$5,'Data-temp_employment'!$A$4:$OG$42,163,FALSE)),VLOOKUP('Temp Employment'!$C$5,'Data-temp_employment'!$A$4:$OG$42,163,FALSE),NA())</f>
        <v>3534.5</v>
      </c>
      <c r="I1016" s="12">
        <f>IF(ISNUMBER(VLOOKUP('Temp Employment'!$C$5,'Data-temp_employment'!$A$4:$OG$42,164,FALSE)),VLOOKUP('Temp Employment'!$C$5,'Data-temp_employment'!$A$4:$OG$42,164,FALSE),NA())</f>
        <v>3631.1</v>
      </c>
      <c r="J1016" s="12">
        <f>IF(ISNUMBER(VLOOKUP('Temp Employment'!$C$5,'Data-temp_employment'!$A$4:$OG$42,165,FALSE)),VLOOKUP('Temp Employment'!$C$5,'Data-temp_employment'!$A$4:$OG$42,165,FALSE),NA())</f>
        <v>3544.1</v>
      </c>
      <c r="K1016" s="12">
        <f>IF(ISNUMBER(VLOOKUP('Temp Employment'!$C$5,'Data-temp_employment'!$A$4:$OG$42,166,FALSE)),VLOOKUP('Temp Employment'!$C$5,'Data-temp_employment'!$A$4:$OG$42,166,FALSE),NA())</f>
        <v>3538.3</v>
      </c>
    </row>
    <row r="1017" spans="1:12">
      <c r="A1017" s="8" t="s">
        <v>103</v>
      </c>
      <c r="B1017" s="12">
        <f>IF(ISNUMBER(VLOOKUP('Temp Employment'!$C$5,'Data-temp_employment'!$A$4:$OG$42,168,FALSE)),VLOOKUP('Temp Employment'!$C$5,'Data-temp_employment'!$A$4:$OG$42,168,FALSE),NA())</f>
        <v>2433</v>
      </c>
      <c r="C1017" s="12">
        <f>IF(ISNUMBER(VLOOKUP('Temp Employment'!$C$5,'Data-temp_employment'!$A$4:$OG$42,169,FALSE)),VLOOKUP('Temp Employment'!$C$5,'Data-temp_employment'!$A$4:$OG$42,169,FALSE),NA())</f>
        <v>2490.5</v>
      </c>
      <c r="D1017" s="12">
        <f>IF(ISNUMBER(VLOOKUP('Temp Employment'!$C$5,'Data-temp_employment'!$A$4:$OG$42,170,FALSE)),VLOOKUP('Temp Employment'!$C$5,'Data-temp_employment'!$A$4:$OG$42,170,FALSE),NA())</f>
        <v>2642.9</v>
      </c>
      <c r="E1017" s="12">
        <f>IF(ISNUMBER(VLOOKUP('Temp Employment'!$C$5,'Data-temp_employment'!$A$4:$OG$42,171,FALSE)),VLOOKUP('Temp Employment'!$C$5,'Data-temp_employment'!$A$4:$OG$42,171,FALSE),NA())</f>
        <v>2580</v>
      </c>
      <c r="F1017" s="12">
        <f>IF(ISNUMBER(VLOOKUP('Temp Employment'!$C$5,'Data-temp_employment'!$A$4:$OG$42,172,FALSE)),VLOOKUP('Temp Employment'!$C$5,'Data-temp_employment'!$A$4:$OG$42,172,FALSE),NA())</f>
        <v>2515.3000000000002</v>
      </c>
      <c r="G1017" s="12">
        <f>IF(ISNUMBER(VLOOKUP('Temp Employment'!$C$5,'Data-temp_employment'!$A$4:$OG$42,173,FALSE)),VLOOKUP('Temp Employment'!$C$5,'Data-temp_employment'!$A$4:$OG$42,173,FALSE),NA())</f>
        <v>2659.2</v>
      </c>
      <c r="H1017" s="12">
        <f>IF(ISNUMBER(VLOOKUP('Temp Employment'!$C$5,'Data-temp_employment'!$A$4:$OG$42,174,FALSE)),VLOOKUP('Temp Employment'!$C$5,'Data-temp_employment'!$A$4:$OG$42,174,FALSE),NA())</f>
        <v>2787.3</v>
      </c>
      <c r="I1017" s="12">
        <f>IF(ISNUMBER(VLOOKUP('Temp Employment'!$C$5,'Data-temp_employment'!$A$4:$OG$42,175,FALSE)),VLOOKUP('Temp Employment'!$C$5,'Data-temp_employment'!$A$4:$OG$42,175,FALSE),NA())</f>
        <v>2652.4</v>
      </c>
      <c r="J1017" s="12">
        <f>IF(ISNUMBER(VLOOKUP('Temp Employment'!$C$5,'Data-temp_employment'!$A$4:$OG$42,176,FALSE)),VLOOKUP('Temp Employment'!$C$5,'Data-temp_employment'!$A$4:$OG$42,176,FALSE),NA())</f>
        <v>2563.8000000000002</v>
      </c>
      <c r="K1017" s="12">
        <f>IF(ISNUMBER(VLOOKUP('Temp Employment'!$C$5,'Data-temp_employment'!$A$4:$OG$42,177,FALSE)),VLOOKUP('Temp Employment'!$C$5,'Data-temp_employment'!$A$4:$OG$42,177,FALSE),NA())</f>
        <v>2704.1</v>
      </c>
    </row>
    <row r="1018" spans="1:12">
      <c r="A1018" s="8" t="s">
        <v>104</v>
      </c>
      <c r="B1018" s="12">
        <f>IF(ISNUMBER(VLOOKUP('Temp Employment'!$C$5,'Data-temp_employment'!$A$4:$OG$42,179,FALSE)),VLOOKUP('Temp Employment'!$C$5,'Data-temp_employment'!$A$4:$OG$42,179,FALSE),NA())</f>
        <v>5243.4</v>
      </c>
      <c r="C1018" s="12">
        <f>IF(ISNUMBER(VLOOKUP('Temp Employment'!$C$5,'Data-temp_employment'!$A$4:$OG$42,180,FALSE)),VLOOKUP('Temp Employment'!$C$5,'Data-temp_employment'!$A$4:$OG$42,180,FALSE),NA())</f>
        <v>5767.3</v>
      </c>
      <c r="D1018" s="12">
        <f>IF(ISNUMBER(VLOOKUP('Temp Employment'!$C$5,'Data-temp_employment'!$A$4:$OG$42,181,FALSE)),VLOOKUP('Temp Employment'!$C$5,'Data-temp_employment'!$A$4:$OG$42,181,FALSE),NA())</f>
        <v>6116.1</v>
      </c>
      <c r="E1018" s="12">
        <f>IF(ISNUMBER(VLOOKUP('Temp Employment'!$C$5,'Data-temp_employment'!$A$4:$OG$42,182,FALSE)),VLOOKUP('Temp Employment'!$C$5,'Data-temp_employment'!$A$4:$OG$42,182,FALSE),NA())</f>
        <v>5668.4</v>
      </c>
      <c r="F1018" s="12">
        <f>IF(ISNUMBER(VLOOKUP('Temp Employment'!$C$5,'Data-temp_employment'!$A$4:$OG$42,183,FALSE)),VLOOKUP('Temp Employment'!$C$5,'Data-temp_employment'!$A$4:$OG$42,183,FALSE),NA())</f>
        <v>5391.2</v>
      </c>
      <c r="G1018" s="12">
        <f>IF(ISNUMBER(VLOOKUP('Temp Employment'!$C$5,'Data-temp_employment'!$A$4:$OG$42,184,FALSE)),VLOOKUP('Temp Employment'!$C$5,'Data-temp_employment'!$A$4:$OG$42,184,FALSE),NA())</f>
        <v>5836.3</v>
      </c>
      <c r="H1018" s="12">
        <f>IF(ISNUMBER(VLOOKUP('Temp Employment'!$C$5,'Data-temp_employment'!$A$4:$OG$42,185,FALSE)),VLOOKUP('Temp Employment'!$C$5,'Data-temp_employment'!$A$4:$OG$42,185,FALSE),NA())</f>
        <v>6279</v>
      </c>
      <c r="I1018" s="12">
        <f>IF(ISNUMBER(VLOOKUP('Temp Employment'!$C$5,'Data-temp_employment'!$A$4:$OG$42,186,FALSE)),VLOOKUP('Temp Employment'!$C$5,'Data-temp_employment'!$A$4:$OG$42,186,FALSE),NA())</f>
        <v>5682.7</v>
      </c>
      <c r="J1018" s="12">
        <f>IF(ISNUMBER(VLOOKUP('Temp Employment'!$C$5,'Data-temp_employment'!$A$4:$OG$42,187,FALSE)),VLOOKUP('Temp Employment'!$C$5,'Data-temp_employment'!$A$4:$OG$42,187,FALSE),NA())</f>
        <v>5452.1</v>
      </c>
      <c r="K1018" s="12">
        <f>IF(ISNUMBER(VLOOKUP('Temp Employment'!$C$5,'Data-temp_employment'!$A$4:$OG$42,188,FALSE)),VLOOKUP('Temp Employment'!$C$5,'Data-temp_employment'!$A$4:$OG$42,188,FALSE),NA())</f>
        <v>5831.7</v>
      </c>
    </row>
    <row r="1019" spans="1:12">
      <c r="A1019" s="8" t="s">
        <v>105</v>
      </c>
      <c r="B1019" s="12">
        <f>IF(ISNUMBER(VLOOKUP('Temp Employment'!$C$5,'Data-temp_employment'!$A$4:$OG$42,190,FALSE)),VLOOKUP('Temp Employment'!$C$5,'Data-temp_employment'!$A$4:$OG$42,190,FALSE),NA())</f>
        <v>385.7</v>
      </c>
      <c r="C1019" s="12">
        <f>IF(ISNUMBER(VLOOKUP('Temp Employment'!$C$5,'Data-temp_employment'!$A$4:$OG$42,191,FALSE)),VLOOKUP('Temp Employment'!$C$5,'Data-temp_employment'!$A$4:$OG$42,191,FALSE),NA())</f>
        <v>462.4</v>
      </c>
      <c r="D1019" s="12">
        <f>IF(ISNUMBER(VLOOKUP('Temp Employment'!$C$5,'Data-temp_employment'!$A$4:$OG$42,192,FALSE)),VLOOKUP('Temp Employment'!$C$5,'Data-temp_employment'!$A$4:$OG$42,192,FALSE),NA())</f>
        <v>470.8</v>
      </c>
      <c r="E1019" s="12">
        <f>IF(ISNUMBER(VLOOKUP('Temp Employment'!$C$5,'Data-temp_employment'!$A$4:$OG$42,193,FALSE)),VLOOKUP('Temp Employment'!$C$5,'Data-temp_employment'!$A$4:$OG$42,193,FALSE),NA())</f>
        <v>391.5</v>
      </c>
      <c r="F1019" s="12">
        <f>IF(ISNUMBER(VLOOKUP('Temp Employment'!$C$5,'Data-temp_employment'!$A$4:$OG$42,194,FALSE)),VLOOKUP('Temp Employment'!$C$5,'Data-temp_employment'!$A$4:$OG$42,194,FALSE),NA())</f>
        <v>397.2</v>
      </c>
      <c r="G1019" s="12">
        <f>IF(ISNUMBER(VLOOKUP('Temp Employment'!$C$5,'Data-temp_employment'!$A$4:$OG$42,195,FALSE)),VLOOKUP('Temp Employment'!$C$5,'Data-temp_employment'!$A$4:$OG$42,195,FALSE),NA())</f>
        <v>470.5</v>
      </c>
      <c r="H1019" s="12">
        <f>IF(ISNUMBER(VLOOKUP('Temp Employment'!$C$5,'Data-temp_employment'!$A$4:$OG$42,196,FALSE)),VLOOKUP('Temp Employment'!$C$5,'Data-temp_employment'!$A$4:$OG$42,196,FALSE),NA())</f>
        <v>494.1</v>
      </c>
      <c r="I1019" s="12">
        <f>IF(ISNUMBER(VLOOKUP('Temp Employment'!$C$5,'Data-temp_employment'!$A$4:$OG$42,197,FALSE)),VLOOKUP('Temp Employment'!$C$5,'Data-temp_employment'!$A$4:$OG$42,197,FALSE),NA())</f>
        <v>416.9</v>
      </c>
      <c r="J1019" s="12">
        <f>IF(ISNUMBER(VLOOKUP('Temp Employment'!$C$5,'Data-temp_employment'!$A$4:$OG$42,198,FALSE)),VLOOKUP('Temp Employment'!$C$5,'Data-temp_employment'!$A$4:$OG$42,198,FALSE),NA())</f>
        <v>384.8</v>
      </c>
      <c r="K1019" s="12">
        <f>IF(ISNUMBER(VLOOKUP('Temp Employment'!$C$5,'Data-temp_employment'!$A$4:$OG$42,199,FALSE)),VLOOKUP('Temp Employment'!$C$5,'Data-temp_employment'!$A$4:$OG$42,199,FALSE),NA())</f>
        <v>478.8</v>
      </c>
    </row>
    <row r="1020" spans="1:12">
      <c r="A1020" s="8" t="s">
        <v>106</v>
      </c>
      <c r="B1020" s="12">
        <f>IF(ISNUMBER(VLOOKUP('Temp Employment'!$C$5,'Data-temp_employment'!$A$4:$OG$42,201,FALSE)),VLOOKUP('Temp Employment'!$C$5,'Data-temp_employment'!$A$4:$OG$42,201,FALSE),NA())</f>
        <v>3048.9</v>
      </c>
      <c r="C1020" s="12">
        <f>IF(ISNUMBER(VLOOKUP('Temp Employment'!$C$5,'Data-temp_employment'!$A$4:$OG$42,202,FALSE)),VLOOKUP('Temp Employment'!$C$5,'Data-temp_employment'!$A$4:$OG$42,202,FALSE),NA())</f>
        <v>3171</v>
      </c>
      <c r="D1020" s="12">
        <f>IF(ISNUMBER(VLOOKUP('Temp Employment'!$C$5,'Data-temp_employment'!$A$4:$OG$42,203,FALSE)),VLOOKUP('Temp Employment'!$C$5,'Data-temp_employment'!$A$4:$OG$42,203,FALSE),NA())</f>
        <v>3255.8</v>
      </c>
      <c r="E1020" s="12">
        <f>IF(ISNUMBER(VLOOKUP('Temp Employment'!$C$5,'Data-temp_employment'!$A$4:$OG$42,204,FALSE)),VLOOKUP('Temp Employment'!$C$5,'Data-temp_employment'!$A$4:$OG$42,204,FALSE),NA())</f>
        <v>3245.7</v>
      </c>
      <c r="F1020" s="12">
        <f>IF(ISNUMBER(VLOOKUP('Temp Employment'!$C$5,'Data-temp_employment'!$A$4:$OG$42,205,FALSE)),VLOOKUP('Temp Employment'!$C$5,'Data-temp_employment'!$A$4:$OG$42,205,FALSE),NA())</f>
        <v>3011.1</v>
      </c>
      <c r="G1020" s="12">
        <f>IF(ISNUMBER(VLOOKUP('Temp Employment'!$C$5,'Data-temp_employment'!$A$4:$OG$42,206,FALSE)),VLOOKUP('Temp Employment'!$C$5,'Data-temp_employment'!$A$4:$OG$42,206,FALSE),NA())</f>
        <v>3231.1</v>
      </c>
      <c r="H1020" s="12">
        <f>IF(ISNUMBER(VLOOKUP('Temp Employment'!$C$5,'Data-temp_employment'!$A$4:$OG$42,207,FALSE)),VLOOKUP('Temp Employment'!$C$5,'Data-temp_employment'!$A$4:$OG$42,207,FALSE),NA())</f>
        <v>3262.6</v>
      </c>
      <c r="I1020" s="12">
        <f>IF(ISNUMBER(VLOOKUP('Temp Employment'!$C$5,'Data-temp_employment'!$A$4:$OG$42,208,FALSE)),VLOOKUP('Temp Employment'!$C$5,'Data-temp_employment'!$A$4:$OG$42,208,FALSE),NA())</f>
        <v>3228.3</v>
      </c>
      <c r="J1020" s="12">
        <f>IF(ISNUMBER(VLOOKUP('Temp Employment'!$C$5,'Data-temp_employment'!$A$4:$OG$42,209,FALSE)),VLOOKUP('Temp Employment'!$C$5,'Data-temp_employment'!$A$4:$OG$42,209,FALSE),NA())</f>
        <v>3102.8</v>
      </c>
      <c r="K1020" s="12">
        <f>IF(ISNUMBER(VLOOKUP('Temp Employment'!$C$5,'Data-temp_employment'!$A$4:$OG$42,210,FALSE)),VLOOKUP('Temp Employment'!$C$5,'Data-temp_employment'!$A$4:$OG$42,210,FALSE),NA())</f>
        <v>3201.2</v>
      </c>
    </row>
    <row r="1021" spans="1:12">
      <c r="A1021" s="8" t="s">
        <v>120</v>
      </c>
      <c r="B1021" s="12">
        <f>IF(ISNUMBER(VLOOKUP('Temp Employment'!$C$5,'Data-temp_employment'!$A$4:$OG$42,212,FALSE)),VLOOKUP('Temp Employment'!$C$5,'Data-temp_employment'!$A$4:$OG$42,212,FALSE),NA())</f>
        <v>1940.9</v>
      </c>
      <c r="C1021" s="12">
        <f>IF(ISNUMBER(VLOOKUP('Temp Employment'!$C$5,'Data-temp_employment'!$A$4:$OG$42,213,FALSE)),VLOOKUP('Temp Employment'!$C$5,'Data-temp_employment'!$A$4:$OG$42,213,FALSE),NA())</f>
        <v>2074.6</v>
      </c>
      <c r="D1021" s="12">
        <f>IF(ISNUMBER(VLOOKUP('Temp Employment'!$C$5,'Data-temp_employment'!$A$4:$OG$42,214,FALSE)),VLOOKUP('Temp Employment'!$C$5,'Data-temp_employment'!$A$4:$OG$42,214,FALSE),NA())</f>
        <v>2161.1</v>
      </c>
      <c r="E1021" s="12">
        <f>IF(ISNUMBER(VLOOKUP('Temp Employment'!$C$5,'Data-temp_employment'!$A$4:$OG$42,215,FALSE)),VLOOKUP('Temp Employment'!$C$5,'Data-temp_employment'!$A$4:$OG$42,215,FALSE),NA())</f>
        <v>2117.6999999999998</v>
      </c>
      <c r="F1021" s="12">
        <f>IF(ISNUMBER(VLOOKUP('Temp Employment'!$C$5,'Data-temp_employment'!$A$4:$OG$42,216,FALSE)),VLOOKUP('Temp Employment'!$C$5,'Data-temp_employment'!$A$4:$OG$42,216,FALSE),NA())</f>
        <v>1968.1</v>
      </c>
      <c r="G1021" s="12">
        <f>IF(ISNUMBER(VLOOKUP('Temp Employment'!$C$5,'Data-temp_employment'!$A$4:$OG$42,217,FALSE)),VLOOKUP('Temp Employment'!$C$5,'Data-temp_employment'!$A$4:$OG$42,217,FALSE),NA())</f>
        <v>2161.4</v>
      </c>
      <c r="H1021" s="12">
        <f>IF(ISNUMBER(VLOOKUP('Temp Employment'!$C$5,'Data-temp_employment'!$A$4:$OG$42,218,FALSE)),VLOOKUP('Temp Employment'!$C$5,'Data-temp_employment'!$A$4:$OG$42,218,FALSE),NA())</f>
        <v>2260</v>
      </c>
      <c r="I1021" s="12">
        <f>IF(ISNUMBER(VLOOKUP('Temp Employment'!$C$5,'Data-temp_employment'!$A$4:$OG$42,219,FALSE)),VLOOKUP('Temp Employment'!$C$5,'Data-temp_employment'!$A$4:$OG$42,219,FALSE),NA())</f>
        <v>2217.8000000000002</v>
      </c>
      <c r="J1021" s="12">
        <f>IF(ISNUMBER(VLOOKUP('Temp Employment'!$C$5,'Data-temp_employment'!$A$4:$OG$42,220,FALSE)),VLOOKUP('Temp Employment'!$C$5,'Data-temp_employment'!$A$4:$OG$42,220,FALSE),NA())</f>
        <v>2146.5</v>
      </c>
      <c r="K1021" s="12">
        <f>IF(ISNUMBER(VLOOKUP('Temp Employment'!$C$5,'Data-temp_employment'!$A$4:$OG$42,221,FALSE)),VLOOKUP('Temp Employment'!$C$5,'Data-temp_employment'!$A$4:$OG$42,221,FALSE),NA())</f>
        <v>2195.6</v>
      </c>
    </row>
    <row r="1022" spans="1:12">
      <c r="A1022" s="8" t="s">
        <v>121</v>
      </c>
      <c r="B1022" s="12">
        <f>IF(ISNUMBER(VLOOKUP('Temp Employment'!$C$5,'Data-temp_employment'!$A$4:$OG$42,223,FALSE)),VLOOKUP('Temp Employment'!$C$5,'Data-temp_employment'!$A$4:$OG$42,223,FALSE),NA())</f>
        <v>4113.5</v>
      </c>
      <c r="C1022" s="12">
        <f>IF(ISNUMBER(VLOOKUP('Temp Employment'!$C$5,'Data-temp_employment'!$A$4:$OG$42,224,FALSE)),VLOOKUP('Temp Employment'!$C$5,'Data-temp_employment'!$A$4:$OG$42,224,FALSE),NA())</f>
        <v>4477</v>
      </c>
      <c r="D1022" s="12">
        <f>IF(ISNUMBER(VLOOKUP('Temp Employment'!$C$5,'Data-temp_employment'!$A$4:$OG$42,225,FALSE)),VLOOKUP('Temp Employment'!$C$5,'Data-temp_employment'!$A$4:$OG$42,225,FALSE),NA())</f>
        <v>4730.6000000000004</v>
      </c>
      <c r="E1022" s="12">
        <f>IF(ISNUMBER(VLOOKUP('Temp Employment'!$C$5,'Data-temp_employment'!$A$4:$OG$42,226,FALSE)),VLOOKUP('Temp Employment'!$C$5,'Data-temp_employment'!$A$4:$OG$42,226,FALSE),NA())</f>
        <v>4510.7</v>
      </c>
      <c r="F1022" s="12">
        <f>IF(ISNUMBER(VLOOKUP('Temp Employment'!$C$5,'Data-temp_employment'!$A$4:$OG$42,227,FALSE)),VLOOKUP('Temp Employment'!$C$5,'Data-temp_employment'!$A$4:$OG$42,227,FALSE),NA())</f>
        <v>4275.8</v>
      </c>
      <c r="G1022" s="12">
        <f>IF(ISNUMBER(VLOOKUP('Temp Employment'!$C$5,'Data-temp_employment'!$A$4:$OG$42,228,FALSE)),VLOOKUP('Temp Employment'!$C$5,'Data-temp_employment'!$A$4:$OG$42,228,FALSE),NA())</f>
        <v>4582.6000000000004</v>
      </c>
      <c r="H1022" s="12">
        <f>IF(ISNUMBER(VLOOKUP('Temp Employment'!$C$5,'Data-temp_employment'!$A$4:$OG$42,229,FALSE)),VLOOKUP('Temp Employment'!$C$5,'Data-temp_employment'!$A$4:$OG$42,229,FALSE),NA())</f>
        <v>4951.1000000000004</v>
      </c>
      <c r="I1022" s="12">
        <f>IF(ISNUMBER(VLOOKUP('Temp Employment'!$C$5,'Data-temp_employment'!$A$4:$OG$42,230,FALSE)),VLOOKUP('Temp Employment'!$C$5,'Data-temp_employment'!$A$4:$OG$42,230,FALSE),NA())</f>
        <v>4610.3</v>
      </c>
      <c r="J1022" s="12">
        <f>IF(ISNUMBER(VLOOKUP('Temp Employment'!$C$5,'Data-temp_employment'!$A$4:$OG$42,231,FALSE)),VLOOKUP('Temp Employment'!$C$5,'Data-temp_employment'!$A$4:$OG$42,231,FALSE),NA())</f>
        <v>4264.7</v>
      </c>
      <c r="K1022" s="12">
        <f>IF(ISNUMBER(VLOOKUP('Temp Employment'!$C$5,'Data-temp_employment'!$A$4:$OG$42,232,FALSE)),VLOOKUP('Temp Employment'!$C$5,'Data-temp_employment'!$A$4:$OG$42,232,FALSE),NA())</f>
        <v>4608.8999999999996</v>
      </c>
    </row>
    <row r="1023" spans="1:12">
      <c r="A1023" s="8" t="s">
        <v>122</v>
      </c>
      <c r="B1023" s="12">
        <f>IF(ISNUMBER(VLOOKUP('Temp Employment'!$C$5,'Data-temp_employment'!$A$4:$OG$42,234,FALSE)),VLOOKUP('Temp Employment'!$C$5,'Data-temp_employment'!$A$4:$OG$42,234,FALSE),NA())</f>
        <v>195.9</v>
      </c>
      <c r="C1023" s="12">
        <f>IF(ISNUMBER(VLOOKUP('Temp Employment'!$C$5,'Data-temp_employment'!$A$4:$OG$42,235,FALSE)),VLOOKUP('Temp Employment'!$C$5,'Data-temp_employment'!$A$4:$OG$42,235,FALSE),NA())</f>
        <v>185.9</v>
      </c>
      <c r="D1023" s="12">
        <f>IF(ISNUMBER(VLOOKUP('Temp Employment'!$C$5,'Data-temp_employment'!$A$4:$OG$42,236,FALSE)),VLOOKUP('Temp Employment'!$C$5,'Data-temp_employment'!$A$4:$OG$42,236,FALSE),NA())</f>
        <v>174.3</v>
      </c>
      <c r="E1023" s="12">
        <f>IF(ISNUMBER(VLOOKUP('Temp Employment'!$C$5,'Data-temp_employment'!$A$4:$OG$42,237,FALSE)),VLOOKUP('Temp Employment'!$C$5,'Data-temp_employment'!$A$4:$OG$42,237,FALSE),NA())</f>
        <v>209.9</v>
      </c>
      <c r="F1023" s="12">
        <f>IF(ISNUMBER(VLOOKUP('Temp Employment'!$C$5,'Data-temp_employment'!$A$4:$OG$42,238,FALSE)),VLOOKUP('Temp Employment'!$C$5,'Data-temp_employment'!$A$4:$OG$42,238,FALSE),NA())</f>
        <v>203.8</v>
      </c>
      <c r="G1023" s="12">
        <f>IF(ISNUMBER(VLOOKUP('Temp Employment'!$C$5,'Data-temp_employment'!$A$4:$OG$42,239,FALSE)),VLOOKUP('Temp Employment'!$C$5,'Data-temp_employment'!$A$4:$OG$42,239,FALSE),NA())</f>
        <v>207.8</v>
      </c>
      <c r="H1023" s="12">
        <f>IF(ISNUMBER(VLOOKUP('Temp Employment'!$C$5,'Data-temp_employment'!$A$4:$OG$42,240,FALSE)),VLOOKUP('Temp Employment'!$C$5,'Data-temp_employment'!$A$4:$OG$42,240,FALSE),NA())</f>
        <v>176.7</v>
      </c>
      <c r="I1023" s="12">
        <f>IF(ISNUMBER(VLOOKUP('Temp Employment'!$C$5,'Data-temp_employment'!$A$4:$OG$42,241,FALSE)),VLOOKUP('Temp Employment'!$C$5,'Data-temp_employment'!$A$4:$OG$42,241,FALSE),NA())</f>
        <v>206.3</v>
      </c>
      <c r="J1023" s="12">
        <f>IF(ISNUMBER(VLOOKUP('Temp Employment'!$C$5,'Data-temp_employment'!$A$4:$OG$42,242,FALSE)),VLOOKUP('Temp Employment'!$C$5,'Data-temp_employment'!$A$4:$OG$42,242,FALSE),NA())</f>
        <v>207.6</v>
      </c>
      <c r="K1023" s="12">
        <f>IF(ISNUMBER(VLOOKUP('Temp Employment'!$C$5,'Data-temp_employment'!$A$4:$OG$42,243,FALSE)),VLOOKUP('Temp Employment'!$C$5,'Data-temp_employment'!$A$4:$OG$42,243,FALSE),NA())</f>
        <v>186.6</v>
      </c>
    </row>
    <row r="1024" spans="1:12">
      <c r="A1024" s="8" t="s">
        <v>124</v>
      </c>
      <c r="B1024" s="12">
        <f>IF(ISNUMBER(VLOOKUP('Temp Employment'!$C$5,'Data-temp_employment'!$A$4:$OG$42,256,FALSE)),VLOOKUP('Temp Employment'!$C$5,'Data-temp_employment'!$A$4:$OG$42,256,FALSE),NA())</f>
        <v>868.1</v>
      </c>
      <c r="C1024" s="12">
        <f>IF(ISNUMBER(VLOOKUP('Temp Employment'!$C$5,'Data-temp_employment'!$A$4:$OG$42,257,FALSE)),VLOOKUP('Temp Employment'!$C$5,'Data-temp_employment'!$A$4:$OG$42,257,FALSE),NA())</f>
        <v>975.1</v>
      </c>
      <c r="D1024" s="12">
        <f>IF(ISNUMBER(VLOOKUP('Temp Employment'!$C$5,'Data-temp_employment'!$A$4:$OG$42,258,FALSE)),VLOOKUP('Temp Employment'!$C$5,'Data-temp_employment'!$A$4:$OG$42,258,FALSE),NA())</f>
        <v>1016.3</v>
      </c>
      <c r="E1024" s="12">
        <f>IF(ISNUMBER(VLOOKUP('Temp Employment'!$C$5,'Data-temp_employment'!$A$4:$OG$42,259,FALSE)),VLOOKUP('Temp Employment'!$C$5,'Data-temp_employment'!$A$4:$OG$42,259,FALSE),NA())</f>
        <v>954.6</v>
      </c>
      <c r="F1024" s="12">
        <f>IF(ISNUMBER(VLOOKUP('Temp Employment'!$C$5,'Data-temp_employment'!$A$4:$OG$42,260,FALSE)),VLOOKUP('Temp Employment'!$C$5,'Data-temp_employment'!$A$4:$OG$42,260,FALSE),NA())</f>
        <v>875.9</v>
      </c>
      <c r="G1024" s="12">
        <f>IF(ISNUMBER(VLOOKUP('Temp Employment'!$C$5,'Data-temp_employment'!$A$4:$OG$42,261,FALSE)),VLOOKUP('Temp Employment'!$C$5,'Data-temp_employment'!$A$4:$OG$42,261,FALSE),NA())</f>
        <v>1017</v>
      </c>
      <c r="H1024" s="12">
        <f>IF(ISNUMBER(VLOOKUP('Temp Employment'!$C$5,'Data-temp_employment'!$A$4:$OG$42,262,FALSE)),VLOOKUP('Temp Employment'!$C$5,'Data-temp_employment'!$A$4:$OG$42,262,FALSE),NA())</f>
        <v>1020.3</v>
      </c>
      <c r="I1024" s="12">
        <f>IF(ISNUMBER(VLOOKUP('Temp Employment'!$C$5,'Data-temp_employment'!$A$4:$OG$42,263,FALSE)),VLOOKUP('Temp Employment'!$C$5,'Data-temp_employment'!$A$4:$OG$42,263,FALSE),NA())</f>
        <v>990.2</v>
      </c>
      <c r="J1024" s="12">
        <f>IF(ISNUMBER(VLOOKUP('Temp Employment'!$C$5,'Data-temp_employment'!$A$4:$OG$42,264,FALSE)),VLOOKUP('Temp Employment'!$C$5,'Data-temp_employment'!$A$4:$OG$42,264,FALSE),NA())</f>
        <v>879.7</v>
      </c>
      <c r="K1024" s="12">
        <f>IF(ISNUMBER(VLOOKUP('Temp Employment'!$C$5,'Data-temp_employment'!$A$4:$OG$42,265,FALSE)),VLOOKUP('Temp Employment'!$C$5,'Data-temp_employment'!$A$4:$OG$42,265,FALSE),NA())</f>
        <v>989.1</v>
      </c>
      <c r="L1024" s="8" t="s">
        <v>124</v>
      </c>
    </row>
    <row r="1025" spans="1:25">
      <c r="A1025" s="8" t="s">
        <v>125</v>
      </c>
      <c r="B1025" s="12">
        <f>IF(ISNUMBER(VLOOKUP('Temp Employment'!$C$5,'Data-temp_employment'!$A$4:$OG$42,267,FALSE)),VLOOKUP('Temp Employment'!$C$5,'Data-temp_employment'!$A$4:$OG$42,267,FALSE),NA())</f>
        <v>3661.2</v>
      </c>
      <c r="C1025" s="12">
        <f>IF(ISNUMBER(VLOOKUP('Temp Employment'!$C$5,'Data-temp_employment'!$A$4:$OG$42,268,FALSE)),VLOOKUP('Temp Employment'!$C$5,'Data-temp_employment'!$A$4:$OG$42,268,FALSE),NA())</f>
        <v>3864.1</v>
      </c>
      <c r="D1025" s="12">
        <f>IF(ISNUMBER(VLOOKUP('Temp Employment'!$C$5,'Data-temp_employment'!$A$4:$OG$42,269,FALSE)),VLOOKUP('Temp Employment'!$C$5,'Data-temp_employment'!$A$4:$OG$42,269,FALSE),NA())</f>
        <v>4007.2</v>
      </c>
      <c r="E1025" s="12">
        <f>IF(ISNUMBER(VLOOKUP('Temp Employment'!$C$5,'Data-temp_employment'!$A$4:$OG$42,270,FALSE)),VLOOKUP('Temp Employment'!$C$5,'Data-temp_employment'!$A$4:$OG$42,270,FALSE),NA())</f>
        <v>3929.6</v>
      </c>
      <c r="F1025" s="12">
        <f>IF(ISNUMBER(VLOOKUP('Temp Employment'!$C$5,'Data-temp_employment'!$A$4:$OG$42,271,FALSE)),VLOOKUP('Temp Employment'!$C$5,'Data-temp_employment'!$A$4:$OG$42,271,FALSE),NA())</f>
        <v>3791.3</v>
      </c>
      <c r="G1025" s="12">
        <f>IF(ISNUMBER(VLOOKUP('Temp Employment'!$C$5,'Data-temp_employment'!$A$4:$OG$42,272,FALSE)),VLOOKUP('Temp Employment'!$C$5,'Data-temp_employment'!$A$4:$OG$42,272,FALSE),NA())</f>
        <v>3941.7</v>
      </c>
      <c r="H1025" s="12">
        <f>IF(ISNUMBER(VLOOKUP('Temp Employment'!$C$5,'Data-temp_employment'!$A$4:$OG$42,273,FALSE)),VLOOKUP('Temp Employment'!$C$5,'Data-temp_employment'!$A$4:$OG$42,273,FALSE),NA())</f>
        <v>4062.1</v>
      </c>
      <c r="I1025" s="12">
        <f>IF(ISNUMBER(VLOOKUP('Temp Employment'!$C$5,'Data-temp_employment'!$A$4:$OG$42,274,FALSE)),VLOOKUP('Temp Employment'!$C$5,'Data-temp_employment'!$A$4:$OG$42,274,FALSE),NA())</f>
        <v>3989.7</v>
      </c>
      <c r="J1025" s="12">
        <f>IF(ISNUMBER(VLOOKUP('Temp Employment'!$C$5,'Data-temp_employment'!$A$4:$OG$42,275,FALSE)),VLOOKUP('Temp Employment'!$C$5,'Data-temp_employment'!$A$4:$OG$42,275,FALSE),NA())</f>
        <v>3868.9</v>
      </c>
      <c r="K1025" s="12">
        <f>IF(ISNUMBER(VLOOKUP('Temp Employment'!$C$5,'Data-temp_employment'!$A$4:$OG$42,276,FALSE)),VLOOKUP('Temp Employment'!$C$5,'Data-temp_employment'!$A$4:$OG$42,276,FALSE),NA())</f>
        <v>3969</v>
      </c>
      <c r="L1025" s="8" t="s">
        <v>125</v>
      </c>
      <c r="M1025" s="12"/>
      <c r="N1025" s="12"/>
      <c r="O1025" s="12"/>
      <c r="P1025" s="12">
        <v>267</v>
      </c>
      <c r="Q1025" s="12">
        <v>268</v>
      </c>
      <c r="R1025" s="12">
        <v>269</v>
      </c>
      <c r="S1025" s="12">
        <v>270</v>
      </c>
      <c r="T1025" s="12">
        <v>271</v>
      </c>
      <c r="U1025" s="12">
        <v>272</v>
      </c>
      <c r="V1025" s="12">
        <v>273</v>
      </c>
      <c r="W1025" s="12">
        <v>274</v>
      </c>
      <c r="X1025" s="12">
        <v>275</v>
      </c>
      <c r="Y1025" s="12">
        <v>276</v>
      </c>
    </row>
    <row r="1026" spans="1:25">
      <c r="A1026" s="8" t="s">
        <v>126</v>
      </c>
      <c r="B1026" s="8">
        <f>IF(ISNUMBER(VLOOKUP('Temp Employment'!$C$5,'Data-temp_employment'!$A$4:$OG$42,P$1025 + (11*(ROW(A1026) - ROW($A$1025))),FALSE)),VLOOKUP('Temp Employment'!$C$5,'Data-temp_employment'!$A$4:$OG$42,P$1025 + (11*(ROW(A1026) - ROW($A$1025))),FALSE),NA())</f>
        <v>1570.5</v>
      </c>
      <c r="C1026" s="8">
        <f>IF(ISNUMBER(VLOOKUP('Temp Employment'!$C$5,'Data-temp_employment'!$A$4:$OG$42,Q$1025 + (11*(ROW(B1026) - ROW($A$1025))),FALSE)),VLOOKUP('Temp Employment'!$C$5,'Data-temp_employment'!$A$4:$OG$42,Q$1025 + (11*(ROW(B1026) - ROW($A$1025))),FALSE),NA())</f>
        <v>1725.7</v>
      </c>
      <c r="D1026" s="8">
        <f>IF(ISNUMBER(VLOOKUP('Temp Employment'!$C$5,'Data-temp_employment'!$A$4:$OG$42,R$1025 + (11*(ROW(C1026) - ROW($A$1025))),FALSE)),VLOOKUP('Temp Employment'!$C$5,'Data-temp_employment'!$A$4:$OG$42,R$1025 + (11*(ROW(C1026) - ROW($A$1025))),FALSE),NA())</f>
        <v>1756.4</v>
      </c>
      <c r="E1026" s="8">
        <f>IF(ISNUMBER(VLOOKUP('Temp Employment'!$C$5,'Data-temp_employment'!$A$4:$OG$42,S$1025 + (11*(ROW(D1026) - ROW($A$1025))),FALSE)),VLOOKUP('Temp Employment'!$C$5,'Data-temp_employment'!$A$4:$OG$42,S$1025 + (11*(ROW(D1026) - ROW($A$1025))),FALSE),NA())</f>
        <v>1713.4</v>
      </c>
      <c r="F1026" s="8">
        <f>IF(ISNUMBER(VLOOKUP('Temp Employment'!$C$5,'Data-temp_employment'!$A$4:$OG$42,T$1025 + (11*(ROW(E1026) - ROW($A$1025))),FALSE)),VLOOKUP('Temp Employment'!$C$5,'Data-temp_employment'!$A$4:$OG$42,T$1025 + (11*(ROW(E1026) - ROW($A$1025))),FALSE),NA())</f>
        <v>1601.5</v>
      </c>
      <c r="G1026" s="8">
        <f>IF(ISNUMBER(VLOOKUP('Temp Employment'!$C$5,'Data-temp_employment'!$A$4:$OG$42,U$1025 + (11*(ROW(F1026) - ROW($A$1025))),FALSE)),VLOOKUP('Temp Employment'!$C$5,'Data-temp_employment'!$A$4:$OG$42,U$1025 + (11*(ROW(F1026) - ROW($A$1025))),FALSE),NA())</f>
        <v>1745.5</v>
      </c>
      <c r="H1026" s="8">
        <f>IF(ISNUMBER(VLOOKUP('Temp Employment'!$C$5,'Data-temp_employment'!$A$4:$OG$42,V$1025 + (11*(ROW(G1026) - ROW($A$1025))),FALSE)),VLOOKUP('Temp Employment'!$C$5,'Data-temp_employment'!$A$4:$OG$42,V$1025 + (11*(ROW(G1026) - ROW($A$1025))),FALSE),NA())</f>
        <v>1744.8</v>
      </c>
      <c r="I1026" s="8">
        <f>IF(ISNUMBER(VLOOKUP('Temp Employment'!$C$5,'Data-temp_employment'!$A$4:$OG$42,W$1025 + (11*(ROW(H1026) - ROW($A$1025))),FALSE)),VLOOKUP('Temp Employment'!$C$5,'Data-temp_employment'!$A$4:$OG$42,W$1025 + (11*(ROW(H1026) - ROW($A$1025))),FALSE),NA())</f>
        <v>1742.2</v>
      </c>
      <c r="J1026" s="8">
        <f>IF(ISNUMBER(VLOOKUP('Temp Employment'!$C$5,'Data-temp_employment'!$A$4:$OG$42,X$1025 + (11*(ROW(I1026) - ROW($A$1025))),FALSE)),VLOOKUP('Temp Employment'!$C$5,'Data-temp_employment'!$A$4:$OG$42,X$1025 + (11*(ROW(I1026) - ROW($A$1025))),FALSE),NA())</f>
        <v>1635.3</v>
      </c>
      <c r="K1026" s="8">
        <f>IF(ISNUMBER(VLOOKUP('Temp Employment'!$C$5,'Data-temp_employment'!$A$4:$OG$42,Y$1025 + (11*(ROW(J1026) - ROW($A$1025))),FALSE)),VLOOKUP('Temp Employment'!$C$5,'Data-temp_employment'!$A$4:$OG$42,Y$1025 + (11*(ROW(J1026) - ROW($A$1025))),FALSE),NA())</f>
        <v>1726</v>
      </c>
      <c r="L1026" s="8" t="s">
        <v>126</v>
      </c>
    </row>
    <row r="1027" spans="1:25">
      <c r="A1027" s="8" t="s">
        <v>130</v>
      </c>
      <c r="B1027" s="8">
        <f>IF(ISNUMBER(VLOOKUP('Temp Employment'!$C$5,'Data-temp_employment'!$A$4:$OG$42,P$1025 + (11*(ROW(A1027) - ROW($A$1025))),FALSE)),VLOOKUP('Temp Employment'!$C$5,'Data-temp_employment'!$A$4:$OG$42,P$1025 + (11*(ROW(A1027) - ROW($A$1025))),FALSE),NA())</f>
        <v>3367.5</v>
      </c>
      <c r="C1027" s="8">
        <f>IF(ISNUMBER(VLOOKUP('Temp Employment'!$C$5,'Data-temp_employment'!$A$4:$OG$42,Q$1025 + (11*(ROW(B1027) - ROW($A$1025))),FALSE)),VLOOKUP('Temp Employment'!$C$5,'Data-temp_employment'!$A$4:$OG$42,Q$1025 + (11*(ROW(B1027) - ROW($A$1025))),FALSE),NA())</f>
        <v>3430.8</v>
      </c>
      <c r="D1027" s="8">
        <f>IF(ISNUMBER(VLOOKUP('Temp Employment'!$C$5,'Data-temp_employment'!$A$4:$OG$42,R$1025 + (11*(ROW(C1027) - ROW($A$1025))),FALSE)),VLOOKUP('Temp Employment'!$C$5,'Data-temp_employment'!$A$4:$OG$42,R$1025 + (11*(ROW(C1027) - ROW($A$1025))),FALSE),NA())</f>
        <v>3578.6</v>
      </c>
      <c r="E1027" s="8">
        <f>IF(ISNUMBER(VLOOKUP('Temp Employment'!$C$5,'Data-temp_employment'!$A$4:$OG$42,S$1025 + (11*(ROW(D1027) - ROW($A$1025))),FALSE)),VLOOKUP('Temp Employment'!$C$5,'Data-temp_employment'!$A$4:$OG$42,S$1025 + (11*(ROW(D1027) - ROW($A$1025))),FALSE),NA())</f>
        <v>3630.8</v>
      </c>
      <c r="F1027" s="8">
        <f>IF(ISNUMBER(VLOOKUP('Temp Employment'!$C$5,'Data-temp_employment'!$A$4:$OG$42,T$1025 + (11*(ROW(E1027) - ROW($A$1025))),FALSE)),VLOOKUP('Temp Employment'!$C$5,'Data-temp_employment'!$A$4:$OG$42,T$1025 + (11*(ROW(E1027) - ROW($A$1025))),FALSE),NA())</f>
        <v>3416.9</v>
      </c>
      <c r="G1027" s="8">
        <f>IF(ISNUMBER(VLOOKUP('Temp Employment'!$C$5,'Data-temp_employment'!$A$4:$OG$42,U$1025 + (11*(ROW(F1027) - ROW($A$1025))),FALSE)),VLOOKUP('Temp Employment'!$C$5,'Data-temp_employment'!$A$4:$OG$42,U$1025 + (11*(ROW(F1027) - ROW($A$1025))),FALSE),NA())</f>
        <v>3457.3</v>
      </c>
      <c r="H1027" s="8">
        <f>IF(ISNUMBER(VLOOKUP('Temp Employment'!$C$5,'Data-temp_employment'!$A$4:$OG$42,V$1025 + (11*(ROW(G1027) - ROW($A$1025))),FALSE)),VLOOKUP('Temp Employment'!$C$5,'Data-temp_employment'!$A$4:$OG$42,V$1025 + (11*(ROW(G1027) - ROW($A$1025))),FALSE),NA())</f>
        <v>3738.4</v>
      </c>
      <c r="I1027" s="8">
        <f>IF(ISNUMBER(VLOOKUP('Temp Employment'!$C$5,'Data-temp_employment'!$A$4:$OG$42,W$1025 + (11*(ROW(H1027) - ROW($A$1025))),FALSE)),VLOOKUP('Temp Employment'!$C$5,'Data-temp_employment'!$A$4:$OG$42,W$1025 + (11*(ROW(H1027) - ROW($A$1025))),FALSE),NA())</f>
        <v>3646.7</v>
      </c>
      <c r="J1027" s="8">
        <f>IF(ISNUMBER(VLOOKUP('Temp Employment'!$C$5,'Data-temp_employment'!$A$4:$OG$42,X$1025 + (11*(ROW(I1027) - ROW($A$1025))),FALSE)),VLOOKUP('Temp Employment'!$C$5,'Data-temp_employment'!$A$4:$OG$42,X$1025 + (11*(ROW(I1027) - ROW($A$1025))),FALSE),NA())</f>
        <v>3466.9</v>
      </c>
      <c r="K1027" s="8">
        <f>IF(ISNUMBER(VLOOKUP('Temp Employment'!$C$5,'Data-temp_employment'!$A$4:$OG$42,Y$1025 + (11*(ROW(J1027) - ROW($A$1025))),FALSE)),VLOOKUP('Temp Employment'!$C$5,'Data-temp_employment'!$A$4:$OG$42,Y$1025 + (11*(ROW(J1027) - ROW($A$1025))),FALSE),NA())</f>
        <v>3569</v>
      </c>
      <c r="L1027" s="8" t="s">
        <v>130</v>
      </c>
      <c r="P1027" s="8" t="str">
        <f>CONCATENATE(L1024,", ", L1025, ", ", L1026, ", ", L1027,", ",L1028,", ", L1029,", ", L1030,", ", L1031, ", ", L1032,", ", L1033, ", ", L1034, ", ", L1035, ", ", L1036)</f>
        <v>Agri/ Fisheries/Forestry, Manufacturing, Construction, Wholesale/retail trade, Transportation and storage, Accommodation/food service, Information and communication, Financial/ insurance, Professional/ scientific/technical, Administrative, Public administration and defence, Education, Human health/social work</v>
      </c>
    </row>
    <row r="1028" spans="1:25">
      <c r="A1028" s="8" t="s">
        <v>127</v>
      </c>
      <c r="B1028" s="8">
        <f>IF(ISNUMBER(VLOOKUP('Temp Employment'!$C$5,'Data-temp_employment'!$A$4:$OG$42,P$1025 + (11*(ROW(A1028) - ROW($A$1025))),FALSE)),VLOOKUP('Temp Employment'!$C$5,'Data-temp_employment'!$A$4:$OG$42,P$1025 + (11*(ROW(A1028) - ROW($A$1025))),FALSE),NA())</f>
        <v>1148.5999999999999</v>
      </c>
      <c r="C1028" s="8">
        <f>IF(ISNUMBER(VLOOKUP('Temp Employment'!$C$5,'Data-temp_employment'!$A$4:$OG$42,Q$1025 + (11*(ROW(B1028) - ROW($A$1025))),FALSE)),VLOOKUP('Temp Employment'!$C$5,'Data-temp_employment'!$A$4:$OG$42,Q$1025 + (11*(ROW(B1028) - ROW($A$1025))),FALSE),NA())</f>
        <v>1148.8</v>
      </c>
      <c r="D1028" s="8">
        <f>IF(ISNUMBER(VLOOKUP('Temp Employment'!$C$5,'Data-temp_employment'!$A$4:$OG$42,R$1025 + (11*(ROW(C1028) - ROW($A$1025))),FALSE)),VLOOKUP('Temp Employment'!$C$5,'Data-temp_employment'!$A$4:$OG$42,R$1025 + (11*(ROW(C1028) - ROW($A$1025))),FALSE),NA())</f>
        <v>1190.5</v>
      </c>
      <c r="E1028" s="8">
        <f>IF(ISNUMBER(VLOOKUP('Temp Employment'!$C$5,'Data-temp_employment'!$A$4:$OG$42,S$1025 + (11*(ROW(D1028) - ROW($A$1025))),FALSE)),VLOOKUP('Temp Employment'!$C$5,'Data-temp_employment'!$A$4:$OG$42,S$1025 + (11*(ROW(D1028) - ROW($A$1025))),FALSE),NA())</f>
        <v>1203</v>
      </c>
      <c r="F1028" s="8">
        <f>IF(ISNUMBER(VLOOKUP('Temp Employment'!$C$5,'Data-temp_employment'!$A$4:$OG$42,T$1025 + (11*(ROW(E1028) - ROW($A$1025))),FALSE)),VLOOKUP('Temp Employment'!$C$5,'Data-temp_employment'!$A$4:$OG$42,T$1025 + (11*(ROW(E1028) - ROW($A$1025))),FALSE),NA())</f>
        <v>1120.4000000000001</v>
      </c>
      <c r="G1028" s="8">
        <f>IF(ISNUMBER(VLOOKUP('Temp Employment'!$C$5,'Data-temp_employment'!$A$4:$OG$42,U$1025 + (11*(ROW(F1028) - ROW($A$1025))),FALSE)),VLOOKUP('Temp Employment'!$C$5,'Data-temp_employment'!$A$4:$OG$42,U$1025 + (11*(ROW(F1028) - ROW($A$1025))),FALSE),NA())</f>
        <v>1189.0999999999999</v>
      </c>
      <c r="H1028" s="8">
        <f>IF(ISNUMBER(VLOOKUP('Temp Employment'!$C$5,'Data-temp_employment'!$A$4:$OG$42,V$1025 + (11*(ROW(G1028) - ROW($A$1025))),FALSE)),VLOOKUP('Temp Employment'!$C$5,'Data-temp_employment'!$A$4:$OG$42,V$1025 + (11*(ROW(G1028) - ROW($A$1025))),FALSE),NA())</f>
        <v>1276.5999999999999</v>
      </c>
      <c r="I1028" s="8">
        <f>IF(ISNUMBER(VLOOKUP('Temp Employment'!$C$5,'Data-temp_employment'!$A$4:$OG$42,W$1025 + (11*(ROW(H1028) - ROW($A$1025))),FALSE)),VLOOKUP('Temp Employment'!$C$5,'Data-temp_employment'!$A$4:$OG$42,W$1025 + (11*(ROW(H1028) - ROW($A$1025))),FALSE),NA())</f>
        <v>1283.2</v>
      </c>
      <c r="J1028" s="8">
        <f>IF(ISNUMBER(VLOOKUP('Temp Employment'!$C$5,'Data-temp_employment'!$A$4:$OG$42,X$1025 + (11*(ROW(I1028) - ROW($A$1025))),FALSE)),VLOOKUP('Temp Employment'!$C$5,'Data-temp_employment'!$A$4:$OG$42,X$1025 + (11*(ROW(I1028) - ROW($A$1025))),FALSE),NA())</f>
        <v>1218.8</v>
      </c>
      <c r="K1028" s="8">
        <f>IF(ISNUMBER(VLOOKUP('Temp Employment'!$C$5,'Data-temp_employment'!$A$4:$OG$42,Y$1025 + (11*(ROW(J1028) - ROW($A$1025))),FALSE)),VLOOKUP('Temp Employment'!$C$5,'Data-temp_employment'!$A$4:$OG$42,Y$1025 + (11*(ROW(J1028) - ROW($A$1025))),FALSE),NA())</f>
        <v>1200.2</v>
      </c>
      <c r="L1028" s="8" t="s">
        <v>127</v>
      </c>
    </row>
    <row r="1029" spans="1:25">
      <c r="A1029" s="8" t="s">
        <v>131</v>
      </c>
      <c r="B1029" s="8">
        <f>IF(ISNUMBER(VLOOKUP('Temp Employment'!$C$5,'Data-temp_employment'!$A$4:$OG$42,P$1025 + (11*(ROW(A1029) - ROW($A$1025))),FALSE)),VLOOKUP('Temp Employment'!$C$5,'Data-temp_employment'!$A$4:$OG$42,P$1025 + (11*(ROW(A1029) - ROW($A$1025))),FALSE),NA())</f>
        <v>1763.5</v>
      </c>
      <c r="C1029" s="8">
        <f>IF(ISNUMBER(VLOOKUP('Temp Employment'!$C$5,'Data-temp_employment'!$A$4:$OG$42,Q$1025 + (11*(ROW(B1029) - ROW($A$1025))),FALSE)),VLOOKUP('Temp Employment'!$C$5,'Data-temp_employment'!$A$4:$OG$42,Q$1025 + (11*(ROW(B1029) - ROW($A$1025))),FALSE),NA())</f>
        <v>2232.8000000000002</v>
      </c>
      <c r="D1029" s="8">
        <f>IF(ISNUMBER(VLOOKUP('Temp Employment'!$C$5,'Data-temp_employment'!$A$4:$OG$42,R$1025 + (11*(ROW(C1029) - ROW($A$1025))),FALSE)),VLOOKUP('Temp Employment'!$C$5,'Data-temp_employment'!$A$4:$OG$42,R$1025 + (11*(ROW(C1029) - ROW($A$1025))),FALSE),NA())</f>
        <v>2534.4</v>
      </c>
      <c r="E1029" s="8">
        <f>IF(ISNUMBER(VLOOKUP('Temp Employment'!$C$5,'Data-temp_employment'!$A$4:$OG$42,S$1025 + (11*(ROW(D1029) - ROW($A$1025))),FALSE)),VLOOKUP('Temp Employment'!$C$5,'Data-temp_employment'!$A$4:$OG$42,S$1025 + (11*(ROW(D1029) - ROW($A$1025))),FALSE),NA())</f>
        <v>1948.6</v>
      </c>
      <c r="F1029" s="8">
        <f>IF(ISNUMBER(VLOOKUP('Temp Employment'!$C$5,'Data-temp_employment'!$A$4:$OG$42,T$1025 + (11*(ROW(E1029) - ROW($A$1025))),FALSE)),VLOOKUP('Temp Employment'!$C$5,'Data-temp_employment'!$A$4:$OG$42,T$1025 + (11*(ROW(E1029) - ROW($A$1025))),FALSE),NA())</f>
        <v>1788.1</v>
      </c>
      <c r="G1029" s="8">
        <f>IF(ISNUMBER(VLOOKUP('Temp Employment'!$C$5,'Data-temp_employment'!$A$4:$OG$42,U$1025 + (11*(ROW(F1029) - ROW($A$1025))),FALSE)),VLOOKUP('Temp Employment'!$C$5,'Data-temp_employment'!$A$4:$OG$42,U$1025 + (11*(ROW(F1029) - ROW($A$1025))),FALSE),NA())</f>
        <v>2300.9</v>
      </c>
      <c r="H1029" s="8">
        <f>IF(ISNUMBER(VLOOKUP('Temp Employment'!$C$5,'Data-temp_employment'!$A$4:$OG$42,V$1025 + (11*(ROW(G1029) - ROW($A$1025))),FALSE)),VLOOKUP('Temp Employment'!$C$5,'Data-temp_employment'!$A$4:$OG$42,V$1025 + (11*(ROW(G1029) - ROW($A$1025))),FALSE),NA())</f>
        <v>2690</v>
      </c>
      <c r="I1029" s="8">
        <f>IF(ISNUMBER(VLOOKUP('Temp Employment'!$C$5,'Data-temp_employment'!$A$4:$OG$42,W$1025 + (11*(ROW(H1029) - ROW($A$1025))),FALSE)),VLOOKUP('Temp Employment'!$C$5,'Data-temp_employment'!$A$4:$OG$42,W$1025 + (11*(ROW(H1029) - ROW($A$1025))),FALSE),NA())</f>
        <v>2015.4</v>
      </c>
      <c r="J1029" s="8">
        <f>IF(ISNUMBER(VLOOKUP('Temp Employment'!$C$5,'Data-temp_employment'!$A$4:$OG$42,X$1025 + (11*(ROW(I1029) - ROW($A$1025))),FALSE)),VLOOKUP('Temp Employment'!$C$5,'Data-temp_employment'!$A$4:$OG$42,X$1025 + (11*(ROW(I1029) - ROW($A$1025))),FALSE),NA())</f>
        <v>1894.3</v>
      </c>
      <c r="K1029" s="8">
        <f>IF(ISNUMBER(VLOOKUP('Temp Employment'!$C$5,'Data-temp_employment'!$A$4:$OG$42,Y$1025 + (11*(ROW(J1029) - ROW($A$1025))),FALSE)),VLOOKUP('Temp Employment'!$C$5,'Data-temp_employment'!$A$4:$OG$42,Y$1025 + (11*(ROW(J1029) - ROW($A$1025))),FALSE),NA())</f>
        <v>2316.6</v>
      </c>
      <c r="L1029" s="8" t="s">
        <v>131</v>
      </c>
    </row>
    <row r="1030" spans="1:25">
      <c r="A1030" s="8" t="s">
        <v>128</v>
      </c>
      <c r="B1030" s="8">
        <f>IF(ISNUMBER(VLOOKUP('Temp Employment'!$C$5,'Data-temp_employment'!$A$4:$OG$42,P$1025 + (11*(ROW(A1030) - ROW($A$1025))),FALSE)),VLOOKUP('Temp Employment'!$C$5,'Data-temp_employment'!$A$4:$OG$42,P$1025 + (11*(ROW(A1030) - ROW($A$1025))),FALSE),NA())</f>
        <v>541.20000000000005</v>
      </c>
      <c r="C1030" s="8">
        <f>IF(ISNUMBER(VLOOKUP('Temp Employment'!$C$5,'Data-temp_employment'!$A$4:$OG$42,Q$1025 + (11*(ROW(B1030) - ROW($A$1025))),FALSE)),VLOOKUP('Temp Employment'!$C$5,'Data-temp_employment'!$A$4:$OG$42,Q$1025 + (11*(ROW(B1030) - ROW($A$1025))),FALSE),NA())</f>
        <v>575</v>
      </c>
      <c r="D1030" s="8">
        <f>IF(ISNUMBER(VLOOKUP('Temp Employment'!$C$5,'Data-temp_employment'!$A$4:$OG$42,R$1025 + (11*(ROW(C1030) - ROW($A$1025))),FALSE)),VLOOKUP('Temp Employment'!$C$5,'Data-temp_employment'!$A$4:$OG$42,R$1025 + (11*(ROW(C1030) - ROW($A$1025))),FALSE),NA())</f>
        <v>566.6</v>
      </c>
      <c r="E1030" s="8">
        <f>IF(ISNUMBER(VLOOKUP('Temp Employment'!$C$5,'Data-temp_employment'!$A$4:$OG$42,S$1025 + (11*(ROW(D1030) - ROW($A$1025))),FALSE)),VLOOKUP('Temp Employment'!$C$5,'Data-temp_employment'!$A$4:$OG$42,S$1025 + (11*(ROW(D1030) - ROW($A$1025))),FALSE),NA())</f>
        <v>570.1</v>
      </c>
      <c r="F1030" s="8">
        <f>IF(ISNUMBER(VLOOKUP('Temp Employment'!$C$5,'Data-temp_employment'!$A$4:$OG$42,T$1025 + (11*(ROW(E1030) - ROW($A$1025))),FALSE)),VLOOKUP('Temp Employment'!$C$5,'Data-temp_employment'!$A$4:$OG$42,T$1025 + (11*(ROW(E1030) - ROW($A$1025))),FALSE),NA())</f>
        <v>572.9</v>
      </c>
      <c r="G1030" s="8">
        <f>IF(ISNUMBER(VLOOKUP('Temp Employment'!$C$5,'Data-temp_employment'!$A$4:$OG$42,U$1025 + (11*(ROW(F1030) - ROW($A$1025))),FALSE)),VLOOKUP('Temp Employment'!$C$5,'Data-temp_employment'!$A$4:$OG$42,U$1025 + (11*(ROW(F1030) - ROW($A$1025))),FALSE),NA())</f>
        <v>599.4</v>
      </c>
      <c r="H1030" s="8">
        <f>IF(ISNUMBER(VLOOKUP('Temp Employment'!$C$5,'Data-temp_employment'!$A$4:$OG$42,V$1025 + (11*(ROW(G1030) - ROW($A$1025))),FALSE)),VLOOKUP('Temp Employment'!$C$5,'Data-temp_employment'!$A$4:$OG$42,V$1025 + (11*(ROW(G1030) - ROW($A$1025))),FALSE),NA())</f>
        <v>607.79999999999995</v>
      </c>
      <c r="I1030" s="8">
        <f>IF(ISNUMBER(VLOOKUP('Temp Employment'!$C$5,'Data-temp_employment'!$A$4:$OG$42,W$1025 + (11*(ROW(H1030) - ROW($A$1025))),FALSE)),VLOOKUP('Temp Employment'!$C$5,'Data-temp_employment'!$A$4:$OG$42,W$1025 + (11*(ROW(H1030) - ROW($A$1025))),FALSE),NA())</f>
        <v>576.5</v>
      </c>
      <c r="J1030" s="8">
        <f>IF(ISNUMBER(VLOOKUP('Temp Employment'!$C$5,'Data-temp_employment'!$A$4:$OG$42,X$1025 + (11*(ROW(I1030) - ROW($A$1025))),FALSE)),VLOOKUP('Temp Employment'!$C$5,'Data-temp_employment'!$A$4:$OG$42,X$1025 + (11*(ROW(I1030) - ROW($A$1025))),FALSE),NA())</f>
        <v>582.5</v>
      </c>
      <c r="K1030" s="8">
        <f>IF(ISNUMBER(VLOOKUP('Temp Employment'!$C$5,'Data-temp_employment'!$A$4:$OG$42,Y$1025 + (11*(ROW(J1030) - ROW($A$1025))),FALSE)),VLOOKUP('Temp Employment'!$C$5,'Data-temp_employment'!$A$4:$OG$42,Y$1025 + (11*(ROW(J1030) - ROW($A$1025))),FALSE),NA())</f>
        <v>574.1</v>
      </c>
      <c r="L1030" s="8" t="s">
        <v>128</v>
      </c>
    </row>
    <row r="1031" spans="1:25">
      <c r="A1031" s="8" t="s">
        <v>132</v>
      </c>
      <c r="B1031" s="8">
        <f>IF(ISNUMBER(VLOOKUP('Temp Employment'!$C$5,'Data-temp_employment'!$A$4:$OG$42,P$1025 + (11*(ROW(A1031) - ROW($A$1025))),FALSE)),VLOOKUP('Temp Employment'!$C$5,'Data-temp_employment'!$A$4:$OG$42,P$1025 + (11*(ROW(A1031) - ROW($A$1025))),FALSE),NA())</f>
        <v>359.2</v>
      </c>
      <c r="C1031" s="8">
        <f>IF(ISNUMBER(VLOOKUP('Temp Employment'!$C$5,'Data-temp_employment'!$A$4:$OG$42,Q$1025 + (11*(ROW(B1031) - ROW($A$1025))),FALSE)),VLOOKUP('Temp Employment'!$C$5,'Data-temp_employment'!$A$4:$OG$42,Q$1025 + (11*(ROW(B1031) - ROW($A$1025))),FALSE),NA())</f>
        <v>400.1</v>
      </c>
      <c r="D1031" s="8">
        <f>IF(ISNUMBER(VLOOKUP('Temp Employment'!$C$5,'Data-temp_employment'!$A$4:$OG$42,R$1025 + (11*(ROW(C1031) - ROW($A$1025))),FALSE)),VLOOKUP('Temp Employment'!$C$5,'Data-temp_employment'!$A$4:$OG$42,R$1025 + (11*(ROW(C1031) - ROW($A$1025))),FALSE),NA())</f>
        <v>421.6</v>
      </c>
      <c r="E1031" s="8">
        <f>IF(ISNUMBER(VLOOKUP('Temp Employment'!$C$5,'Data-temp_employment'!$A$4:$OG$42,S$1025 + (11*(ROW(D1031) - ROW($A$1025))),FALSE)),VLOOKUP('Temp Employment'!$C$5,'Data-temp_employment'!$A$4:$OG$42,S$1025 + (11*(ROW(D1031) - ROW($A$1025))),FALSE),NA())</f>
        <v>384.3</v>
      </c>
      <c r="F1031" s="8">
        <f>IF(ISNUMBER(VLOOKUP('Temp Employment'!$C$5,'Data-temp_employment'!$A$4:$OG$42,T$1025 + (11*(ROW(E1031) - ROW($A$1025))),FALSE)),VLOOKUP('Temp Employment'!$C$5,'Data-temp_employment'!$A$4:$OG$42,T$1025 + (11*(ROW(E1031) - ROW($A$1025))),FALSE),NA())</f>
        <v>368.2</v>
      </c>
      <c r="G1031" s="8">
        <f>IF(ISNUMBER(VLOOKUP('Temp Employment'!$C$5,'Data-temp_employment'!$A$4:$OG$42,U$1025 + (11*(ROW(F1031) - ROW($A$1025))),FALSE)),VLOOKUP('Temp Employment'!$C$5,'Data-temp_employment'!$A$4:$OG$42,U$1025 + (11*(ROW(F1031) - ROW($A$1025))),FALSE),NA())</f>
        <v>409.1</v>
      </c>
      <c r="H1031" s="8">
        <f>IF(ISNUMBER(VLOOKUP('Temp Employment'!$C$5,'Data-temp_employment'!$A$4:$OG$42,V$1025 + (11*(ROW(G1031) - ROW($A$1025))),FALSE)),VLOOKUP('Temp Employment'!$C$5,'Data-temp_employment'!$A$4:$OG$42,V$1025 + (11*(ROW(G1031) - ROW($A$1025))),FALSE),NA())</f>
        <v>378</v>
      </c>
      <c r="I1031" s="8">
        <f>IF(ISNUMBER(VLOOKUP('Temp Employment'!$C$5,'Data-temp_employment'!$A$4:$OG$42,W$1025 + (11*(ROW(H1031) - ROW($A$1025))),FALSE)),VLOOKUP('Temp Employment'!$C$5,'Data-temp_employment'!$A$4:$OG$42,W$1025 + (11*(ROW(H1031) - ROW($A$1025))),FALSE),NA())</f>
        <v>380.2</v>
      </c>
      <c r="J1031" s="8">
        <f>IF(ISNUMBER(VLOOKUP('Temp Employment'!$C$5,'Data-temp_employment'!$A$4:$OG$42,X$1025 + (11*(ROW(I1031) - ROW($A$1025))),FALSE)),VLOOKUP('Temp Employment'!$C$5,'Data-temp_employment'!$A$4:$OG$42,X$1025 + (11*(ROW(I1031) - ROW($A$1025))),FALSE),NA())</f>
        <v>391.3</v>
      </c>
      <c r="K1031" s="8">
        <f>IF(ISNUMBER(VLOOKUP('Temp Employment'!$C$5,'Data-temp_employment'!$A$4:$OG$42,Y$1025 + (11*(ROW(J1031) - ROW($A$1025))),FALSE)),VLOOKUP('Temp Employment'!$C$5,'Data-temp_employment'!$A$4:$OG$42,Y$1025 + (11*(ROW(J1031) - ROW($A$1025))),FALSE),NA())</f>
        <v>378</v>
      </c>
      <c r="L1031" s="8" t="s">
        <v>132</v>
      </c>
    </row>
    <row r="1032" spans="1:25">
      <c r="A1032" s="8" t="s">
        <v>133</v>
      </c>
      <c r="B1032" s="8">
        <f>IF(ISNUMBER(VLOOKUP('Temp Employment'!$C$5,'Data-temp_employment'!$A$4:$OG$42,P$1025 + (11*(ROW(A1032) - ROW($A$1025))),FALSE)),VLOOKUP('Temp Employment'!$C$5,'Data-temp_employment'!$A$4:$OG$42,P$1025 + (11*(ROW(A1032) - ROW($A$1025))),FALSE),NA())</f>
        <v>908.6</v>
      </c>
      <c r="C1032" s="8">
        <f>IF(ISNUMBER(VLOOKUP('Temp Employment'!$C$5,'Data-temp_employment'!$A$4:$OG$42,Q$1025 + (11*(ROW(B1032) - ROW($A$1025))),FALSE)),VLOOKUP('Temp Employment'!$C$5,'Data-temp_employment'!$A$4:$OG$42,Q$1025 + (11*(ROW(B1032) - ROW($A$1025))),FALSE),NA())</f>
        <v>956.6</v>
      </c>
      <c r="D1032" s="8">
        <f>IF(ISNUMBER(VLOOKUP('Temp Employment'!$C$5,'Data-temp_employment'!$A$4:$OG$42,R$1025 + (11*(ROW(C1032) - ROW($A$1025))),FALSE)),VLOOKUP('Temp Employment'!$C$5,'Data-temp_employment'!$A$4:$OG$42,R$1025 + (11*(ROW(C1032) - ROW($A$1025))),FALSE),NA())</f>
        <v>971.3</v>
      </c>
      <c r="E1032" s="8">
        <f>IF(ISNUMBER(VLOOKUP('Temp Employment'!$C$5,'Data-temp_employment'!$A$4:$OG$42,S$1025 + (11*(ROW(D1032) - ROW($A$1025))),FALSE)),VLOOKUP('Temp Employment'!$C$5,'Data-temp_employment'!$A$4:$OG$42,S$1025 + (11*(ROW(D1032) - ROW($A$1025))),FALSE),NA())</f>
        <v>981.7</v>
      </c>
      <c r="F1032" s="8">
        <f>IF(ISNUMBER(VLOOKUP('Temp Employment'!$C$5,'Data-temp_employment'!$A$4:$OG$42,T$1025 + (11*(ROW(E1032) - ROW($A$1025))),FALSE)),VLOOKUP('Temp Employment'!$C$5,'Data-temp_employment'!$A$4:$OG$42,T$1025 + (11*(ROW(E1032) - ROW($A$1025))),FALSE),NA())</f>
        <v>905.7</v>
      </c>
      <c r="G1032" s="8">
        <f>IF(ISNUMBER(VLOOKUP('Temp Employment'!$C$5,'Data-temp_employment'!$A$4:$OG$42,U$1025 + (11*(ROW(F1032) - ROW($A$1025))),FALSE)),VLOOKUP('Temp Employment'!$C$5,'Data-temp_employment'!$A$4:$OG$42,U$1025 + (11*(ROW(F1032) - ROW($A$1025))),FALSE),NA())</f>
        <v>970.8</v>
      </c>
      <c r="H1032" s="8">
        <f>IF(ISNUMBER(VLOOKUP('Temp Employment'!$C$5,'Data-temp_employment'!$A$4:$OG$42,V$1025 + (11*(ROW(G1032) - ROW($A$1025))),FALSE)),VLOOKUP('Temp Employment'!$C$5,'Data-temp_employment'!$A$4:$OG$42,V$1025 + (11*(ROW(G1032) - ROW($A$1025))),FALSE),NA())</f>
        <v>1026.7</v>
      </c>
      <c r="I1032" s="8">
        <f>IF(ISNUMBER(VLOOKUP('Temp Employment'!$C$5,'Data-temp_employment'!$A$4:$OG$42,W$1025 + (11*(ROW(H1032) - ROW($A$1025))),FALSE)),VLOOKUP('Temp Employment'!$C$5,'Data-temp_employment'!$A$4:$OG$42,W$1025 + (11*(ROW(H1032) - ROW($A$1025))),FALSE),NA())</f>
        <v>994.6</v>
      </c>
      <c r="J1032" s="8">
        <f>IF(ISNUMBER(VLOOKUP('Temp Employment'!$C$5,'Data-temp_employment'!$A$4:$OG$42,X$1025 + (11*(ROW(I1032) - ROW($A$1025))),FALSE)),VLOOKUP('Temp Employment'!$C$5,'Data-temp_employment'!$A$4:$OG$42,X$1025 + (11*(ROW(I1032) - ROW($A$1025))),FALSE),NA())</f>
        <v>946.4</v>
      </c>
      <c r="K1032" s="8">
        <f>IF(ISNUMBER(VLOOKUP('Temp Employment'!$C$5,'Data-temp_employment'!$A$4:$OG$42,Y$1025 + (11*(ROW(J1032) - ROW($A$1025))),FALSE)),VLOOKUP('Temp Employment'!$C$5,'Data-temp_employment'!$A$4:$OG$42,Y$1025 + (11*(ROW(J1032) - ROW($A$1025))),FALSE),NA())</f>
        <v>975.4</v>
      </c>
      <c r="L1032" s="8" t="s">
        <v>133</v>
      </c>
    </row>
    <row r="1033" spans="1:25">
      <c r="A1033" s="8" t="s">
        <v>134</v>
      </c>
      <c r="B1033" s="8">
        <f>IF(ISNUMBER(VLOOKUP('Temp Employment'!$C$5,'Data-temp_employment'!$A$4:$OG$42,P$1025 + (11*(ROW(A1033) - ROW($A$1025))),FALSE)),VLOOKUP('Temp Employment'!$C$5,'Data-temp_employment'!$A$4:$OG$42,P$1025 + (11*(ROW(A1033) - ROW($A$1025))),FALSE),NA())</f>
        <v>1379.1</v>
      </c>
      <c r="C1033" s="8">
        <f>IF(ISNUMBER(VLOOKUP('Temp Employment'!$C$5,'Data-temp_employment'!$A$4:$OG$42,Q$1025 + (11*(ROW(B1033) - ROW($A$1025))),FALSE)),VLOOKUP('Temp Employment'!$C$5,'Data-temp_employment'!$A$4:$OG$42,Q$1025 + (11*(ROW(B1033) - ROW($A$1025))),FALSE),NA())</f>
        <v>1482.3</v>
      </c>
      <c r="D1033" s="8">
        <f>IF(ISNUMBER(VLOOKUP('Temp Employment'!$C$5,'Data-temp_employment'!$A$4:$OG$42,R$1025 + (11*(ROW(C1033) - ROW($A$1025))),FALSE)),VLOOKUP('Temp Employment'!$C$5,'Data-temp_employment'!$A$4:$OG$42,R$1025 + (11*(ROW(C1033) - ROW($A$1025))),FALSE),NA())</f>
        <v>1582.2</v>
      </c>
      <c r="E1033" s="8">
        <f>IF(ISNUMBER(VLOOKUP('Temp Employment'!$C$5,'Data-temp_employment'!$A$4:$OG$42,S$1025 + (11*(ROW(D1033) - ROW($A$1025))),FALSE)),VLOOKUP('Temp Employment'!$C$5,'Data-temp_employment'!$A$4:$OG$42,S$1025 + (11*(ROW(D1033) - ROW($A$1025))),FALSE),NA())</f>
        <v>1490.2</v>
      </c>
      <c r="F1033" s="8">
        <f>IF(ISNUMBER(VLOOKUP('Temp Employment'!$C$5,'Data-temp_employment'!$A$4:$OG$42,T$1025 + (11*(ROW(E1033) - ROW($A$1025))),FALSE)),VLOOKUP('Temp Employment'!$C$5,'Data-temp_employment'!$A$4:$OG$42,T$1025 + (11*(ROW(E1033) - ROW($A$1025))),FALSE),NA())</f>
        <v>1422.8</v>
      </c>
      <c r="G1033" s="8">
        <f>IF(ISNUMBER(VLOOKUP('Temp Employment'!$C$5,'Data-temp_employment'!$A$4:$OG$42,U$1025 + (11*(ROW(F1033) - ROW($A$1025))),FALSE)),VLOOKUP('Temp Employment'!$C$5,'Data-temp_employment'!$A$4:$OG$42,U$1025 + (11*(ROW(F1033) - ROW($A$1025))),FALSE),NA())</f>
        <v>1529.3</v>
      </c>
      <c r="H1033" s="8">
        <f>IF(ISNUMBER(VLOOKUP('Temp Employment'!$C$5,'Data-temp_employment'!$A$4:$OG$42,V$1025 + (11*(ROW(G1033) - ROW($A$1025))),FALSE)),VLOOKUP('Temp Employment'!$C$5,'Data-temp_employment'!$A$4:$OG$42,V$1025 + (11*(ROW(G1033) - ROW($A$1025))),FALSE),NA())</f>
        <v>1602.6</v>
      </c>
      <c r="I1033" s="8">
        <f>IF(ISNUMBER(VLOOKUP('Temp Employment'!$C$5,'Data-temp_employment'!$A$4:$OG$42,W$1025 + (11*(ROW(H1033) - ROW($A$1025))),FALSE)),VLOOKUP('Temp Employment'!$C$5,'Data-temp_employment'!$A$4:$OG$42,W$1025 + (11*(ROW(H1033) - ROW($A$1025))),FALSE),NA())</f>
        <v>1487.4</v>
      </c>
      <c r="J1033" s="8">
        <f>IF(ISNUMBER(VLOOKUP('Temp Employment'!$C$5,'Data-temp_employment'!$A$4:$OG$42,X$1025 + (11*(ROW(I1033) - ROW($A$1025))),FALSE)),VLOOKUP('Temp Employment'!$C$5,'Data-temp_employment'!$A$4:$OG$42,X$1025 + (11*(ROW(I1033) - ROW($A$1025))),FALSE),NA())</f>
        <v>1408.5</v>
      </c>
      <c r="K1033" s="8">
        <f>IF(ISNUMBER(VLOOKUP('Temp Employment'!$C$5,'Data-temp_employment'!$A$4:$OG$42,Y$1025 + (11*(ROW(J1033) - ROW($A$1025))),FALSE)),VLOOKUP('Temp Employment'!$C$5,'Data-temp_employment'!$A$4:$OG$42,Y$1025 + (11*(ROW(J1033) - ROW($A$1025))),FALSE),NA())</f>
        <v>1547.1</v>
      </c>
      <c r="L1033" s="8" t="s">
        <v>134</v>
      </c>
    </row>
    <row r="1034" spans="1:25">
      <c r="A1034" s="8" t="s">
        <v>135</v>
      </c>
      <c r="B1034" s="8">
        <f>IF(ISNUMBER(VLOOKUP('Temp Employment'!$C$5,'Data-temp_employment'!$A$4:$OG$42,P$1025 + (11*(ROW(A1034) - ROW($A$1025))),FALSE)),VLOOKUP('Temp Employment'!$C$5,'Data-temp_employment'!$A$4:$OG$42,P$1025 + (11*(ROW(A1034) - ROW($A$1025))),FALSE),NA())</f>
        <v>1617.7</v>
      </c>
      <c r="C1034" s="8">
        <f>IF(ISNUMBER(VLOOKUP('Temp Employment'!$C$5,'Data-temp_employment'!$A$4:$OG$42,Q$1025 + (11*(ROW(B1034) - ROW($A$1025))),FALSE)),VLOOKUP('Temp Employment'!$C$5,'Data-temp_employment'!$A$4:$OG$42,Q$1025 + (11*(ROW(B1034) - ROW($A$1025))),FALSE),NA())</f>
        <v>1680.3</v>
      </c>
      <c r="D1034" s="8">
        <f>IF(ISNUMBER(VLOOKUP('Temp Employment'!$C$5,'Data-temp_employment'!$A$4:$OG$42,R$1025 + (11*(ROW(C1034) - ROW($A$1025))),FALSE)),VLOOKUP('Temp Employment'!$C$5,'Data-temp_employment'!$A$4:$OG$42,R$1025 + (11*(ROW(C1034) - ROW($A$1025))),FALSE),NA())</f>
        <v>1731.5</v>
      </c>
      <c r="E1034" s="8">
        <f>IF(ISNUMBER(VLOOKUP('Temp Employment'!$C$5,'Data-temp_employment'!$A$4:$OG$42,S$1025 + (11*(ROW(D1034) - ROW($A$1025))),FALSE)),VLOOKUP('Temp Employment'!$C$5,'Data-temp_employment'!$A$4:$OG$42,S$1025 + (11*(ROW(D1034) - ROW($A$1025))),FALSE),NA())</f>
        <v>1709.3</v>
      </c>
      <c r="F1034" s="8">
        <f>IF(ISNUMBER(VLOOKUP('Temp Employment'!$C$5,'Data-temp_employment'!$A$4:$OG$42,T$1025 + (11*(ROW(E1034) - ROW($A$1025))),FALSE)),VLOOKUP('Temp Employment'!$C$5,'Data-temp_employment'!$A$4:$OG$42,T$1025 + (11*(ROW(E1034) - ROW($A$1025))),FALSE),NA())</f>
        <v>1665</v>
      </c>
      <c r="G1034" s="8">
        <f>IF(ISNUMBER(VLOOKUP('Temp Employment'!$C$5,'Data-temp_employment'!$A$4:$OG$42,U$1025 + (11*(ROW(F1034) - ROW($A$1025))),FALSE)),VLOOKUP('Temp Employment'!$C$5,'Data-temp_employment'!$A$4:$OG$42,U$1025 + (11*(ROW(F1034) - ROW($A$1025))),FALSE),NA())</f>
        <v>1707.5</v>
      </c>
      <c r="H1034" s="8">
        <f>IF(ISNUMBER(VLOOKUP('Temp Employment'!$C$5,'Data-temp_employment'!$A$4:$OG$42,V$1025 + (11*(ROW(G1034) - ROW($A$1025))),FALSE)),VLOOKUP('Temp Employment'!$C$5,'Data-temp_employment'!$A$4:$OG$42,V$1025 + (11*(ROW(G1034) - ROW($A$1025))),FALSE),NA())</f>
        <v>1740.3</v>
      </c>
      <c r="I1034" s="8">
        <f>IF(ISNUMBER(VLOOKUP('Temp Employment'!$C$5,'Data-temp_employment'!$A$4:$OG$42,W$1025 + (11*(ROW(H1034) - ROW($A$1025))),FALSE)),VLOOKUP('Temp Employment'!$C$5,'Data-temp_employment'!$A$4:$OG$42,W$1025 + (11*(ROW(H1034) - ROW($A$1025))),FALSE),NA())</f>
        <v>1800.1</v>
      </c>
      <c r="J1034" s="8">
        <f>IF(ISNUMBER(VLOOKUP('Temp Employment'!$C$5,'Data-temp_employment'!$A$4:$OG$42,X$1025 + (11*(ROW(I1034) - ROW($A$1025))),FALSE)),VLOOKUP('Temp Employment'!$C$5,'Data-temp_employment'!$A$4:$OG$42,X$1025 + (11*(ROW(I1034) - ROW($A$1025))),FALSE),NA())</f>
        <v>1663.2</v>
      </c>
      <c r="K1034" s="8">
        <f>IF(ISNUMBER(VLOOKUP('Temp Employment'!$C$5,'Data-temp_employment'!$A$4:$OG$42,Y$1025 + (11*(ROW(J1034) - ROW($A$1025))),FALSE)),VLOOKUP('Temp Employment'!$C$5,'Data-temp_employment'!$A$4:$OG$42,Y$1025 + (11*(ROW(J1034) - ROW($A$1025))),FALSE),NA())</f>
        <v>1666.8</v>
      </c>
      <c r="L1034" s="8" t="s">
        <v>135</v>
      </c>
    </row>
    <row r="1035" spans="1:25">
      <c r="A1035" s="8" t="s">
        <v>129</v>
      </c>
      <c r="B1035" s="8">
        <f>IF(ISNUMBER(VLOOKUP('Temp Employment'!$C$5,'Data-temp_employment'!$A$4:$OG$42,P$1025 + (11*(ROW(A1035) - ROW($A$1025))),FALSE)),VLOOKUP('Temp Employment'!$C$5,'Data-temp_employment'!$A$4:$OG$42,P$1025 + (11*(ROW(A1035) - ROW($A$1025))),FALSE),NA())</f>
        <v>2645.2</v>
      </c>
      <c r="C1035" s="8">
        <f>IF(ISNUMBER(VLOOKUP('Temp Employment'!$C$5,'Data-temp_employment'!$A$4:$OG$42,Q$1025 + (11*(ROW(B1035) - ROW($A$1025))),FALSE)),VLOOKUP('Temp Employment'!$C$5,'Data-temp_employment'!$A$4:$OG$42,Q$1025 + (11*(ROW(B1035) - ROW($A$1025))),FALSE),NA())</f>
        <v>2622.9</v>
      </c>
      <c r="D1035" s="8">
        <f>IF(ISNUMBER(VLOOKUP('Temp Employment'!$C$5,'Data-temp_employment'!$A$4:$OG$42,R$1025 + (11*(ROW(C1035) - ROW($A$1025))),FALSE)),VLOOKUP('Temp Employment'!$C$5,'Data-temp_employment'!$A$4:$OG$42,R$1025 + (11*(ROW(C1035) - ROW($A$1025))),FALSE),NA())</f>
        <v>2154</v>
      </c>
      <c r="E1035" s="8">
        <f>IF(ISNUMBER(VLOOKUP('Temp Employment'!$C$5,'Data-temp_employment'!$A$4:$OG$42,S$1025 + (11*(ROW(D1035) - ROW($A$1025))),FALSE)),VLOOKUP('Temp Employment'!$C$5,'Data-temp_employment'!$A$4:$OG$42,S$1025 + (11*(ROW(D1035) - ROW($A$1025))),FALSE),NA())</f>
        <v>2557.4</v>
      </c>
      <c r="F1035" s="8">
        <f>IF(ISNUMBER(VLOOKUP('Temp Employment'!$C$5,'Data-temp_employment'!$A$4:$OG$42,T$1025 + (11*(ROW(E1035) - ROW($A$1025))),FALSE)),VLOOKUP('Temp Employment'!$C$5,'Data-temp_employment'!$A$4:$OG$42,T$1025 + (11*(ROW(E1035) - ROW($A$1025))),FALSE),NA())</f>
        <v>2631.6</v>
      </c>
      <c r="G1035" s="8">
        <f>IF(ISNUMBER(VLOOKUP('Temp Employment'!$C$5,'Data-temp_employment'!$A$4:$OG$42,U$1025 + (11*(ROW(F1035) - ROW($A$1025))),FALSE)),VLOOKUP('Temp Employment'!$C$5,'Data-temp_employment'!$A$4:$OG$42,U$1025 + (11*(ROW(F1035) - ROW($A$1025))),FALSE),NA())</f>
        <v>2666.3</v>
      </c>
      <c r="H1035" s="8">
        <f>IF(ISNUMBER(VLOOKUP('Temp Employment'!$C$5,'Data-temp_employment'!$A$4:$OG$42,V$1025 + (11*(ROW(G1035) - ROW($A$1025))),FALSE)),VLOOKUP('Temp Employment'!$C$5,'Data-temp_employment'!$A$4:$OG$42,V$1025 + (11*(ROW(G1035) - ROW($A$1025))),FALSE),NA())</f>
        <v>2240.4</v>
      </c>
      <c r="I1035" s="8">
        <f>IF(ISNUMBER(VLOOKUP('Temp Employment'!$C$5,'Data-temp_employment'!$A$4:$OG$42,W$1025 + (11*(ROW(H1035) - ROW($A$1025))),FALSE)),VLOOKUP('Temp Employment'!$C$5,'Data-temp_employment'!$A$4:$OG$42,W$1025 + (11*(ROW(H1035) - ROW($A$1025))),FALSE),NA())</f>
        <v>2634.4</v>
      </c>
      <c r="J1035" s="8">
        <f>IF(ISNUMBER(VLOOKUP('Temp Employment'!$C$5,'Data-temp_employment'!$A$4:$OG$42,X$1025 + (11*(ROW(I1035) - ROW($A$1025))),FALSE)),VLOOKUP('Temp Employment'!$C$5,'Data-temp_employment'!$A$4:$OG$42,X$1025 + (11*(ROW(I1035) - ROW($A$1025))),FALSE),NA())</f>
        <v>2734.1</v>
      </c>
      <c r="K1035" s="8">
        <f>IF(ISNUMBER(VLOOKUP('Temp Employment'!$C$5,'Data-temp_employment'!$A$4:$OG$42,Y$1025 + (11*(ROW(J1035) - ROW($A$1025))),FALSE)),VLOOKUP('Temp Employment'!$C$5,'Data-temp_employment'!$A$4:$OG$42,Y$1025 + (11*(ROW(J1035) - ROW($A$1025))),FALSE),NA())</f>
        <v>2746.7</v>
      </c>
      <c r="L1035" s="8" t="s">
        <v>129</v>
      </c>
    </row>
    <row r="1036" spans="1:25">
      <c r="A1036" s="8" t="s">
        <v>136</v>
      </c>
      <c r="B1036" s="8">
        <f>IF(ISNUMBER(VLOOKUP('Temp Employment'!$C$5,'Data-temp_employment'!$A$4:$OG$42,P$1025 + (11*(ROW(A1036) - ROW($A$1025))),FALSE)),VLOOKUP('Temp Employment'!$C$5,'Data-temp_employment'!$A$4:$OG$42,P$1025 + (11*(ROW(A1036) - ROW($A$1025))),FALSE),NA())</f>
        <v>2988.3</v>
      </c>
      <c r="C1036" s="8">
        <f>IF(ISNUMBER(VLOOKUP('Temp Employment'!$C$5,'Data-temp_employment'!$A$4:$OG$42,Q$1025 + (11*(ROW(B1036) - ROW($A$1025))),FALSE)),VLOOKUP('Temp Employment'!$C$5,'Data-temp_employment'!$A$4:$OG$42,Q$1025 + (11*(ROW(B1036) - ROW($A$1025))),FALSE),NA())</f>
        <v>3070.7</v>
      </c>
      <c r="D1036" s="8">
        <f>IF(ISNUMBER(VLOOKUP('Temp Employment'!$C$5,'Data-temp_employment'!$A$4:$OG$42,R$1025 + (11*(ROW(C1036) - ROW($A$1025))),FALSE)),VLOOKUP('Temp Employment'!$C$5,'Data-temp_employment'!$A$4:$OG$42,R$1025 + (11*(ROW(C1036) - ROW($A$1025))),FALSE),NA())</f>
        <v>3126.3</v>
      </c>
      <c r="E1036" s="8">
        <f>IF(ISNUMBER(VLOOKUP('Temp Employment'!$C$5,'Data-temp_employment'!$A$4:$OG$42,S$1025 + (11*(ROW(D1036) - ROW($A$1025))),FALSE)),VLOOKUP('Temp Employment'!$C$5,'Data-temp_employment'!$A$4:$OG$42,S$1025 + (11*(ROW(D1036) - ROW($A$1025))),FALSE),NA())</f>
        <v>3098</v>
      </c>
      <c r="F1036" s="8">
        <f>IF(ISNUMBER(VLOOKUP('Temp Employment'!$C$5,'Data-temp_employment'!$A$4:$OG$42,T$1025 + (11*(ROW(E1036) - ROW($A$1025))),FALSE)),VLOOKUP('Temp Employment'!$C$5,'Data-temp_employment'!$A$4:$OG$42,T$1025 + (11*(ROW(E1036) - ROW($A$1025))),FALSE),NA())</f>
        <v>3040.4</v>
      </c>
      <c r="G1036" s="8">
        <f>IF(ISNUMBER(VLOOKUP('Temp Employment'!$C$5,'Data-temp_employment'!$A$4:$OG$42,U$1025 + (11*(ROW(F1036) - ROW($A$1025))),FALSE)),VLOOKUP('Temp Employment'!$C$5,'Data-temp_employment'!$A$4:$OG$42,U$1025 + (11*(ROW(F1036) - ROW($A$1025))),FALSE),NA())</f>
        <v>3113.4</v>
      </c>
      <c r="H1036" s="8">
        <f>IF(ISNUMBER(VLOOKUP('Temp Employment'!$C$5,'Data-temp_employment'!$A$4:$OG$42,V$1025 + (11*(ROW(G1036) - ROW($A$1025))),FALSE)),VLOOKUP('Temp Employment'!$C$5,'Data-temp_employment'!$A$4:$OG$42,V$1025 + (11*(ROW(G1036) - ROW($A$1025))),FALSE),NA())</f>
        <v>3204.3</v>
      </c>
      <c r="I1036" s="8">
        <f>IF(ISNUMBER(VLOOKUP('Temp Employment'!$C$5,'Data-temp_employment'!$A$4:$OG$42,W$1025 + (11*(ROW(H1036) - ROW($A$1025))),FALSE)),VLOOKUP('Temp Employment'!$C$5,'Data-temp_employment'!$A$4:$OG$42,W$1025 + (11*(ROW(H1036) - ROW($A$1025))),FALSE),NA())</f>
        <v>3095.6</v>
      </c>
      <c r="J1036" s="8">
        <f>IF(ISNUMBER(VLOOKUP('Temp Employment'!$C$5,'Data-temp_employment'!$A$4:$OG$42,X$1025 + (11*(ROW(I1036) - ROW($A$1025))),FALSE)),VLOOKUP('Temp Employment'!$C$5,'Data-temp_employment'!$A$4:$OG$42,X$1025 + (11*(ROW(I1036) - ROW($A$1025))),FALSE),NA())</f>
        <v>3126.6</v>
      </c>
      <c r="K1036" s="8">
        <f>IF(ISNUMBER(VLOOKUP('Temp Employment'!$C$5,'Data-temp_employment'!$A$4:$OG$42,Y$1025 + (11*(ROW(J1036) - ROW($A$1025))),FALSE)),VLOOKUP('Temp Employment'!$C$5,'Data-temp_employment'!$A$4:$OG$42,Y$1025 + (11*(ROW(J1036) - ROW($A$1025))),FALSE),NA())</f>
        <v>3155</v>
      </c>
      <c r="L1036" s="8" t="s">
        <v>136</v>
      </c>
    </row>
  </sheetData>
  <mergeCells count="5">
    <mergeCell ref="G5:K5"/>
    <mergeCell ref="B44:L44"/>
    <mergeCell ref="B45:G45"/>
    <mergeCell ref="B41:G41"/>
    <mergeCell ref="A38:F38"/>
  </mergeCells>
  <hyperlinks>
    <hyperlink ref="A38" location="Notes!A1" display="Data source for all graphs: Eurostat Labour Force Survey ( Please check the &quot;Notes&quot; tab for more details)"/>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314325</xdr:colOff>
                    <xdr:row>2</xdr:row>
                    <xdr:rowOff>104775</xdr:rowOff>
                  </from>
                  <to>
                    <xdr:col>5</xdr:col>
                    <xdr:colOff>409575</xdr:colOff>
                    <xdr:row>5</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RQ85"/>
  <sheetViews>
    <sheetView topLeftCell="OO1" zoomScale="70" zoomScaleNormal="70" workbookViewId="0">
      <pane ySplit="1" topLeftCell="A8" activePane="bottomLeft" state="frozen"/>
      <selection activeCell="IK1" sqref="IK1"/>
      <selection pane="bottomLeft" activeCell="EW26" sqref="EW26"/>
    </sheetView>
  </sheetViews>
  <sheetFormatPr defaultColWidth="11.140625" defaultRowHeight="15"/>
  <cols>
    <col min="2" max="2" width="18.140625" customWidth="1"/>
    <col min="35" max="35" width="13.140625" customWidth="1"/>
    <col min="222" max="232" width="11.140625" style="324"/>
    <col min="288" max="288" width="12" customWidth="1"/>
    <col min="398" max="398" width="21.85546875" style="189" customWidth="1"/>
    <col min="399" max="408" width="11.140625" style="189"/>
    <col min="409" max="409" width="21.85546875" customWidth="1"/>
  </cols>
  <sheetData>
    <row r="1" spans="1:484">
      <c r="B1" s="1" t="s">
        <v>0</v>
      </c>
      <c r="C1" s="1" t="s">
        <v>59</v>
      </c>
      <c r="K1" t="s">
        <v>60</v>
      </c>
      <c r="M1" s="1" t="s">
        <v>385</v>
      </c>
      <c r="X1" s="1" t="s">
        <v>326</v>
      </c>
      <c r="AI1" s="3" t="s">
        <v>61</v>
      </c>
      <c r="AT1" s="3" t="s">
        <v>62</v>
      </c>
      <c r="BE1" s="3" t="s">
        <v>63</v>
      </c>
      <c r="BP1" s="1" t="s">
        <v>109</v>
      </c>
      <c r="BZ1" s="13"/>
      <c r="CA1" s="1" t="s">
        <v>110</v>
      </c>
      <c r="CL1" s="1" t="s">
        <v>64</v>
      </c>
      <c r="CW1" s="1" t="s">
        <v>65</v>
      </c>
      <c r="DH1" s="1" t="s">
        <v>66</v>
      </c>
      <c r="DS1" s="3" t="s">
        <v>67</v>
      </c>
      <c r="EC1" s="86"/>
      <c r="ED1" s="1" t="s">
        <v>327</v>
      </c>
      <c r="EO1" s="3" t="s">
        <v>68</v>
      </c>
      <c r="EZ1" s="3" t="s">
        <v>69</v>
      </c>
      <c r="FK1" s="3" t="s">
        <v>70</v>
      </c>
      <c r="FV1" s="3" t="s">
        <v>71</v>
      </c>
      <c r="GG1" s="3" t="s">
        <v>72</v>
      </c>
      <c r="GR1" s="3" t="s">
        <v>73</v>
      </c>
      <c r="HC1" s="3" t="s">
        <v>74</v>
      </c>
      <c r="HN1" s="323" t="s">
        <v>75</v>
      </c>
      <c r="HY1" s="3" t="s">
        <v>76</v>
      </c>
      <c r="IJ1" s="3" t="s">
        <v>77</v>
      </c>
      <c r="IT1" s="86"/>
      <c r="IU1" s="1" t="s">
        <v>551</v>
      </c>
      <c r="JF1" s="3" t="s">
        <v>78</v>
      </c>
      <c r="JQ1" s="3" t="s">
        <v>79</v>
      </c>
      <c r="KB1" s="3" t="s">
        <v>80</v>
      </c>
      <c r="KM1" s="3" t="s">
        <v>81</v>
      </c>
      <c r="KX1" s="3" t="s">
        <v>82</v>
      </c>
      <c r="LI1" s="3" t="s">
        <v>83</v>
      </c>
      <c r="LT1" s="3" t="s">
        <v>84</v>
      </c>
      <c r="ME1" s="3" t="s">
        <v>85</v>
      </c>
      <c r="MP1" s="3" t="s">
        <v>86</v>
      </c>
      <c r="NA1" s="3" t="s">
        <v>87</v>
      </c>
      <c r="NL1" s="3" t="s">
        <v>88</v>
      </c>
      <c r="NW1" s="1" t="s">
        <v>89</v>
      </c>
      <c r="OH1" s="188" t="s">
        <v>414</v>
      </c>
      <c r="OS1" s="86" t="s">
        <v>340</v>
      </c>
      <c r="OT1" s="86"/>
      <c r="OU1" s="86"/>
      <c r="OV1" s="86"/>
      <c r="OW1" s="86"/>
      <c r="OX1" s="86" t="s">
        <v>415</v>
      </c>
      <c r="OY1" s="86"/>
      <c r="OZ1" s="86"/>
      <c r="PA1" s="86"/>
      <c r="PB1" s="86"/>
      <c r="PC1" s="86"/>
      <c r="PD1" s="86"/>
    </row>
    <row r="2" spans="1:484" ht="15.75" thickBot="1">
      <c r="A2">
        <v>1</v>
      </c>
      <c r="B2">
        <v>2</v>
      </c>
      <c r="C2">
        <v>3</v>
      </c>
      <c r="D2">
        <v>4</v>
      </c>
      <c r="E2">
        <v>5</v>
      </c>
      <c r="F2">
        <v>6</v>
      </c>
      <c r="G2">
        <v>7</v>
      </c>
      <c r="H2">
        <v>8</v>
      </c>
      <c r="I2">
        <v>9</v>
      </c>
      <c r="J2">
        <v>10</v>
      </c>
      <c r="K2">
        <v>11</v>
      </c>
      <c r="L2">
        <v>12</v>
      </c>
      <c r="M2">
        <v>13</v>
      </c>
      <c r="N2">
        <v>14</v>
      </c>
      <c r="O2">
        <v>15</v>
      </c>
      <c r="P2">
        <v>16</v>
      </c>
      <c r="Q2">
        <v>17</v>
      </c>
      <c r="R2">
        <v>18</v>
      </c>
      <c r="S2">
        <v>19</v>
      </c>
      <c r="T2">
        <v>20</v>
      </c>
      <c r="U2">
        <v>21</v>
      </c>
      <c r="V2">
        <v>22</v>
      </c>
      <c r="W2">
        <v>23</v>
      </c>
      <c r="X2">
        <v>24</v>
      </c>
      <c r="Y2">
        <v>25</v>
      </c>
      <c r="Z2">
        <v>26</v>
      </c>
      <c r="AA2">
        <v>27</v>
      </c>
      <c r="AB2">
        <v>28</v>
      </c>
      <c r="AC2">
        <v>29</v>
      </c>
      <c r="AD2">
        <v>30</v>
      </c>
      <c r="AE2">
        <v>31</v>
      </c>
      <c r="AF2">
        <v>32</v>
      </c>
      <c r="AG2">
        <v>33</v>
      </c>
      <c r="AH2">
        <v>34</v>
      </c>
      <c r="AI2">
        <v>35</v>
      </c>
      <c r="AJ2">
        <v>36</v>
      </c>
      <c r="AK2">
        <v>37</v>
      </c>
      <c r="AL2">
        <v>38</v>
      </c>
      <c r="AM2">
        <v>39</v>
      </c>
      <c r="AN2">
        <v>40</v>
      </c>
      <c r="AO2">
        <v>41</v>
      </c>
      <c r="AP2">
        <v>42</v>
      </c>
      <c r="AQ2">
        <v>43</v>
      </c>
      <c r="AR2">
        <v>44</v>
      </c>
      <c r="AS2">
        <v>45</v>
      </c>
      <c r="AT2">
        <v>46</v>
      </c>
      <c r="AU2">
        <v>47</v>
      </c>
      <c r="AV2">
        <v>48</v>
      </c>
      <c r="AW2">
        <v>49</v>
      </c>
      <c r="AX2">
        <v>50</v>
      </c>
      <c r="AY2">
        <v>51</v>
      </c>
      <c r="AZ2">
        <v>52</v>
      </c>
      <c r="BA2">
        <v>53</v>
      </c>
      <c r="BB2">
        <v>54</v>
      </c>
      <c r="BC2">
        <v>55</v>
      </c>
      <c r="BD2">
        <v>56</v>
      </c>
      <c r="BE2">
        <v>57</v>
      </c>
      <c r="BF2">
        <v>58</v>
      </c>
      <c r="BG2">
        <v>59</v>
      </c>
      <c r="BH2">
        <v>60</v>
      </c>
      <c r="BI2">
        <v>61</v>
      </c>
      <c r="BJ2">
        <v>62</v>
      </c>
      <c r="BK2">
        <v>63</v>
      </c>
      <c r="BL2">
        <v>64</v>
      </c>
      <c r="BM2">
        <v>65</v>
      </c>
      <c r="BN2">
        <v>66</v>
      </c>
      <c r="BO2">
        <v>67</v>
      </c>
      <c r="BP2">
        <v>68</v>
      </c>
      <c r="BQ2">
        <v>69</v>
      </c>
      <c r="BR2">
        <v>70</v>
      </c>
      <c r="BS2">
        <v>71</v>
      </c>
      <c r="BT2">
        <v>72</v>
      </c>
      <c r="BU2">
        <v>73</v>
      </c>
      <c r="BV2">
        <v>74</v>
      </c>
      <c r="BW2">
        <v>75</v>
      </c>
      <c r="BX2">
        <v>76</v>
      </c>
      <c r="BY2">
        <v>77</v>
      </c>
      <c r="BZ2">
        <v>78</v>
      </c>
      <c r="CA2">
        <v>79</v>
      </c>
      <c r="CB2">
        <v>80</v>
      </c>
      <c r="CC2">
        <v>81</v>
      </c>
      <c r="CD2">
        <v>82</v>
      </c>
      <c r="CE2">
        <v>83</v>
      </c>
      <c r="CF2">
        <v>84</v>
      </c>
      <c r="CG2">
        <v>85</v>
      </c>
      <c r="CH2">
        <v>86</v>
      </c>
      <c r="CI2">
        <v>87</v>
      </c>
      <c r="CJ2">
        <v>88</v>
      </c>
      <c r="CK2">
        <v>89</v>
      </c>
      <c r="CL2">
        <v>90</v>
      </c>
      <c r="CM2">
        <v>91</v>
      </c>
      <c r="CN2">
        <v>92</v>
      </c>
      <c r="CO2">
        <v>93</v>
      </c>
      <c r="CP2">
        <v>94</v>
      </c>
      <c r="CQ2">
        <v>95</v>
      </c>
      <c r="CR2">
        <v>96</v>
      </c>
      <c r="CS2">
        <v>97</v>
      </c>
      <c r="CT2">
        <v>98</v>
      </c>
      <c r="CU2">
        <v>99</v>
      </c>
      <c r="CV2">
        <v>100</v>
      </c>
      <c r="CW2">
        <v>101</v>
      </c>
      <c r="CX2">
        <v>102</v>
      </c>
      <c r="CY2">
        <v>103</v>
      </c>
      <c r="CZ2">
        <v>104</v>
      </c>
      <c r="DA2">
        <v>105</v>
      </c>
      <c r="DB2">
        <v>106</v>
      </c>
      <c r="DC2">
        <v>107</v>
      </c>
      <c r="DD2">
        <v>108</v>
      </c>
      <c r="DE2">
        <v>109</v>
      </c>
      <c r="DF2">
        <v>110</v>
      </c>
      <c r="DG2">
        <v>111</v>
      </c>
      <c r="DH2">
        <v>112</v>
      </c>
      <c r="DI2">
        <v>113</v>
      </c>
      <c r="DJ2">
        <v>114</v>
      </c>
      <c r="DK2">
        <v>115</v>
      </c>
      <c r="DL2">
        <v>116</v>
      </c>
      <c r="DM2">
        <v>117</v>
      </c>
      <c r="DN2">
        <v>118</v>
      </c>
      <c r="DO2">
        <v>119</v>
      </c>
      <c r="DP2">
        <v>120</v>
      </c>
      <c r="DQ2">
        <v>121</v>
      </c>
      <c r="DR2">
        <v>122</v>
      </c>
      <c r="DS2">
        <v>123</v>
      </c>
      <c r="DT2">
        <v>124</v>
      </c>
      <c r="DU2">
        <v>125</v>
      </c>
      <c r="DV2">
        <v>126</v>
      </c>
      <c r="DW2">
        <v>127</v>
      </c>
      <c r="DX2">
        <v>128</v>
      </c>
      <c r="DY2">
        <v>129</v>
      </c>
      <c r="DZ2">
        <v>130</v>
      </c>
      <c r="EA2">
        <v>131</v>
      </c>
      <c r="EB2">
        <v>132</v>
      </c>
      <c r="EC2">
        <v>133</v>
      </c>
      <c r="ED2">
        <v>134</v>
      </c>
      <c r="EE2">
        <v>135</v>
      </c>
      <c r="EF2">
        <v>136</v>
      </c>
      <c r="EG2">
        <v>137</v>
      </c>
      <c r="EH2">
        <v>138</v>
      </c>
      <c r="EI2">
        <v>139</v>
      </c>
      <c r="EJ2">
        <v>140</v>
      </c>
      <c r="EK2">
        <v>141</v>
      </c>
      <c r="EL2">
        <v>142</v>
      </c>
      <c r="EM2">
        <v>143</v>
      </c>
      <c r="EN2">
        <v>144</v>
      </c>
      <c r="EO2">
        <v>145</v>
      </c>
      <c r="EP2">
        <v>146</v>
      </c>
      <c r="EQ2">
        <v>147</v>
      </c>
      <c r="ER2">
        <v>148</v>
      </c>
      <c r="ES2">
        <v>149</v>
      </c>
      <c r="ET2">
        <v>150</v>
      </c>
      <c r="EU2">
        <v>151</v>
      </c>
      <c r="EV2">
        <v>152</v>
      </c>
      <c r="EW2">
        <v>153</v>
      </c>
      <c r="EX2">
        <v>154</v>
      </c>
      <c r="EY2">
        <v>155</v>
      </c>
      <c r="EZ2">
        <v>156</v>
      </c>
      <c r="FA2">
        <v>157</v>
      </c>
      <c r="FB2">
        <v>158</v>
      </c>
      <c r="FC2">
        <v>159</v>
      </c>
      <c r="FD2">
        <v>160</v>
      </c>
      <c r="FE2">
        <v>161</v>
      </c>
      <c r="FF2">
        <v>162</v>
      </c>
      <c r="FG2">
        <v>163</v>
      </c>
      <c r="FH2">
        <v>164</v>
      </c>
      <c r="FI2">
        <v>165</v>
      </c>
      <c r="FJ2">
        <v>166</v>
      </c>
      <c r="FK2">
        <v>167</v>
      </c>
      <c r="FL2">
        <v>168</v>
      </c>
      <c r="FM2">
        <v>169</v>
      </c>
      <c r="FN2">
        <v>170</v>
      </c>
      <c r="FO2">
        <v>171</v>
      </c>
      <c r="FP2">
        <v>172</v>
      </c>
      <c r="FQ2">
        <v>173</v>
      </c>
      <c r="FR2">
        <v>174</v>
      </c>
      <c r="FS2">
        <v>175</v>
      </c>
      <c r="FT2">
        <v>176</v>
      </c>
      <c r="FU2">
        <v>177</v>
      </c>
      <c r="FV2">
        <v>178</v>
      </c>
      <c r="FW2">
        <v>179</v>
      </c>
      <c r="FX2">
        <v>180</v>
      </c>
      <c r="FY2">
        <v>181</v>
      </c>
      <c r="FZ2">
        <v>182</v>
      </c>
      <c r="GA2">
        <v>183</v>
      </c>
      <c r="GB2">
        <v>184</v>
      </c>
      <c r="GC2">
        <v>185</v>
      </c>
      <c r="GD2">
        <v>186</v>
      </c>
      <c r="GE2">
        <v>187</v>
      </c>
      <c r="GF2">
        <v>188</v>
      </c>
      <c r="GG2">
        <v>189</v>
      </c>
      <c r="GH2">
        <v>190</v>
      </c>
      <c r="GI2">
        <v>191</v>
      </c>
      <c r="GJ2">
        <v>192</v>
      </c>
      <c r="GK2">
        <v>193</v>
      </c>
      <c r="GL2">
        <v>194</v>
      </c>
      <c r="GM2">
        <v>195</v>
      </c>
      <c r="GN2">
        <v>196</v>
      </c>
      <c r="GO2">
        <v>197</v>
      </c>
      <c r="GP2">
        <v>198</v>
      </c>
      <c r="GQ2">
        <v>199</v>
      </c>
      <c r="GR2">
        <v>200</v>
      </c>
      <c r="GS2">
        <v>201</v>
      </c>
      <c r="GT2">
        <v>202</v>
      </c>
      <c r="GU2">
        <v>203</v>
      </c>
      <c r="GV2">
        <v>204</v>
      </c>
      <c r="GW2">
        <v>205</v>
      </c>
      <c r="GX2">
        <v>206</v>
      </c>
      <c r="GY2">
        <v>207</v>
      </c>
      <c r="GZ2">
        <v>208</v>
      </c>
      <c r="HA2">
        <v>209</v>
      </c>
      <c r="HB2">
        <v>210</v>
      </c>
      <c r="HC2">
        <v>211</v>
      </c>
      <c r="HD2">
        <v>212</v>
      </c>
      <c r="HE2">
        <v>213</v>
      </c>
      <c r="HF2">
        <v>214</v>
      </c>
      <c r="HG2">
        <v>215</v>
      </c>
      <c r="HH2">
        <v>216</v>
      </c>
      <c r="HI2">
        <v>217</v>
      </c>
      <c r="HJ2">
        <v>218</v>
      </c>
      <c r="HK2">
        <v>219</v>
      </c>
      <c r="HL2">
        <v>220</v>
      </c>
      <c r="HM2">
        <v>221</v>
      </c>
      <c r="HN2" s="324">
        <v>222</v>
      </c>
      <c r="HO2" s="324">
        <v>223</v>
      </c>
      <c r="HP2" s="324">
        <v>224</v>
      </c>
      <c r="HQ2" s="324">
        <v>225</v>
      </c>
      <c r="HR2" s="324">
        <v>226</v>
      </c>
      <c r="HS2" s="324">
        <v>227</v>
      </c>
      <c r="HT2" s="324">
        <v>228</v>
      </c>
      <c r="HU2" s="324">
        <v>229</v>
      </c>
      <c r="HV2" s="324">
        <v>230</v>
      </c>
      <c r="HW2" s="324">
        <v>231</v>
      </c>
      <c r="HX2" s="324">
        <v>232</v>
      </c>
      <c r="HY2">
        <v>233</v>
      </c>
      <c r="HZ2">
        <v>234</v>
      </c>
      <c r="IA2">
        <v>235</v>
      </c>
      <c r="IB2">
        <v>236</v>
      </c>
      <c r="IC2">
        <v>237</v>
      </c>
      <c r="ID2">
        <v>238</v>
      </c>
      <c r="IE2">
        <v>239</v>
      </c>
      <c r="IF2">
        <v>240</v>
      </c>
      <c r="IG2">
        <v>241</v>
      </c>
      <c r="IH2">
        <v>242</v>
      </c>
      <c r="II2">
        <v>243</v>
      </c>
      <c r="IJ2">
        <v>244</v>
      </c>
      <c r="IK2">
        <v>245</v>
      </c>
      <c r="IL2">
        <v>246</v>
      </c>
      <c r="IM2">
        <v>247</v>
      </c>
      <c r="IN2">
        <v>248</v>
      </c>
      <c r="IO2">
        <v>249</v>
      </c>
      <c r="IP2">
        <v>250</v>
      </c>
      <c r="IQ2">
        <v>251</v>
      </c>
      <c r="IR2">
        <v>252</v>
      </c>
      <c r="IS2">
        <v>253</v>
      </c>
      <c r="IT2">
        <v>254</v>
      </c>
      <c r="IU2">
        <v>255</v>
      </c>
      <c r="IV2">
        <v>256</v>
      </c>
      <c r="IW2">
        <v>257</v>
      </c>
      <c r="IX2">
        <v>258</v>
      </c>
      <c r="IY2">
        <v>259</v>
      </c>
      <c r="IZ2">
        <v>260</v>
      </c>
      <c r="JA2">
        <v>261</v>
      </c>
      <c r="JB2">
        <v>262</v>
      </c>
      <c r="JC2">
        <v>263</v>
      </c>
      <c r="JD2">
        <v>264</v>
      </c>
      <c r="JE2">
        <v>265</v>
      </c>
      <c r="JF2">
        <v>266</v>
      </c>
      <c r="JG2">
        <v>267</v>
      </c>
      <c r="JH2">
        <v>268</v>
      </c>
      <c r="JI2">
        <v>269</v>
      </c>
      <c r="JJ2">
        <v>270</v>
      </c>
      <c r="JK2">
        <v>271</v>
      </c>
      <c r="JL2">
        <v>272</v>
      </c>
      <c r="JM2">
        <v>273</v>
      </c>
      <c r="JN2">
        <v>274</v>
      </c>
      <c r="JO2">
        <v>275</v>
      </c>
      <c r="JP2">
        <v>276</v>
      </c>
      <c r="JQ2">
        <v>277</v>
      </c>
      <c r="JR2">
        <v>278</v>
      </c>
      <c r="JS2">
        <v>279</v>
      </c>
      <c r="JT2">
        <v>280</v>
      </c>
      <c r="JU2">
        <v>281</v>
      </c>
      <c r="JV2">
        <v>282</v>
      </c>
      <c r="JW2">
        <v>283</v>
      </c>
      <c r="JX2">
        <v>284</v>
      </c>
      <c r="JY2">
        <v>285</v>
      </c>
      <c r="JZ2">
        <v>286</v>
      </c>
      <c r="KA2">
        <v>287</v>
      </c>
      <c r="KB2">
        <v>288</v>
      </c>
      <c r="KC2">
        <v>289</v>
      </c>
      <c r="KD2">
        <v>290</v>
      </c>
      <c r="KE2">
        <v>291</v>
      </c>
      <c r="KF2">
        <v>292</v>
      </c>
      <c r="KG2">
        <v>293</v>
      </c>
      <c r="KH2">
        <v>294</v>
      </c>
      <c r="KI2">
        <v>295</v>
      </c>
      <c r="KJ2">
        <v>296</v>
      </c>
      <c r="KK2">
        <v>297</v>
      </c>
      <c r="KL2">
        <v>298</v>
      </c>
      <c r="KM2">
        <v>299</v>
      </c>
      <c r="KN2">
        <v>300</v>
      </c>
      <c r="KO2">
        <v>301</v>
      </c>
      <c r="KP2">
        <v>302</v>
      </c>
      <c r="KQ2">
        <v>303</v>
      </c>
      <c r="KR2">
        <v>304</v>
      </c>
      <c r="KS2">
        <v>305</v>
      </c>
      <c r="KT2">
        <v>306</v>
      </c>
      <c r="KU2">
        <v>307</v>
      </c>
      <c r="KV2">
        <v>308</v>
      </c>
      <c r="KW2">
        <v>309</v>
      </c>
      <c r="KX2">
        <v>310</v>
      </c>
      <c r="KY2">
        <v>311</v>
      </c>
      <c r="KZ2">
        <v>312</v>
      </c>
      <c r="LA2">
        <v>313</v>
      </c>
      <c r="LB2">
        <v>314</v>
      </c>
      <c r="LC2">
        <v>315</v>
      </c>
      <c r="LD2">
        <v>316</v>
      </c>
      <c r="LE2">
        <v>317</v>
      </c>
      <c r="LF2">
        <v>318</v>
      </c>
      <c r="LG2">
        <v>319</v>
      </c>
      <c r="LH2">
        <v>320</v>
      </c>
      <c r="LI2">
        <v>321</v>
      </c>
      <c r="LJ2">
        <v>322</v>
      </c>
      <c r="LK2">
        <v>323</v>
      </c>
      <c r="LL2">
        <v>324</v>
      </c>
      <c r="LM2">
        <v>325</v>
      </c>
      <c r="LN2">
        <v>326</v>
      </c>
      <c r="LO2">
        <v>327</v>
      </c>
      <c r="LP2">
        <v>328</v>
      </c>
      <c r="LQ2">
        <v>329</v>
      </c>
      <c r="LR2">
        <v>330</v>
      </c>
      <c r="LS2">
        <v>331</v>
      </c>
      <c r="LT2">
        <v>332</v>
      </c>
      <c r="LU2">
        <v>333</v>
      </c>
      <c r="LV2">
        <v>334</v>
      </c>
      <c r="LW2">
        <v>335</v>
      </c>
      <c r="LX2">
        <v>336</v>
      </c>
      <c r="LY2">
        <v>337</v>
      </c>
      <c r="LZ2">
        <v>338</v>
      </c>
      <c r="MA2">
        <v>339</v>
      </c>
      <c r="MB2">
        <v>340</v>
      </c>
      <c r="MC2">
        <v>341</v>
      </c>
      <c r="MD2">
        <v>342</v>
      </c>
      <c r="ME2">
        <v>343</v>
      </c>
      <c r="MF2">
        <v>344</v>
      </c>
      <c r="MG2">
        <v>345</v>
      </c>
      <c r="MH2">
        <v>346</v>
      </c>
      <c r="MI2">
        <v>347</v>
      </c>
      <c r="MJ2">
        <v>348</v>
      </c>
      <c r="MK2">
        <v>349</v>
      </c>
      <c r="ML2">
        <v>350</v>
      </c>
      <c r="MM2">
        <v>351</v>
      </c>
      <c r="MN2">
        <v>352</v>
      </c>
      <c r="MO2">
        <v>353</v>
      </c>
      <c r="MP2">
        <v>354</v>
      </c>
      <c r="MQ2">
        <v>355</v>
      </c>
      <c r="MR2">
        <v>356</v>
      </c>
      <c r="MS2">
        <v>357</v>
      </c>
      <c r="MT2">
        <v>358</v>
      </c>
      <c r="MU2">
        <v>359</v>
      </c>
      <c r="MV2">
        <v>360</v>
      </c>
      <c r="MW2">
        <v>361</v>
      </c>
      <c r="MX2">
        <v>362</v>
      </c>
      <c r="MY2">
        <v>363</v>
      </c>
      <c r="MZ2">
        <v>364</v>
      </c>
      <c r="NA2">
        <v>365</v>
      </c>
      <c r="NB2">
        <v>366</v>
      </c>
      <c r="NC2">
        <v>367</v>
      </c>
      <c r="ND2">
        <v>368</v>
      </c>
      <c r="NE2">
        <v>369</v>
      </c>
      <c r="NF2">
        <v>370</v>
      </c>
      <c r="NG2">
        <v>371</v>
      </c>
      <c r="NH2">
        <v>372</v>
      </c>
      <c r="NI2">
        <v>373</v>
      </c>
      <c r="NJ2">
        <v>374</v>
      </c>
      <c r="NK2">
        <v>375</v>
      </c>
      <c r="NL2">
        <v>376</v>
      </c>
      <c r="NM2">
        <v>377</v>
      </c>
      <c r="NN2">
        <v>378</v>
      </c>
      <c r="NO2">
        <v>379</v>
      </c>
      <c r="NP2">
        <v>380</v>
      </c>
      <c r="NQ2">
        <v>381</v>
      </c>
      <c r="NR2">
        <v>382</v>
      </c>
      <c r="NS2">
        <v>383</v>
      </c>
      <c r="NT2">
        <v>384</v>
      </c>
      <c r="NU2">
        <v>385</v>
      </c>
      <c r="NV2">
        <v>386</v>
      </c>
      <c r="NW2">
        <v>387</v>
      </c>
      <c r="NX2">
        <v>388</v>
      </c>
      <c r="NY2">
        <v>389</v>
      </c>
      <c r="NZ2">
        <v>390</v>
      </c>
      <c r="OA2">
        <v>391</v>
      </c>
      <c r="OB2">
        <v>392</v>
      </c>
      <c r="OC2">
        <v>393</v>
      </c>
      <c r="OD2">
        <v>394</v>
      </c>
      <c r="OE2">
        <v>395</v>
      </c>
      <c r="OF2">
        <v>396</v>
      </c>
      <c r="OG2">
        <v>397</v>
      </c>
      <c r="OH2" s="189">
        <v>398</v>
      </c>
      <c r="OI2" s="189">
        <v>399</v>
      </c>
      <c r="OJ2" s="189">
        <v>400</v>
      </c>
      <c r="OK2" s="189">
        <v>401</v>
      </c>
      <c r="OL2" s="189">
        <v>402</v>
      </c>
      <c r="OM2" s="189">
        <v>403</v>
      </c>
      <c r="ON2" s="189">
        <v>404</v>
      </c>
      <c r="OO2" s="189">
        <v>405</v>
      </c>
      <c r="OP2" s="189">
        <v>406</v>
      </c>
      <c r="OQ2" s="189">
        <v>407</v>
      </c>
      <c r="OR2" s="189">
        <v>408</v>
      </c>
      <c r="OS2">
        <v>409</v>
      </c>
      <c r="OT2">
        <v>410</v>
      </c>
      <c r="OU2">
        <v>411</v>
      </c>
      <c r="OV2">
        <v>412</v>
      </c>
      <c r="OW2">
        <v>413</v>
      </c>
      <c r="OX2">
        <v>414</v>
      </c>
      <c r="OY2">
        <v>415</v>
      </c>
      <c r="OZ2">
        <v>416</v>
      </c>
      <c r="PA2">
        <v>417</v>
      </c>
      <c r="PB2">
        <v>418</v>
      </c>
      <c r="PC2">
        <v>419</v>
      </c>
      <c r="PE2" t="s">
        <v>487</v>
      </c>
    </row>
    <row r="3" spans="1:484">
      <c r="B3" s="334" t="s">
        <v>1</v>
      </c>
      <c r="C3" s="331" t="s">
        <v>325</v>
      </c>
      <c r="D3" s="331" t="s">
        <v>384</v>
      </c>
      <c r="E3" s="331" t="s">
        <v>409</v>
      </c>
      <c r="F3" s="331" t="s">
        <v>436</v>
      </c>
      <c r="G3" s="331" t="s">
        <v>445</v>
      </c>
      <c r="H3" s="331" t="s">
        <v>545</v>
      </c>
      <c r="I3" s="331" t="s">
        <v>549</v>
      </c>
      <c r="J3" s="331" t="s">
        <v>562</v>
      </c>
      <c r="K3" s="331" t="s">
        <v>564</v>
      </c>
      <c r="L3" s="331" t="s">
        <v>568</v>
      </c>
      <c r="M3" s="334" t="s">
        <v>1</v>
      </c>
      <c r="N3" s="331" t="s">
        <v>325</v>
      </c>
      <c r="O3" s="331" t="s">
        <v>384</v>
      </c>
      <c r="P3" s="331" t="s">
        <v>409</v>
      </c>
      <c r="Q3" s="331" t="s">
        <v>436</v>
      </c>
      <c r="R3" s="331" t="s">
        <v>445</v>
      </c>
      <c r="S3" s="331" t="s">
        <v>545</v>
      </c>
      <c r="T3" s="331" t="s">
        <v>549</v>
      </c>
      <c r="U3" s="331" t="s">
        <v>562</v>
      </c>
      <c r="V3" s="331" t="s">
        <v>564</v>
      </c>
      <c r="W3" s="331" t="s">
        <v>568</v>
      </c>
      <c r="X3" s="334" t="s">
        <v>1</v>
      </c>
      <c r="Y3" s="331" t="s">
        <v>325</v>
      </c>
      <c r="Z3" s="331" t="s">
        <v>384</v>
      </c>
      <c r="AA3" s="331" t="s">
        <v>409</v>
      </c>
      <c r="AB3" s="331" t="s">
        <v>436</v>
      </c>
      <c r="AC3" s="331" t="s">
        <v>445</v>
      </c>
      <c r="AD3" s="331" t="s">
        <v>545</v>
      </c>
      <c r="AE3" s="331" t="s">
        <v>549</v>
      </c>
      <c r="AF3" s="331" t="s">
        <v>562</v>
      </c>
      <c r="AG3" s="331" t="s">
        <v>564</v>
      </c>
      <c r="AH3" s="331" t="s">
        <v>568</v>
      </c>
      <c r="AI3" s="335" t="s">
        <v>1</v>
      </c>
      <c r="AJ3" s="331" t="s">
        <v>325</v>
      </c>
      <c r="AK3" s="331" t="s">
        <v>384</v>
      </c>
      <c r="AL3" s="331" t="s">
        <v>409</v>
      </c>
      <c r="AM3" s="331" t="s">
        <v>436</v>
      </c>
      <c r="AN3" s="331" t="s">
        <v>445</v>
      </c>
      <c r="AO3" s="331" t="s">
        <v>545</v>
      </c>
      <c r="AP3" s="331" t="s">
        <v>549</v>
      </c>
      <c r="AQ3" s="331" t="s">
        <v>562</v>
      </c>
      <c r="AR3" s="331" t="s">
        <v>564</v>
      </c>
      <c r="AS3" s="331" t="s">
        <v>568</v>
      </c>
      <c r="AT3" s="335" t="s">
        <v>1</v>
      </c>
      <c r="AU3" s="331" t="s">
        <v>325</v>
      </c>
      <c r="AV3" s="331" t="s">
        <v>384</v>
      </c>
      <c r="AW3" s="331" t="s">
        <v>409</v>
      </c>
      <c r="AX3" s="331" t="s">
        <v>436</v>
      </c>
      <c r="AY3" s="331" t="s">
        <v>445</v>
      </c>
      <c r="AZ3" s="331" t="s">
        <v>545</v>
      </c>
      <c r="BA3" s="331" t="s">
        <v>549</v>
      </c>
      <c r="BB3" s="331" t="s">
        <v>562</v>
      </c>
      <c r="BC3" s="331" t="s">
        <v>564</v>
      </c>
      <c r="BD3" s="331" t="s">
        <v>568</v>
      </c>
      <c r="BE3" s="335" t="s">
        <v>1</v>
      </c>
      <c r="BF3" s="279" t="s">
        <v>325</v>
      </c>
      <c r="BG3" s="279" t="s">
        <v>384</v>
      </c>
      <c r="BH3" s="279" t="s">
        <v>409</v>
      </c>
      <c r="BI3" s="279" t="s">
        <v>436</v>
      </c>
      <c r="BJ3" s="279" t="s">
        <v>445</v>
      </c>
      <c r="BK3" s="279" t="s">
        <v>545</v>
      </c>
      <c r="BL3" s="279" t="s">
        <v>549</v>
      </c>
      <c r="BM3" s="279" t="s">
        <v>562</v>
      </c>
      <c r="BN3" s="279" t="s">
        <v>564</v>
      </c>
      <c r="BO3" s="279" t="s">
        <v>568</v>
      </c>
      <c r="BP3" s="338" t="s">
        <v>1</v>
      </c>
      <c r="BQ3" s="207" t="s">
        <v>325</v>
      </c>
      <c r="BR3" s="207" t="s">
        <v>384</v>
      </c>
      <c r="BS3" s="207" t="s">
        <v>409</v>
      </c>
      <c r="BT3" s="207" t="s">
        <v>436</v>
      </c>
      <c r="BU3" s="207" t="s">
        <v>445</v>
      </c>
      <c r="BV3" s="207" t="s">
        <v>545</v>
      </c>
      <c r="BW3" s="207" t="s">
        <v>549</v>
      </c>
      <c r="BX3" s="207" t="s">
        <v>562</v>
      </c>
      <c r="BY3" s="208" t="s">
        <v>564</v>
      </c>
      <c r="BZ3" s="209" t="s">
        <v>568</v>
      </c>
      <c r="CA3" s="338" t="s">
        <v>1</v>
      </c>
      <c r="CB3" s="6" t="s">
        <v>325</v>
      </c>
      <c r="CC3" s="6" t="s">
        <v>384</v>
      </c>
      <c r="CD3" s="6" t="s">
        <v>409</v>
      </c>
      <c r="CE3" s="6" t="s">
        <v>436</v>
      </c>
      <c r="CF3" s="6" t="s">
        <v>445</v>
      </c>
      <c r="CG3" s="6" t="s">
        <v>545</v>
      </c>
      <c r="CH3" s="6" t="s">
        <v>549</v>
      </c>
      <c r="CI3" s="6" t="s">
        <v>562</v>
      </c>
      <c r="CJ3" s="6" t="s">
        <v>564</v>
      </c>
      <c r="CK3" s="6" t="s">
        <v>568</v>
      </c>
      <c r="CL3" s="334" t="s">
        <v>1</v>
      </c>
      <c r="CM3" s="279" t="s">
        <v>325</v>
      </c>
      <c r="CN3" s="279" t="s">
        <v>384</v>
      </c>
      <c r="CO3" s="279" t="s">
        <v>409</v>
      </c>
      <c r="CP3" s="279" t="s">
        <v>436</v>
      </c>
      <c r="CQ3" s="279" t="s">
        <v>445</v>
      </c>
      <c r="CR3" s="279" t="s">
        <v>545</v>
      </c>
      <c r="CS3" s="279" t="s">
        <v>549</v>
      </c>
      <c r="CT3" s="279" t="s">
        <v>562</v>
      </c>
      <c r="CU3" s="279" t="s">
        <v>564</v>
      </c>
      <c r="CV3" s="279" t="s">
        <v>568</v>
      </c>
      <c r="CW3" s="334" t="s">
        <v>1</v>
      </c>
      <c r="CX3" s="279" t="s">
        <v>325</v>
      </c>
      <c r="CY3" s="279" t="s">
        <v>384</v>
      </c>
      <c r="CZ3" s="279" t="s">
        <v>409</v>
      </c>
      <c r="DA3" s="279" t="s">
        <v>436</v>
      </c>
      <c r="DB3" s="279" t="s">
        <v>445</v>
      </c>
      <c r="DC3" s="279" t="s">
        <v>545</v>
      </c>
      <c r="DD3" s="279" t="s">
        <v>549</v>
      </c>
      <c r="DE3" s="279" t="s">
        <v>562</v>
      </c>
      <c r="DF3" s="279" t="s">
        <v>564</v>
      </c>
      <c r="DG3" s="279" t="s">
        <v>568</v>
      </c>
      <c r="DH3" s="334" t="s">
        <v>1</v>
      </c>
      <c r="DI3" s="279" t="s">
        <v>325</v>
      </c>
      <c r="DJ3" s="279" t="s">
        <v>384</v>
      </c>
      <c r="DK3" s="279" t="s">
        <v>409</v>
      </c>
      <c r="DL3" s="279" t="s">
        <v>436</v>
      </c>
      <c r="DM3" s="279" t="s">
        <v>445</v>
      </c>
      <c r="DN3" s="279" t="s">
        <v>545</v>
      </c>
      <c r="DO3" s="279" t="s">
        <v>549</v>
      </c>
      <c r="DP3" s="279" t="s">
        <v>562</v>
      </c>
      <c r="DQ3" s="279" t="s">
        <v>564</v>
      </c>
      <c r="DR3" s="279" t="s">
        <v>568</v>
      </c>
      <c r="DS3" s="334" t="s">
        <v>1</v>
      </c>
      <c r="DT3" s="279" t="s">
        <v>325</v>
      </c>
      <c r="DU3" s="279" t="s">
        <v>384</v>
      </c>
      <c r="DV3" s="279" t="s">
        <v>409</v>
      </c>
      <c r="DW3" s="279" t="s">
        <v>436</v>
      </c>
      <c r="DX3" s="279" t="s">
        <v>445</v>
      </c>
      <c r="DY3" s="279" t="s">
        <v>545</v>
      </c>
      <c r="DZ3" s="279" t="s">
        <v>549</v>
      </c>
      <c r="EA3" s="279" t="s">
        <v>562</v>
      </c>
      <c r="EB3" s="279" t="s">
        <v>564</v>
      </c>
      <c r="EC3" s="279" t="s">
        <v>568</v>
      </c>
      <c r="ED3" s="335" t="s">
        <v>1</v>
      </c>
      <c r="EE3" s="279" t="s">
        <v>325</v>
      </c>
      <c r="EF3" s="279" t="s">
        <v>384</v>
      </c>
      <c r="EG3" s="279" t="s">
        <v>409</v>
      </c>
      <c r="EH3" s="279" t="s">
        <v>436</v>
      </c>
      <c r="EI3" s="279" t="s">
        <v>445</v>
      </c>
      <c r="EJ3" s="279" t="s">
        <v>545</v>
      </c>
      <c r="EK3" s="279" t="s">
        <v>549</v>
      </c>
      <c r="EL3" s="279" t="s">
        <v>562</v>
      </c>
      <c r="EM3" s="279" t="s">
        <v>564</v>
      </c>
      <c r="EN3" s="279" t="s">
        <v>568</v>
      </c>
      <c r="EO3" s="335" t="s">
        <v>1</v>
      </c>
      <c r="EP3" s="279" t="s">
        <v>325</v>
      </c>
      <c r="EQ3" s="279" t="s">
        <v>384</v>
      </c>
      <c r="ER3" s="279" t="s">
        <v>409</v>
      </c>
      <c r="ES3" s="279" t="s">
        <v>436</v>
      </c>
      <c r="ET3" s="279" t="s">
        <v>445</v>
      </c>
      <c r="EU3" s="279" t="s">
        <v>545</v>
      </c>
      <c r="EV3" s="279" t="s">
        <v>549</v>
      </c>
      <c r="EW3" s="279" t="s">
        <v>562</v>
      </c>
      <c r="EX3" s="279" t="s">
        <v>564</v>
      </c>
      <c r="EY3" s="279" t="s">
        <v>568</v>
      </c>
      <c r="EZ3" s="335" t="s">
        <v>1</v>
      </c>
      <c r="FA3" s="279" t="s">
        <v>325</v>
      </c>
      <c r="FB3" s="279" t="s">
        <v>384</v>
      </c>
      <c r="FC3" s="279" t="s">
        <v>409</v>
      </c>
      <c r="FD3" s="279" t="s">
        <v>436</v>
      </c>
      <c r="FE3" s="279" t="s">
        <v>445</v>
      </c>
      <c r="FF3" s="279" t="s">
        <v>545</v>
      </c>
      <c r="FG3" s="279" t="s">
        <v>549</v>
      </c>
      <c r="FH3" s="279" t="s">
        <v>562</v>
      </c>
      <c r="FI3" s="279" t="s">
        <v>564</v>
      </c>
      <c r="FJ3" s="279" t="s">
        <v>568</v>
      </c>
      <c r="FK3" s="335" t="s">
        <v>1</v>
      </c>
      <c r="FL3" s="279" t="s">
        <v>325</v>
      </c>
      <c r="FM3" s="279" t="s">
        <v>384</v>
      </c>
      <c r="FN3" s="279" t="s">
        <v>409</v>
      </c>
      <c r="FO3" s="279" t="s">
        <v>436</v>
      </c>
      <c r="FP3" s="279" t="s">
        <v>445</v>
      </c>
      <c r="FQ3" s="279" t="s">
        <v>545</v>
      </c>
      <c r="FR3" s="279" t="s">
        <v>549</v>
      </c>
      <c r="FS3" s="279" t="s">
        <v>562</v>
      </c>
      <c r="FT3" s="279" t="s">
        <v>564</v>
      </c>
      <c r="FU3" s="279" t="s">
        <v>568</v>
      </c>
      <c r="FV3" s="335" t="s">
        <v>1</v>
      </c>
      <c r="FW3" s="279" t="s">
        <v>325</v>
      </c>
      <c r="FX3" s="279" t="s">
        <v>384</v>
      </c>
      <c r="FY3" s="279" t="s">
        <v>409</v>
      </c>
      <c r="FZ3" s="279" t="s">
        <v>436</v>
      </c>
      <c r="GA3" s="279" t="s">
        <v>445</v>
      </c>
      <c r="GB3" s="279" t="s">
        <v>545</v>
      </c>
      <c r="GC3" s="279" t="s">
        <v>549</v>
      </c>
      <c r="GD3" s="279" t="s">
        <v>562</v>
      </c>
      <c r="GE3" s="279" t="s">
        <v>564</v>
      </c>
      <c r="GF3" s="279" t="s">
        <v>568</v>
      </c>
      <c r="GG3" s="335" t="s">
        <v>1</v>
      </c>
      <c r="GH3" s="279" t="s">
        <v>325</v>
      </c>
      <c r="GI3" s="279" t="s">
        <v>384</v>
      </c>
      <c r="GJ3" s="279" t="s">
        <v>409</v>
      </c>
      <c r="GK3" s="279" t="s">
        <v>436</v>
      </c>
      <c r="GL3" s="279" t="s">
        <v>445</v>
      </c>
      <c r="GM3" s="279" t="s">
        <v>545</v>
      </c>
      <c r="GN3" s="279" t="s">
        <v>549</v>
      </c>
      <c r="GO3" s="279" t="s">
        <v>562</v>
      </c>
      <c r="GP3" s="279" t="s">
        <v>564</v>
      </c>
      <c r="GQ3" s="279" t="s">
        <v>568</v>
      </c>
      <c r="GR3" s="335" t="s">
        <v>1</v>
      </c>
      <c r="GS3" s="279" t="s">
        <v>325</v>
      </c>
      <c r="GT3" s="279" t="s">
        <v>384</v>
      </c>
      <c r="GU3" s="279" t="s">
        <v>409</v>
      </c>
      <c r="GV3" s="279" t="s">
        <v>436</v>
      </c>
      <c r="GW3" s="279" t="s">
        <v>445</v>
      </c>
      <c r="GX3" s="279" t="s">
        <v>545</v>
      </c>
      <c r="GY3" s="279" t="s">
        <v>549</v>
      </c>
      <c r="GZ3" s="279" t="s">
        <v>562</v>
      </c>
      <c r="HA3" s="279" t="s">
        <v>564</v>
      </c>
      <c r="HB3" s="279" t="s">
        <v>568</v>
      </c>
      <c r="HC3" s="335" t="s">
        <v>1</v>
      </c>
      <c r="HD3" s="279" t="s">
        <v>325</v>
      </c>
      <c r="HE3" s="279" t="s">
        <v>384</v>
      </c>
      <c r="HF3" s="279" t="s">
        <v>409</v>
      </c>
      <c r="HG3" s="279" t="s">
        <v>436</v>
      </c>
      <c r="HH3" s="279" t="s">
        <v>445</v>
      </c>
      <c r="HI3" s="279" t="s">
        <v>545</v>
      </c>
      <c r="HJ3" s="279" t="s">
        <v>549</v>
      </c>
      <c r="HK3" s="279" t="s">
        <v>562</v>
      </c>
      <c r="HL3" s="279" t="s">
        <v>564</v>
      </c>
      <c r="HM3" s="279" t="s">
        <v>568</v>
      </c>
      <c r="HN3" s="335" t="s">
        <v>1</v>
      </c>
      <c r="HO3" s="279" t="s">
        <v>325</v>
      </c>
      <c r="HP3" s="279" t="s">
        <v>384</v>
      </c>
      <c r="HQ3" s="279" t="s">
        <v>409</v>
      </c>
      <c r="HR3" s="279" t="s">
        <v>436</v>
      </c>
      <c r="HS3" s="279" t="s">
        <v>445</v>
      </c>
      <c r="HT3" s="279" t="s">
        <v>545</v>
      </c>
      <c r="HU3" s="279" t="s">
        <v>549</v>
      </c>
      <c r="HV3" s="279" t="s">
        <v>562</v>
      </c>
      <c r="HW3" s="279" t="s">
        <v>564</v>
      </c>
      <c r="HX3" s="279" t="s">
        <v>568</v>
      </c>
      <c r="HY3" s="335" t="s">
        <v>1</v>
      </c>
      <c r="HZ3" s="279" t="s">
        <v>325</v>
      </c>
      <c r="IA3" s="279" t="s">
        <v>384</v>
      </c>
      <c r="IB3" s="279" t="s">
        <v>409</v>
      </c>
      <c r="IC3" s="279" t="s">
        <v>436</v>
      </c>
      <c r="ID3" s="279" t="s">
        <v>445</v>
      </c>
      <c r="IE3" s="279" t="s">
        <v>545</v>
      </c>
      <c r="IF3" s="279" t="s">
        <v>549</v>
      </c>
      <c r="IG3" s="279" t="s">
        <v>562</v>
      </c>
      <c r="IH3" s="279" t="s">
        <v>564</v>
      </c>
      <c r="II3" s="279" t="s">
        <v>568</v>
      </c>
      <c r="IJ3" s="335" t="s">
        <v>1</v>
      </c>
      <c r="IK3" s="279" t="s">
        <v>325</v>
      </c>
      <c r="IL3" s="279" t="s">
        <v>384</v>
      </c>
      <c r="IM3" s="279" t="s">
        <v>409</v>
      </c>
      <c r="IN3" s="279" t="s">
        <v>436</v>
      </c>
      <c r="IO3" s="279" t="s">
        <v>445</v>
      </c>
      <c r="IP3" s="279" t="s">
        <v>545</v>
      </c>
      <c r="IQ3" s="279" t="s">
        <v>549</v>
      </c>
      <c r="IR3" s="279" t="s">
        <v>562</v>
      </c>
      <c r="IS3" s="279" t="s">
        <v>564</v>
      </c>
      <c r="IT3" s="279" t="s">
        <v>568</v>
      </c>
      <c r="IU3" s="335" t="s">
        <v>1</v>
      </c>
      <c r="IV3" s="279" t="s">
        <v>325</v>
      </c>
      <c r="IW3" s="279" t="s">
        <v>384</v>
      </c>
      <c r="IX3" s="279" t="s">
        <v>409</v>
      </c>
      <c r="IY3" s="279" t="s">
        <v>436</v>
      </c>
      <c r="IZ3" s="279" t="s">
        <v>445</v>
      </c>
      <c r="JA3" s="279" t="s">
        <v>545</v>
      </c>
      <c r="JB3" s="279" t="s">
        <v>549</v>
      </c>
      <c r="JC3" s="279" t="s">
        <v>562</v>
      </c>
      <c r="JD3" s="279" t="s">
        <v>564</v>
      </c>
      <c r="JE3" s="279" t="s">
        <v>568</v>
      </c>
      <c r="JF3" s="335" t="s">
        <v>1</v>
      </c>
      <c r="JG3" s="279" t="s">
        <v>325</v>
      </c>
      <c r="JH3" s="279" t="s">
        <v>384</v>
      </c>
      <c r="JI3" s="279" t="s">
        <v>409</v>
      </c>
      <c r="JJ3" s="279" t="s">
        <v>436</v>
      </c>
      <c r="JK3" s="279" t="s">
        <v>445</v>
      </c>
      <c r="JL3" s="279" t="s">
        <v>545</v>
      </c>
      <c r="JM3" s="279" t="s">
        <v>549</v>
      </c>
      <c r="JN3" s="279" t="s">
        <v>562</v>
      </c>
      <c r="JO3" s="279" t="s">
        <v>564</v>
      </c>
      <c r="JP3" s="279" t="s">
        <v>568</v>
      </c>
      <c r="JQ3" s="335" t="s">
        <v>1</v>
      </c>
      <c r="JR3" s="279" t="s">
        <v>325</v>
      </c>
      <c r="JS3" s="279" t="s">
        <v>384</v>
      </c>
      <c r="JT3" s="279" t="s">
        <v>409</v>
      </c>
      <c r="JU3" s="279" t="s">
        <v>436</v>
      </c>
      <c r="JV3" s="279" t="s">
        <v>445</v>
      </c>
      <c r="JW3" s="279" t="s">
        <v>545</v>
      </c>
      <c r="JX3" s="279" t="s">
        <v>549</v>
      </c>
      <c r="JY3" s="279" t="s">
        <v>562</v>
      </c>
      <c r="JZ3" s="279" t="s">
        <v>564</v>
      </c>
      <c r="KA3" s="279" t="s">
        <v>568</v>
      </c>
      <c r="KB3" s="335" t="s">
        <v>1</v>
      </c>
      <c r="KC3" s="279" t="s">
        <v>325</v>
      </c>
      <c r="KD3" s="279" t="s">
        <v>384</v>
      </c>
      <c r="KE3" s="279" t="s">
        <v>409</v>
      </c>
      <c r="KF3" s="279" t="s">
        <v>436</v>
      </c>
      <c r="KG3" s="279" t="s">
        <v>445</v>
      </c>
      <c r="KH3" s="279" t="s">
        <v>545</v>
      </c>
      <c r="KI3" s="279" t="s">
        <v>549</v>
      </c>
      <c r="KJ3" s="279" t="s">
        <v>562</v>
      </c>
      <c r="KK3" s="279" t="s">
        <v>564</v>
      </c>
      <c r="KL3" s="279" t="s">
        <v>568</v>
      </c>
      <c r="KM3" s="335" t="s">
        <v>1</v>
      </c>
      <c r="KN3" s="279" t="s">
        <v>325</v>
      </c>
      <c r="KO3" s="279" t="s">
        <v>384</v>
      </c>
      <c r="KP3" s="279" t="s">
        <v>409</v>
      </c>
      <c r="KQ3" s="279" t="s">
        <v>436</v>
      </c>
      <c r="KR3" s="279" t="s">
        <v>445</v>
      </c>
      <c r="KS3" s="279" t="s">
        <v>545</v>
      </c>
      <c r="KT3" s="279" t="s">
        <v>549</v>
      </c>
      <c r="KU3" s="279" t="s">
        <v>562</v>
      </c>
      <c r="KV3" s="279" t="s">
        <v>564</v>
      </c>
      <c r="KW3" s="279" t="s">
        <v>568</v>
      </c>
      <c r="KX3" s="335" t="s">
        <v>1</v>
      </c>
      <c r="KY3" s="279" t="s">
        <v>325</v>
      </c>
      <c r="KZ3" s="279" t="s">
        <v>384</v>
      </c>
      <c r="LA3" s="279" t="s">
        <v>409</v>
      </c>
      <c r="LB3" s="279" t="s">
        <v>436</v>
      </c>
      <c r="LC3" s="279" t="s">
        <v>445</v>
      </c>
      <c r="LD3" s="279" t="s">
        <v>545</v>
      </c>
      <c r="LE3" s="279" t="s">
        <v>549</v>
      </c>
      <c r="LF3" s="279" t="s">
        <v>562</v>
      </c>
      <c r="LG3" s="279" t="s">
        <v>564</v>
      </c>
      <c r="LH3" s="279" t="s">
        <v>568</v>
      </c>
      <c r="LI3" s="335" t="s">
        <v>1</v>
      </c>
      <c r="LJ3" s="279" t="s">
        <v>325</v>
      </c>
      <c r="LK3" s="279" t="s">
        <v>384</v>
      </c>
      <c r="LL3" s="279" t="s">
        <v>409</v>
      </c>
      <c r="LM3" s="279" t="s">
        <v>436</v>
      </c>
      <c r="LN3" s="279" t="s">
        <v>445</v>
      </c>
      <c r="LO3" s="279" t="s">
        <v>545</v>
      </c>
      <c r="LP3" s="279" t="s">
        <v>549</v>
      </c>
      <c r="LQ3" s="279" t="s">
        <v>562</v>
      </c>
      <c r="LR3" s="279" t="s">
        <v>564</v>
      </c>
      <c r="LS3" s="279" t="s">
        <v>568</v>
      </c>
      <c r="LT3" s="335" t="s">
        <v>1</v>
      </c>
      <c r="LU3" s="279" t="s">
        <v>325</v>
      </c>
      <c r="LV3" s="279" t="s">
        <v>384</v>
      </c>
      <c r="LW3" s="279" t="s">
        <v>409</v>
      </c>
      <c r="LX3" s="279" t="s">
        <v>436</v>
      </c>
      <c r="LY3" s="279" t="s">
        <v>445</v>
      </c>
      <c r="LZ3" s="279" t="s">
        <v>545</v>
      </c>
      <c r="MA3" s="279" t="s">
        <v>549</v>
      </c>
      <c r="MB3" s="279" t="s">
        <v>562</v>
      </c>
      <c r="MC3" s="279" t="s">
        <v>564</v>
      </c>
      <c r="MD3" s="279" t="s">
        <v>568</v>
      </c>
      <c r="ME3" s="335" t="s">
        <v>1</v>
      </c>
      <c r="MF3" s="279" t="s">
        <v>325</v>
      </c>
      <c r="MG3" s="279" t="s">
        <v>384</v>
      </c>
      <c r="MH3" s="279" t="s">
        <v>409</v>
      </c>
      <c r="MI3" s="279" t="s">
        <v>436</v>
      </c>
      <c r="MJ3" s="279" t="s">
        <v>445</v>
      </c>
      <c r="MK3" s="279" t="s">
        <v>545</v>
      </c>
      <c r="ML3" s="279" t="s">
        <v>549</v>
      </c>
      <c r="MM3" s="279" t="s">
        <v>562</v>
      </c>
      <c r="MN3" s="279" t="s">
        <v>564</v>
      </c>
      <c r="MO3" s="279" t="s">
        <v>568</v>
      </c>
      <c r="MP3" s="335" t="s">
        <v>1</v>
      </c>
      <c r="MQ3" s="279" t="s">
        <v>325</v>
      </c>
      <c r="MR3" s="279" t="s">
        <v>384</v>
      </c>
      <c r="MS3" s="279" t="s">
        <v>409</v>
      </c>
      <c r="MT3" s="279" t="s">
        <v>436</v>
      </c>
      <c r="MU3" s="279" t="s">
        <v>445</v>
      </c>
      <c r="MV3" s="279" t="s">
        <v>545</v>
      </c>
      <c r="MW3" s="279" t="s">
        <v>549</v>
      </c>
      <c r="MX3" s="279" t="s">
        <v>562</v>
      </c>
      <c r="MY3" s="279" t="s">
        <v>564</v>
      </c>
      <c r="MZ3" s="279" t="s">
        <v>568</v>
      </c>
      <c r="NA3" s="335" t="s">
        <v>1</v>
      </c>
      <c r="NB3" s="279" t="s">
        <v>325</v>
      </c>
      <c r="NC3" s="279" t="s">
        <v>384</v>
      </c>
      <c r="ND3" s="279" t="s">
        <v>409</v>
      </c>
      <c r="NE3" s="279" t="s">
        <v>436</v>
      </c>
      <c r="NF3" s="279" t="s">
        <v>445</v>
      </c>
      <c r="NG3" s="279" t="s">
        <v>545</v>
      </c>
      <c r="NH3" s="279" t="s">
        <v>549</v>
      </c>
      <c r="NI3" s="279" t="s">
        <v>562</v>
      </c>
      <c r="NJ3" s="279" t="s">
        <v>564</v>
      </c>
      <c r="NK3" s="279" t="s">
        <v>568</v>
      </c>
      <c r="NL3" s="335" t="s">
        <v>1</v>
      </c>
      <c r="NM3" s="279" t="s">
        <v>325</v>
      </c>
      <c r="NN3" s="279" t="s">
        <v>384</v>
      </c>
      <c r="NO3" s="279" t="s">
        <v>409</v>
      </c>
      <c r="NP3" s="279" t="s">
        <v>436</v>
      </c>
      <c r="NQ3" s="279" t="s">
        <v>445</v>
      </c>
      <c r="NR3" s="279" t="s">
        <v>545</v>
      </c>
      <c r="NS3" s="279" t="s">
        <v>549</v>
      </c>
      <c r="NT3" s="279" t="s">
        <v>562</v>
      </c>
      <c r="NU3" s="279" t="s">
        <v>564</v>
      </c>
      <c r="NV3" s="279" t="s">
        <v>568</v>
      </c>
      <c r="NW3" s="335" t="s">
        <v>1</v>
      </c>
      <c r="NX3" s="279" t="s">
        <v>325</v>
      </c>
      <c r="NY3" s="279" t="s">
        <v>384</v>
      </c>
      <c r="NZ3" s="279" t="s">
        <v>409</v>
      </c>
      <c r="OA3" s="279" t="s">
        <v>436</v>
      </c>
      <c r="OB3" s="279" t="s">
        <v>445</v>
      </c>
      <c r="OC3" s="279" t="s">
        <v>545</v>
      </c>
      <c r="OD3" s="279" t="s">
        <v>549</v>
      </c>
      <c r="OE3" s="279" t="s">
        <v>562</v>
      </c>
      <c r="OF3" s="279" t="s">
        <v>564</v>
      </c>
      <c r="OG3" s="279" t="s">
        <v>568</v>
      </c>
      <c r="OH3" s="190" t="s">
        <v>1</v>
      </c>
      <c r="OI3" s="191" t="s">
        <v>6</v>
      </c>
      <c r="OJ3" s="191" t="s">
        <v>7</v>
      </c>
      <c r="OK3" s="191" t="s">
        <v>8</v>
      </c>
      <c r="OL3" s="191" t="s">
        <v>9</v>
      </c>
      <c r="OM3" s="191" t="s">
        <v>10</v>
      </c>
      <c r="ON3" s="191" t="s">
        <v>58</v>
      </c>
      <c r="OO3" s="191" t="s">
        <v>325</v>
      </c>
      <c r="OP3" s="191" t="s">
        <v>384</v>
      </c>
      <c r="OQ3" s="191" t="s">
        <v>409</v>
      </c>
      <c r="OR3" s="191" t="s">
        <v>436</v>
      </c>
      <c r="OS3" s="326" t="s">
        <v>1</v>
      </c>
      <c r="OT3" s="339" t="s">
        <v>325</v>
      </c>
      <c r="OU3" s="339" t="s">
        <v>384</v>
      </c>
      <c r="OV3" s="339" t="s">
        <v>409</v>
      </c>
      <c r="OW3" s="339" t="s">
        <v>436</v>
      </c>
      <c r="OX3" s="339" t="s">
        <v>445</v>
      </c>
      <c r="OY3" s="339" t="s">
        <v>545</v>
      </c>
      <c r="OZ3" s="339" t="s">
        <v>549</v>
      </c>
      <c r="PA3" s="339" t="s">
        <v>562</v>
      </c>
      <c r="PB3" s="339" t="s">
        <v>564</v>
      </c>
      <c r="PC3" s="339" t="s">
        <v>568</v>
      </c>
      <c r="PE3" s="184" t="s">
        <v>501</v>
      </c>
      <c r="PF3" s="184" t="s">
        <v>502</v>
      </c>
      <c r="PG3" s="184" t="s">
        <v>503</v>
      </c>
      <c r="PH3" s="184" t="s">
        <v>504</v>
      </c>
      <c r="PI3" s="184" t="s">
        <v>505</v>
      </c>
      <c r="PJ3" s="184" t="s">
        <v>506</v>
      </c>
      <c r="PK3" s="184" t="s">
        <v>507</v>
      </c>
      <c r="PL3" s="184" t="s">
        <v>508</v>
      </c>
      <c r="PM3" s="184" t="s">
        <v>507</v>
      </c>
      <c r="PN3" s="184" t="s">
        <v>508</v>
      </c>
      <c r="PO3" t="s">
        <v>509</v>
      </c>
      <c r="PU3" t="s">
        <v>510</v>
      </c>
      <c r="PW3" t="s">
        <v>511</v>
      </c>
      <c r="PY3" t="s">
        <v>512</v>
      </c>
      <c r="QA3" t="s">
        <v>513</v>
      </c>
      <c r="QC3" t="s">
        <v>514</v>
      </c>
      <c r="QE3" t="s">
        <v>515</v>
      </c>
      <c r="QG3" t="s">
        <v>516</v>
      </c>
      <c r="QI3" t="s">
        <v>517</v>
      </c>
      <c r="QK3" t="s">
        <v>518</v>
      </c>
      <c r="QM3" t="s">
        <v>519</v>
      </c>
      <c r="QO3" t="s">
        <v>520</v>
      </c>
      <c r="QQ3" t="s">
        <v>521</v>
      </c>
      <c r="QS3" t="s">
        <v>522</v>
      </c>
      <c r="QU3" t="s">
        <v>523</v>
      </c>
      <c r="QW3" t="s">
        <v>524</v>
      </c>
      <c r="QY3" t="s">
        <v>525</v>
      </c>
      <c r="RA3" t="s">
        <v>526</v>
      </c>
      <c r="RC3" t="s">
        <v>527</v>
      </c>
      <c r="RE3" t="s">
        <v>528</v>
      </c>
      <c r="RG3" t="s">
        <v>134</v>
      </c>
      <c r="RI3" t="s">
        <v>529</v>
      </c>
      <c r="RK3" t="s">
        <v>530</v>
      </c>
      <c r="RM3" t="s">
        <v>531</v>
      </c>
      <c r="RO3" t="s">
        <v>416</v>
      </c>
    </row>
    <row r="4" spans="1:484">
      <c r="A4">
        <v>1</v>
      </c>
      <c r="B4" s="128" t="s">
        <v>11</v>
      </c>
      <c r="C4" s="332">
        <v>13.7</v>
      </c>
      <c r="D4" s="332">
        <v>14.4</v>
      </c>
      <c r="E4" s="332">
        <v>14.6</v>
      </c>
      <c r="F4" s="332">
        <v>14.3</v>
      </c>
      <c r="G4" s="332">
        <v>13.8</v>
      </c>
      <c r="H4" s="332">
        <v>14.4</v>
      </c>
      <c r="I4" s="332">
        <v>14.8</v>
      </c>
      <c r="J4" s="332">
        <v>14.3</v>
      </c>
      <c r="K4" s="332">
        <v>13.9</v>
      </c>
      <c r="L4" s="332">
        <v>14.3</v>
      </c>
      <c r="M4" s="127" t="s">
        <v>11</v>
      </c>
      <c r="N4" s="332">
        <v>25177.5</v>
      </c>
      <c r="O4" s="332">
        <v>26650.9</v>
      </c>
      <c r="P4" s="332">
        <v>27267.3</v>
      </c>
      <c r="Q4" s="332">
        <v>26674</v>
      </c>
      <c r="R4" s="332">
        <v>25683.4</v>
      </c>
      <c r="S4" s="332">
        <v>27288.3</v>
      </c>
      <c r="T4" s="332">
        <v>28143.8</v>
      </c>
      <c r="U4" s="332">
        <v>27301</v>
      </c>
      <c r="V4" s="332">
        <v>26332.5</v>
      </c>
      <c r="W4" s="332">
        <v>27443.599999999999</v>
      </c>
      <c r="X4" s="120" t="s">
        <v>11</v>
      </c>
      <c r="Y4" s="332">
        <v>1192.7</v>
      </c>
      <c r="Z4" s="332">
        <v>1315</v>
      </c>
      <c r="AA4" s="332">
        <v>1331</v>
      </c>
      <c r="AB4" s="332">
        <v>1266.5</v>
      </c>
      <c r="AC4" s="332">
        <v>1240.9000000000001</v>
      </c>
      <c r="AD4" s="332">
        <v>1323.7</v>
      </c>
      <c r="AE4" s="332">
        <v>1389.7</v>
      </c>
      <c r="AF4" s="332">
        <v>1304.3</v>
      </c>
      <c r="AG4" s="332">
        <v>1200</v>
      </c>
      <c r="AH4" s="332">
        <v>1304.3</v>
      </c>
      <c r="AI4" s="119" t="s">
        <v>11</v>
      </c>
      <c r="AJ4" s="332">
        <v>2507</v>
      </c>
      <c r="AK4" s="332">
        <v>2826.4</v>
      </c>
      <c r="AL4" s="332">
        <v>3722.2</v>
      </c>
      <c r="AM4" s="332">
        <v>2992.5</v>
      </c>
      <c r="AN4" s="332">
        <v>2538.6</v>
      </c>
      <c r="AO4" s="332">
        <v>2903.5</v>
      </c>
      <c r="AP4" s="332">
        <v>3865.5</v>
      </c>
      <c r="AQ4" s="332">
        <v>3007</v>
      </c>
      <c r="AR4" s="332">
        <v>2612.3000000000002</v>
      </c>
      <c r="AS4" s="332">
        <v>2970.3</v>
      </c>
      <c r="AT4" s="119" t="s">
        <v>11</v>
      </c>
      <c r="AU4" s="332">
        <v>3539.8</v>
      </c>
      <c r="AV4" s="332">
        <v>4074.8</v>
      </c>
      <c r="AW4" s="332">
        <v>4233.8999999999996</v>
      </c>
      <c r="AX4" s="332">
        <v>3770.2</v>
      </c>
      <c r="AY4" s="332">
        <v>3507.5</v>
      </c>
      <c r="AZ4" s="332">
        <v>4125.2</v>
      </c>
      <c r="BA4" s="332">
        <v>4523.8</v>
      </c>
      <c r="BB4" s="332">
        <v>4035.7</v>
      </c>
      <c r="BC4" s="332">
        <v>3742.2</v>
      </c>
      <c r="BD4" s="332">
        <v>4244</v>
      </c>
      <c r="BE4" s="119" t="s">
        <v>11</v>
      </c>
      <c r="BF4" s="280">
        <v>6486.7</v>
      </c>
      <c r="BG4" s="280">
        <v>6691.5</v>
      </c>
      <c r="BH4" s="280">
        <v>6343.2</v>
      </c>
      <c r="BI4" s="280">
        <v>6643.6</v>
      </c>
      <c r="BJ4" s="280">
        <v>6640.3</v>
      </c>
      <c r="BK4" s="280">
        <v>7017.5</v>
      </c>
      <c r="BL4" s="280">
        <v>6674.1</v>
      </c>
      <c r="BM4" s="280">
        <v>7004.2</v>
      </c>
      <c r="BN4" s="280">
        <v>6890.2</v>
      </c>
      <c r="BO4" s="280">
        <v>7135.8</v>
      </c>
      <c r="BP4" s="6" t="s">
        <v>11</v>
      </c>
      <c r="BQ4" s="7">
        <v>2824</v>
      </c>
      <c r="BR4" s="7">
        <v>2881.1</v>
      </c>
      <c r="BS4" s="7">
        <v>2860.5</v>
      </c>
      <c r="BT4" s="7">
        <v>2921.8999999999996</v>
      </c>
      <c r="BU4" s="7">
        <v>2906.3999999999996</v>
      </c>
      <c r="BV4" s="7">
        <v>2983.7</v>
      </c>
      <c r="BW4" s="7">
        <v>2932.6</v>
      </c>
      <c r="BX4" s="7">
        <v>2875.8</v>
      </c>
      <c r="BY4" s="7">
        <v>2850.7</v>
      </c>
      <c r="BZ4" s="7">
        <v>2885.2</v>
      </c>
      <c r="CA4" s="6" t="s">
        <v>11</v>
      </c>
      <c r="CB4" s="7">
        <v>4270.2</v>
      </c>
      <c r="CC4" s="7">
        <v>4175.7999999999993</v>
      </c>
      <c r="CD4" s="7">
        <v>4155.7</v>
      </c>
      <c r="CE4" s="7">
        <v>4346.7999999999993</v>
      </c>
      <c r="CF4" s="7">
        <v>4197</v>
      </c>
      <c r="CG4" s="7">
        <v>4142.3</v>
      </c>
      <c r="CH4" s="7">
        <v>4097.7999999999993</v>
      </c>
      <c r="CI4" s="7">
        <v>4232.3</v>
      </c>
      <c r="CJ4" s="7">
        <v>4213.1000000000004</v>
      </c>
      <c r="CK4" s="7">
        <v>4054.1</v>
      </c>
      <c r="CL4" s="129" t="s">
        <v>11</v>
      </c>
      <c r="CM4" s="280">
        <v>6350.5</v>
      </c>
      <c r="CN4" s="280">
        <v>6830.9</v>
      </c>
      <c r="CO4" s="280">
        <v>7032.4</v>
      </c>
      <c r="CP4" s="280">
        <v>6939.9</v>
      </c>
      <c r="CQ4" s="280">
        <v>6546.8</v>
      </c>
      <c r="CR4" s="280">
        <v>7128.4</v>
      </c>
      <c r="CS4" s="280">
        <v>7465.9</v>
      </c>
      <c r="CT4" s="280">
        <v>7119.9</v>
      </c>
      <c r="CU4" s="280">
        <v>6803.8</v>
      </c>
      <c r="CV4" s="280">
        <v>7276.3</v>
      </c>
      <c r="CW4" s="130" t="s">
        <v>11</v>
      </c>
      <c r="CX4" s="280">
        <v>11511.5</v>
      </c>
      <c r="CY4" s="280">
        <v>12272.2</v>
      </c>
      <c r="CZ4" s="280">
        <v>12665.4</v>
      </c>
      <c r="DA4" s="280">
        <v>12164.8</v>
      </c>
      <c r="DB4" s="280">
        <v>11633.9</v>
      </c>
      <c r="DC4" s="280">
        <v>12328.7</v>
      </c>
      <c r="DD4" s="280">
        <v>12795.2</v>
      </c>
      <c r="DE4" s="280">
        <v>12285.3</v>
      </c>
      <c r="DF4" s="280">
        <v>11753.5</v>
      </c>
      <c r="DG4" s="280">
        <v>12205.2</v>
      </c>
      <c r="DH4" s="131" t="s">
        <v>11</v>
      </c>
      <c r="DI4" s="280">
        <v>7245.3</v>
      </c>
      <c r="DJ4" s="280">
        <v>7470.1</v>
      </c>
      <c r="DK4" s="280">
        <v>7497.7</v>
      </c>
      <c r="DL4" s="280">
        <v>7493.4</v>
      </c>
      <c r="DM4" s="280">
        <v>7418.6</v>
      </c>
      <c r="DN4" s="280">
        <v>7757.9</v>
      </c>
      <c r="DO4" s="280">
        <v>7796.8</v>
      </c>
      <c r="DP4" s="280">
        <v>7816</v>
      </c>
      <c r="DQ4" s="280">
        <v>7701.4</v>
      </c>
      <c r="DR4" s="280">
        <v>7894.9</v>
      </c>
      <c r="DS4" s="132" t="s">
        <v>11</v>
      </c>
      <c r="DT4" s="280">
        <v>70.2</v>
      </c>
      <c r="DU4" s="280">
        <v>77.7</v>
      </c>
      <c r="DV4" s="280">
        <v>71.7</v>
      </c>
      <c r="DW4" s="280">
        <v>76</v>
      </c>
      <c r="DX4" s="280">
        <v>84</v>
      </c>
      <c r="DY4" s="280">
        <v>73.3</v>
      </c>
      <c r="DZ4" s="280">
        <v>85.9</v>
      </c>
      <c r="EA4" s="280">
        <v>79.8</v>
      </c>
      <c r="EB4" s="280">
        <v>73.7</v>
      </c>
      <c r="EC4" s="280">
        <v>67.2</v>
      </c>
      <c r="ED4" s="2" t="s">
        <v>11</v>
      </c>
      <c r="EE4" s="280">
        <v>329.6</v>
      </c>
      <c r="EF4" s="280">
        <v>344</v>
      </c>
      <c r="EG4" s="280">
        <v>369.2</v>
      </c>
      <c r="EH4" s="280">
        <v>358.6</v>
      </c>
      <c r="EI4" s="280">
        <v>327.60000000000002</v>
      </c>
      <c r="EJ4" s="280">
        <v>322.5</v>
      </c>
      <c r="EK4" s="280">
        <v>366.9</v>
      </c>
      <c r="EL4" s="280">
        <v>346.5</v>
      </c>
      <c r="EM4" s="280">
        <v>317.5</v>
      </c>
      <c r="EN4" s="280">
        <v>294.10000000000002</v>
      </c>
      <c r="EO4" s="2" t="s">
        <v>11</v>
      </c>
      <c r="EP4" s="280">
        <v>4063.3</v>
      </c>
      <c r="EQ4" s="280">
        <v>4133</v>
      </c>
      <c r="ER4" s="280">
        <v>3851.9</v>
      </c>
      <c r="ES4" s="280">
        <v>4112</v>
      </c>
      <c r="ET4" s="280">
        <v>4112.5</v>
      </c>
      <c r="EU4" s="280">
        <v>4250.5</v>
      </c>
      <c r="EV4" s="280">
        <v>3935.3</v>
      </c>
      <c r="EW4" s="280">
        <v>4225.3</v>
      </c>
      <c r="EX4" s="280">
        <v>4276.8999999999996</v>
      </c>
      <c r="EY4" s="280">
        <v>4330.3999999999996</v>
      </c>
      <c r="EZ4" s="2" t="s">
        <v>11</v>
      </c>
      <c r="FA4" s="280">
        <v>3331.7</v>
      </c>
      <c r="FB4" s="280">
        <v>3466.1</v>
      </c>
      <c r="FC4" s="280">
        <v>3415.3</v>
      </c>
      <c r="FD4" s="280">
        <v>3404.1</v>
      </c>
      <c r="FE4" s="280">
        <v>3397.6</v>
      </c>
      <c r="FF4" s="280">
        <v>3494.1</v>
      </c>
      <c r="FG4" s="280">
        <v>3534.5</v>
      </c>
      <c r="FH4" s="280">
        <v>3631.1</v>
      </c>
      <c r="FI4" s="280">
        <v>3544.1</v>
      </c>
      <c r="FJ4" s="280">
        <v>3538.3</v>
      </c>
      <c r="FK4" s="2" t="s">
        <v>11</v>
      </c>
      <c r="FL4" s="280">
        <v>2433</v>
      </c>
      <c r="FM4" s="280">
        <v>2490.5</v>
      </c>
      <c r="FN4" s="280">
        <v>2642.9</v>
      </c>
      <c r="FO4" s="280">
        <v>2580</v>
      </c>
      <c r="FP4" s="280">
        <v>2515.3000000000002</v>
      </c>
      <c r="FQ4" s="280">
        <v>2659.2</v>
      </c>
      <c r="FR4" s="280">
        <v>2787.3</v>
      </c>
      <c r="FS4" s="280">
        <v>2652.4</v>
      </c>
      <c r="FT4" s="280">
        <v>2563.8000000000002</v>
      </c>
      <c r="FU4" s="280">
        <v>2704.1</v>
      </c>
      <c r="FV4" s="2" t="s">
        <v>11</v>
      </c>
      <c r="FW4" s="280">
        <v>5243.4</v>
      </c>
      <c r="FX4" s="280">
        <v>5767.3</v>
      </c>
      <c r="FY4" s="280">
        <v>6116.1</v>
      </c>
      <c r="FZ4" s="280">
        <v>5668.4</v>
      </c>
      <c r="GA4" s="280">
        <v>5391.2</v>
      </c>
      <c r="GB4" s="280">
        <v>5836.3</v>
      </c>
      <c r="GC4" s="280">
        <v>6279</v>
      </c>
      <c r="GD4" s="280">
        <v>5682.7</v>
      </c>
      <c r="GE4" s="280">
        <v>5452.1</v>
      </c>
      <c r="GF4" s="280">
        <v>5831.7</v>
      </c>
      <c r="GG4" s="2" t="s">
        <v>11</v>
      </c>
      <c r="GH4" s="280">
        <v>385.7</v>
      </c>
      <c r="GI4" s="280">
        <v>462.4</v>
      </c>
      <c r="GJ4" s="280">
        <v>470.8</v>
      </c>
      <c r="GK4" s="280">
        <v>391.5</v>
      </c>
      <c r="GL4" s="280">
        <v>397.2</v>
      </c>
      <c r="GM4" s="280">
        <v>470.5</v>
      </c>
      <c r="GN4" s="280">
        <v>494.1</v>
      </c>
      <c r="GO4" s="280">
        <v>416.9</v>
      </c>
      <c r="GP4" s="280">
        <v>384.8</v>
      </c>
      <c r="GQ4" s="280">
        <v>478.8</v>
      </c>
      <c r="GR4" s="2" t="s">
        <v>11</v>
      </c>
      <c r="GS4" s="280">
        <v>3048.9</v>
      </c>
      <c r="GT4" s="280">
        <v>3171</v>
      </c>
      <c r="GU4" s="280">
        <v>3255.8</v>
      </c>
      <c r="GV4" s="280">
        <v>3245.7</v>
      </c>
      <c r="GW4" s="280">
        <v>3011.1</v>
      </c>
      <c r="GX4" s="280">
        <v>3231.1</v>
      </c>
      <c r="GY4" s="280">
        <v>3262.6</v>
      </c>
      <c r="GZ4" s="280">
        <v>3228.3</v>
      </c>
      <c r="HA4" s="280">
        <v>3102.8</v>
      </c>
      <c r="HB4" s="280">
        <v>3201.2</v>
      </c>
      <c r="HC4" s="2" t="s">
        <v>11</v>
      </c>
      <c r="HD4" s="280">
        <v>1940.9</v>
      </c>
      <c r="HE4" s="280">
        <v>2074.6</v>
      </c>
      <c r="HF4" s="280">
        <v>2161.1</v>
      </c>
      <c r="HG4" s="280">
        <v>2117.6999999999998</v>
      </c>
      <c r="HH4" s="280">
        <v>1968.1</v>
      </c>
      <c r="HI4" s="280">
        <v>2161.4</v>
      </c>
      <c r="HJ4" s="280">
        <v>2260</v>
      </c>
      <c r="HK4" s="280">
        <v>2217.8000000000002</v>
      </c>
      <c r="HL4" s="280">
        <v>2146.5</v>
      </c>
      <c r="HM4" s="280">
        <v>2195.6</v>
      </c>
      <c r="HN4" s="279" t="s">
        <v>11</v>
      </c>
      <c r="HO4" s="280">
        <v>4113.5</v>
      </c>
      <c r="HP4" s="280">
        <v>4477</v>
      </c>
      <c r="HQ4" s="280">
        <v>4730.6000000000004</v>
      </c>
      <c r="HR4" s="280">
        <v>4510.7</v>
      </c>
      <c r="HS4" s="280">
        <v>4275.8</v>
      </c>
      <c r="HT4" s="280">
        <v>4582.6000000000004</v>
      </c>
      <c r="HU4" s="280">
        <v>4951.1000000000004</v>
      </c>
      <c r="HV4" s="280">
        <v>4610.3</v>
      </c>
      <c r="HW4" s="280">
        <v>4264.7</v>
      </c>
      <c r="HX4" s="280">
        <v>4608.8999999999996</v>
      </c>
      <c r="HY4" s="2" t="s">
        <v>11</v>
      </c>
      <c r="HZ4" s="280">
        <v>195.9</v>
      </c>
      <c r="IA4" s="280">
        <v>185.9</v>
      </c>
      <c r="IB4" s="280">
        <v>174.3</v>
      </c>
      <c r="IC4" s="280">
        <v>209.9</v>
      </c>
      <c r="ID4" s="280">
        <v>203.8</v>
      </c>
      <c r="IE4" s="280">
        <v>207.8</v>
      </c>
      <c r="IF4" s="280">
        <v>176.7</v>
      </c>
      <c r="IG4" s="280">
        <v>206.3</v>
      </c>
      <c r="IH4" s="280">
        <v>207.6</v>
      </c>
      <c r="II4" s="280">
        <v>186.6</v>
      </c>
      <c r="IJ4" s="2" t="s">
        <v>11</v>
      </c>
      <c r="IK4" s="280">
        <v>91.7</v>
      </c>
      <c r="IL4" s="280">
        <v>79.099999999999994</v>
      </c>
      <c r="IM4" s="280">
        <v>79.2</v>
      </c>
      <c r="IN4" s="280">
        <v>75.3</v>
      </c>
      <c r="IO4" s="280">
        <v>83.3</v>
      </c>
      <c r="IP4" s="280">
        <v>72.3</v>
      </c>
      <c r="IQ4" s="280">
        <v>96.4</v>
      </c>
      <c r="IR4" s="280">
        <v>83.5</v>
      </c>
      <c r="IS4" s="280">
        <v>71.599999999999994</v>
      </c>
      <c r="IT4" s="280">
        <v>74</v>
      </c>
      <c r="IU4" s="2" t="s">
        <v>11</v>
      </c>
      <c r="IV4" s="280">
        <v>868.1</v>
      </c>
      <c r="IW4" s="280">
        <v>975.1</v>
      </c>
      <c r="IX4" s="280">
        <v>1016.3</v>
      </c>
      <c r="IY4" s="280">
        <v>954.6</v>
      </c>
      <c r="IZ4" s="280">
        <v>875.9</v>
      </c>
      <c r="JA4" s="280">
        <v>1017</v>
      </c>
      <c r="JB4" s="280">
        <v>1020.3</v>
      </c>
      <c r="JC4" s="280">
        <v>990.2</v>
      </c>
      <c r="JD4" s="280">
        <v>879.7</v>
      </c>
      <c r="JE4" s="280">
        <v>989.1</v>
      </c>
      <c r="JF4" s="2" t="s">
        <v>11</v>
      </c>
      <c r="JG4" s="280">
        <v>3661.2</v>
      </c>
      <c r="JH4" s="280">
        <v>3864.1</v>
      </c>
      <c r="JI4" s="280">
        <v>4007.2</v>
      </c>
      <c r="JJ4" s="280">
        <v>3929.6</v>
      </c>
      <c r="JK4" s="280">
        <v>3791.3</v>
      </c>
      <c r="JL4" s="280">
        <v>3941.7</v>
      </c>
      <c r="JM4" s="280">
        <v>4062.1</v>
      </c>
      <c r="JN4" s="280">
        <v>3989.7</v>
      </c>
      <c r="JO4" s="280">
        <v>3868.9</v>
      </c>
      <c r="JP4" s="280">
        <v>3969</v>
      </c>
      <c r="JQ4" s="2" t="s">
        <v>11</v>
      </c>
      <c r="JR4" s="280">
        <v>1570.5</v>
      </c>
      <c r="JS4" s="280">
        <v>1725.7</v>
      </c>
      <c r="JT4" s="280">
        <v>1756.4</v>
      </c>
      <c r="JU4" s="280">
        <v>1713.4</v>
      </c>
      <c r="JV4" s="280">
        <v>1601.5</v>
      </c>
      <c r="JW4" s="280">
        <v>1745.5</v>
      </c>
      <c r="JX4" s="280">
        <v>1744.8</v>
      </c>
      <c r="JY4" s="280">
        <v>1742.2</v>
      </c>
      <c r="JZ4" s="280">
        <v>1635.3</v>
      </c>
      <c r="KA4" s="280">
        <v>1726</v>
      </c>
      <c r="KB4" s="2" t="s">
        <v>11</v>
      </c>
      <c r="KC4" s="280">
        <v>3367.5</v>
      </c>
      <c r="KD4" s="280">
        <v>3430.8</v>
      </c>
      <c r="KE4" s="280">
        <v>3578.6</v>
      </c>
      <c r="KF4" s="280">
        <v>3630.8</v>
      </c>
      <c r="KG4" s="280">
        <v>3416.9</v>
      </c>
      <c r="KH4" s="280">
        <v>3457.3</v>
      </c>
      <c r="KI4" s="280">
        <v>3738.4</v>
      </c>
      <c r="KJ4" s="280">
        <v>3646.7</v>
      </c>
      <c r="KK4" s="280">
        <v>3466.9</v>
      </c>
      <c r="KL4" s="280">
        <v>3569</v>
      </c>
      <c r="KM4" s="2" t="s">
        <v>11</v>
      </c>
      <c r="KN4" s="280">
        <v>1148.5999999999999</v>
      </c>
      <c r="KO4" s="280">
        <v>1148.8</v>
      </c>
      <c r="KP4" s="280">
        <v>1190.5</v>
      </c>
      <c r="KQ4" s="280">
        <v>1203</v>
      </c>
      <c r="KR4" s="280">
        <v>1120.4000000000001</v>
      </c>
      <c r="KS4" s="280">
        <v>1189.0999999999999</v>
      </c>
      <c r="KT4" s="280">
        <v>1276.5999999999999</v>
      </c>
      <c r="KU4" s="280">
        <v>1283.2</v>
      </c>
      <c r="KV4" s="280">
        <v>1218.8</v>
      </c>
      <c r="KW4" s="280">
        <v>1200.2</v>
      </c>
      <c r="KX4" s="2" t="s">
        <v>11</v>
      </c>
      <c r="KY4" s="280">
        <v>1763.5</v>
      </c>
      <c r="KZ4" s="280">
        <v>2232.8000000000002</v>
      </c>
      <c r="LA4" s="280">
        <v>2534.4</v>
      </c>
      <c r="LB4" s="280">
        <v>1948.6</v>
      </c>
      <c r="LC4" s="280">
        <v>1788.1</v>
      </c>
      <c r="LD4" s="280">
        <v>2300.9</v>
      </c>
      <c r="LE4" s="280">
        <v>2690</v>
      </c>
      <c r="LF4" s="280">
        <v>2015.4</v>
      </c>
      <c r="LG4" s="280">
        <v>1894.3</v>
      </c>
      <c r="LH4" s="280">
        <v>2316.6</v>
      </c>
      <c r="LI4" s="2" t="s">
        <v>11</v>
      </c>
      <c r="LJ4" s="280">
        <v>541.20000000000005</v>
      </c>
      <c r="LK4" s="280">
        <v>575</v>
      </c>
      <c r="LL4" s="280">
        <v>566.6</v>
      </c>
      <c r="LM4" s="280">
        <v>570.1</v>
      </c>
      <c r="LN4" s="280">
        <v>572.9</v>
      </c>
      <c r="LO4" s="280">
        <v>599.4</v>
      </c>
      <c r="LP4" s="280">
        <v>607.79999999999995</v>
      </c>
      <c r="LQ4" s="280">
        <v>576.5</v>
      </c>
      <c r="LR4" s="280">
        <v>582.5</v>
      </c>
      <c r="LS4" s="280">
        <v>574.1</v>
      </c>
      <c r="LT4" s="2" t="s">
        <v>11</v>
      </c>
      <c r="LU4" s="280">
        <v>359.2</v>
      </c>
      <c r="LV4" s="280">
        <v>400.1</v>
      </c>
      <c r="LW4" s="280">
        <v>421.6</v>
      </c>
      <c r="LX4" s="280">
        <v>384.3</v>
      </c>
      <c r="LY4" s="280">
        <v>368.2</v>
      </c>
      <c r="LZ4" s="280">
        <v>409.1</v>
      </c>
      <c r="MA4" s="280">
        <v>378</v>
      </c>
      <c r="MB4" s="280">
        <v>380.2</v>
      </c>
      <c r="MC4" s="280">
        <v>391.3</v>
      </c>
      <c r="MD4" s="280">
        <v>378</v>
      </c>
      <c r="ME4" s="2" t="s">
        <v>11</v>
      </c>
      <c r="MF4" s="280">
        <v>908.6</v>
      </c>
      <c r="MG4" s="280">
        <v>956.6</v>
      </c>
      <c r="MH4" s="280">
        <v>971.3</v>
      </c>
      <c r="MI4" s="280">
        <v>981.7</v>
      </c>
      <c r="MJ4" s="280">
        <v>905.7</v>
      </c>
      <c r="MK4" s="280">
        <v>970.8</v>
      </c>
      <c r="ML4" s="280">
        <v>1026.7</v>
      </c>
      <c r="MM4" s="280">
        <v>994.6</v>
      </c>
      <c r="MN4" s="280">
        <v>946.4</v>
      </c>
      <c r="MO4" s="280">
        <v>975.4</v>
      </c>
      <c r="MP4" s="2" t="s">
        <v>11</v>
      </c>
      <c r="MQ4" s="280">
        <v>1379.1</v>
      </c>
      <c r="MR4" s="280">
        <v>1482.3</v>
      </c>
      <c r="MS4" s="280">
        <v>1582.2</v>
      </c>
      <c r="MT4" s="280">
        <v>1490.2</v>
      </c>
      <c r="MU4" s="280">
        <v>1422.8</v>
      </c>
      <c r="MV4" s="280">
        <v>1529.3</v>
      </c>
      <c r="MW4" s="280">
        <v>1602.6</v>
      </c>
      <c r="MX4" s="280">
        <v>1487.4</v>
      </c>
      <c r="MY4" s="280">
        <v>1408.5</v>
      </c>
      <c r="MZ4" s="280">
        <v>1547.1</v>
      </c>
      <c r="NA4" s="2" t="s">
        <v>11</v>
      </c>
      <c r="NB4" s="280">
        <v>1617.7</v>
      </c>
      <c r="NC4" s="280">
        <v>1680.3</v>
      </c>
      <c r="ND4" s="280">
        <v>1731.5</v>
      </c>
      <c r="NE4" s="280">
        <v>1709.3</v>
      </c>
      <c r="NF4" s="280">
        <v>1665</v>
      </c>
      <c r="NG4" s="280">
        <v>1707.5</v>
      </c>
      <c r="NH4" s="280">
        <v>1740.3</v>
      </c>
      <c r="NI4" s="280">
        <v>1800.1</v>
      </c>
      <c r="NJ4" s="280">
        <v>1663.2</v>
      </c>
      <c r="NK4" s="280">
        <v>1666.8</v>
      </c>
      <c r="NL4" s="2" t="s">
        <v>11</v>
      </c>
      <c r="NM4" s="280">
        <v>2645.2</v>
      </c>
      <c r="NN4" s="280">
        <v>2622.9</v>
      </c>
      <c r="NO4" s="280">
        <v>2154</v>
      </c>
      <c r="NP4" s="280">
        <v>2557.4</v>
      </c>
      <c r="NQ4" s="280">
        <v>2631.6</v>
      </c>
      <c r="NR4" s="280">
        <v>2666.3</v>
      </c>
      <c r="NS4" s="280">
        <v>2240.4</v>
      </c>
      <c r="NT4" s="280">
        <v>2634.4</v>
      </c>
      <c r="NU4" s="280">
        <v>2734.1</v>
      </c>
      <c r="NV4" s="280">
        <v>2746.7</v>
      </c>
      <c r="NW4" s="2" t="s">
        <v>11</v>
      </c>
      <c r="NX4" s="280">
        <v>2988.3</v>
      </c>
      <c r="NY4" s="280">
        <v>3070.7</v>
      </c>
      <c r="NZ4" s="280">
        <v>3126.3</v>
      </c>
      <c r="OA4" s="280">
        <v>3098</v>
      </c>
      <c r="OB4" s="280">
        <v>3040.4</v>
      </c>
      <c r="OC4" s="280">
        <v>3113.4</v>
      </c>
      <c r="OD4" s="280">
        <v>3204.3</v>
      </c>
      <c r="OE4" s="280">
        <v>3095.6</v>
      </c>
      <c r="OF4" s="280">
        <v>3126.6</v>
      </c>
      <c r="OG4" s="280">
        <v>3155</v>
      </c>
      <c r="OH4" s="191" t="s">
        <v>11</v>
      </c>
      <c r="OI4" s="192">
        <v>9.8000000000000007</v>
      </c>
      <c r="OJ4" s="192">
        <v>10</v>
      </c>
      <c r="OK4" s="192">
        <v>10.199999999999999</v>
      </c>
      <c r="OL4" s="192">
        <v>9.5</v>
      </c>
      <c r="OM4" s="192">
        <v>9</v>
      </c>
      <c r="ON4" s="192">
        <v>9.1</v>
      </c>
      <c r="OO4" s="192">
        <v>9.1999999999999993</v>
      </c>
      <c r="OP4" s="192">
        <v>8.6</v>
      </c>
      <c r="OQ4" s="192">
        <v>8.1999999999999993</v>
      </c>
      <c r="OR4" s="192">
        <v>8.1999999999999993</v>
      </c>
      <c r="OS4" s="2" t="s">
        <v>11</v>
      </c>
      <c r="OT4" s="340">
        <v>0.6</v>
      </c>
      <c r="OU4" s="340">
        <v>0.3</v>
      </c>
      <c r="OV4" s="340">
        <v>0.4</v>
      </c>
      <c r="OW4" s="340">
        <v>0.8</v>
      </c>
      <c r="OX4" s="340">
        <v>0.7</v>
      </c>
      <c r="OY4" s="340">
        <v>0.6</v>
      </c>
      <c r="OZ4" s="340">
        <v>0.6</v>
      </c>
      <c r="PA4" s="340">
        <v>0.6</v>
      </c>
      <c r="PB4" s="340">
        <v>0.4</v>
      </c>
      <c r="PC4" s="340">
        <v>0.5</v>
      </c>
      <c r="PE4" s="185">
        <f>E4-'[1]Data-temp_employment'!F4</f>
        <v>0</v>
      </c>
      <c r="PF4" s="185">
        <f>F4-'[1]Data-temp_employment'!G4</f>
        <v>0.20000000000000107</v>
      </c>
      <c r="PG4" s="185">
        <f>O4-'[1]Data-temp_employment'!P4</f>
        <v>805</v>
      </c>
      <c r="PH4" s="185">
        <f>P4-'[1]Data-temp_employment'!Q4</f>
        <v>406.70000000000073</v>
      </c>
      <c r="PI4" s="185">
        <f>AD4-'[1]Data-temp_employment'!AE4</f>
        <v>9.2000000000000455</v>
      </c>
      <c r="PJ4" s="185">
        <f>AE4-'[1]Data-temp_employment'!AF4</f>
        <v>59.400000000000091</v>
      </c>
      <c r="PK4" s="185">
        <f>BR4-'[1]Data-temp_employment'!BS4</f>
        <v>128.09999999999991</v>
      </c>
      <c r="PL4" s="185">
        <f>BS4-'[1]Data-temp_employment'!BT4</f>
        <v>77.400000000000091</v>
      </c>
      <c r="PM4" s="185">
        <f>CC4-'[1]Data-temp_employment'!CD4</f>
        <v>51.799999999999272</v>
      </c>
      <c r="PN4" s="185">
        <f>CD4-'[1]Data-temp_employment'!CE4</f>
        <v>4.6999999999998181</v>
      </c>
      <c r="PO4" s="185">
        <f>CR4-'[1]Data-temp_employment'!CS4</f>
        <v>302.19999999999982</v>
      </c>
      <c r="PP4" s="185">
        <f>CS4-'[1]Data-temp_employment'!CT4</f>
        <v>441.39999999999964</v>
      </c>
      <c r="PQ4" s="185">
        <f>DC4-'[1]Data-temp_employment'!DD4</f>
        <v>71.800000000001091</v>
      </c>
      <c r="PR4" s="185">
        <f>DD4-'[1]Data-temp_employment'!DE4</f>
        <v>143.5</v>
      </c>
      <c r="PS4" s="185">
        <f>DN4-'[1]Data-temp_employment'!DO4</f>
        <v>293</v>
      </c>
      <c r="PT4" s="185">
        <f>DO4-'[1]Data-temp_employment'!DP4</f>
        <v>303.10000000000036</v>
      </c>
      <c r="PU4" s="185">
        <f>EF4-'[1]Data-temp_employment'!EG4</f>
        <v>14.300000000000011</v>
      </c>
      <c r="PV4" s="185">
        <f>EG4-'[1]Data-temp_employment'!EH4</f>
        <v>44.800000000000011</v>
      </c>
      <c r="PW4" s="185">
        <f>EU4-'[1]Data-temp_employment'!EV4</f>
        <v>119.39999999999964</v>
      </c>
      <c r="PX4" s="185">
        <f>EV4-'[1]Data-temp_employment'!EW4</f>
        <v>86.200000000000273</v>
      </c>
      <c r="PY4" s="185">
        <f>FF4-'[1]Data-temp_employment'!FG4</f>
        <v>29.900000000000091</v>
      </c>
      <c r="PZ4" s="185">
        <f>FG4-'[1]Data-temp_employment'!FH4</f>
        <v>120.5</v>
      </c>
      <c r="QA4" s="185">
        <f>FQ4-'[1]Data-temp_employment'!FR4</f>
        <v>171.29999999999973</v>
      </c>
      <c r="QB4" s="185">
        <f>FR4-'[1]Data-temp_employment'!FS4</f>
        <v>146.20000000000027</v>
      </c>
      <c r="QC4" s="185">
        <f>GB4-'[1]Data-temp_employment'!GC4</f>
        <v>82.400000000000546</v>
      </c>
      <c r="QD4" s="185">
        <f>GC4-'[1]Data-temp_employment'!GD4</f>
        <v>175.5</v>
      </c>
      <c r="QE4" s="185">
        <f>GM4-'[1]Data-temp_employment'!GN4</f>
        <v>8.6999999999999886</v>
      </c>
      <c r="QF4" s="185">
        <f>GN4-'[1]Data-temp_employment'!GO4</f>
        <v>23.600000000000023</v>
      </c>
      <c r="QG4" s="185">
        <f>GX4-'[1]Data-temp_employment'!GY4</f>
        <v>60.599999999999909</v>
      </c>
      <c r="QH4" s="185">
        <f>GY4-'[1]Data-temp_employment'!GZ4</f>
        <v>7.9000000000000909</v>
      </c>
      <c r="QI4" s="185">
        <f>HI4-'[1]Data-temp_employment'!HJ4</f>
        <v>87.5</v>
      </c>
      <c r="QJ4" s="185">
        <f>HJ4-'[1]Data-temp_employment'!HK4</f>
        <v>99.5</v>
      </c>
      <c r="QK4" s="185">
        <f>HT4-'[1]Data-temp_employment'!HU4</f>
        <v>108.90000000000055</v>
      </c>
      <c r="QL4" s="185">
        <f>HU4-'[1]Data-temp_employment'!HV4</f>
        <v>224.60000000000036</v>
      </c>
      <c r="QM4" s="185">
        <f>IE4-'[1]Data-temp_employment'!IF4</f>
        <v>21.900000000000006</v>
      </c>
      <c r="QN4" s="185">
        <f>IF4-'[1]Data-temp_employment'!IG4</f>
        <v>2.3999999999999773</v>
      </c>
      <c r="QO4" s="185">
        <f>JA4-'[1]Data-temp_employment'!JB4</f>
        <v>42.100000000000023</v>
      </c>
      <c r="QP4" s="185">
        <f>JB4-'[1]Data-temp_employment'!JC4</f>
        <v>4.3999999999999773</v>
      </c>
      <c r="QQ4" s="185">
        <f>JH4-'[1]Data-temp_employment'!JI4</f>
        <v>76.5</v>
      </c>
      <c r="QR4" s="185">
        <f>JI4-'[1]Data-temp_employment'!JJ4</f>
        <v>82.399999999999636</v>
      </c>
      <c r="QS4" s="185">
        <f>JS4-'[1]Data-temp_employment'!JT4</f>
        <v>18.600000000000136</v>
      </c>
      <c r="QT4" s="185">
        <f>JT4-'[1]Data-temp_employment'!JU4</f>
        <v>-28.599999999999909</v>
      </c>
      <c r="QU4" s="185">
        <f>KD4-'[1]Data-temp_employment'!KE4</f>
        <v>100.60000000000036</v>
      </c>
      <c r="QV4" s="185">
        <f>KE4-'[1]Data-temp_employment'!KF4</f>
        <v>30.5</v>
      </c>
      <c r="QW4" s="185">
        <f>KO4-'[1]Data-temp_employment'!KP4</f>
        <v>92</v>
      </c>
      <c r="QX4" s="185">
        <f>KP4-'[1]Data-temp_employment'!KQ4</f>
        <v>68</v>
      </c>
      <c r="QY4" s="185">
        <f>LD4-'[1]Data-temp_employment'!LE4</f>
        <v>73.700000000000273</v>
      </c>
      <c r="QZ4" s="185">
        <f>LE4-'[1]Data-temp_employment'!LF4</f>
        <v>160.30000000000018</v>
      </c>
      <c r="RA4" s="185">
        <f>LK4-'[1]Data-temp_employment'!LL4</f>
        <v>43.600000000000023</v>
      </c>
      <c r="RB4" s="185">
        <f>LL4-'[1]Data-temp_employment'!LM4</f>
        <v>15</v>
      </c>
      <c r="RC4" s="185">
        <f>LV4-'[1]Data-temp_employment'!LW4</f>
        <v>17.600000000000023</v>
      </c>
      <c r="RD4" s="185">
        <f>LW4-'[1]Data-temp_employment'!LX4</f>
        <v>13.5</v>
      </c>
      <c r="RE4" s="185">
        <f>MK4-'[1]Data-temp_employment'!ML4</f>
        <v>15.599999999999909</v>
      </c>
      <c r="RF4" s="185">
        <f>ML4-'[1]Data-temp_employment'!MM4</f>
        <v>57.200000000000045</v>
      </c>
      <c r="RG4" s="185">
        <f>MV4-'[1]Data-temp_employment'!MW4</f>
        <v>50</v>
      </c>
      <c r="RH4" s="185">
        <f>MW4-'[1]Data-temp_employment'!MX4</f>
        <v>22.899999999999864</v>
      </c>
      <c r="RI4" s="185">
        <f>NG4-'[1]Data-temp_employment'!NH4</f>
        <v>26.400000000000091</v>
      </c>
      <c r="RJ4" s="185">
        <f>NH4-'[1]Data-temp_employment'!NI4</f>
        <v>8.2999999999999545</v>
      </c>
      <c r="RK4" s="185">
        <f>NR4-'[1]Data-temp_employment'!NS4</f>
        <v>44.400000000000091</v>
      </c>
      <c r="RL4" s="185">
        <f>NS4-'[1]Data-temp_employment'!NT4</f>
        <v>87</v>
      </c>
      <c r="RM4" s="185">
        <f>OC4-'[1]Data-temp_employment'!OD4</f>
        <v>45.099999999999909</v>
      </c>
      <c r="RN4" s="185">
        <f>OD4-'[1]Data-temp_employment'!OE4</f>
        <v>80.100000000000364</v>
      </c>
      <c r="RO4" s="185">
        <f>OU4-'[1]Data-temp_employment'!OV4</f>
        <v>-0.10000000000000003</v>
      </c>
      <c r="RP4" s="185">
        <f>OV4-'[1]Data-temp_employment'!OW4</f>
        <v>0</v>
      </c>
    </row>
    <row r="5" spans="1:484">
      <c r="A5">
        <v>2</v>
      </c>
      <c r="B5" s="128" t="s">
        <v>12</v>
      </c>
      <c r="C5" s="332">
        <v>13.7</v>
      </c>
      <c r="D5" s="332">
        <v>14.3</v>
      </c>
      <c r="E5" s="332">
        <v>14.5</v>
      </c>
      <c r="F5" s="332">
        <v>14.2</v>
      </c>
      <c r="G5" s="332">
        <v>13.7</v>
      </c>
      <c r="H5" s="332">
        <v>14.4</v>
      </c>
      <c r="I5" s="332">
        <v>14.7</v>
      </c>
      <c r="J5" s="332">
        <v>14.3</v>
      </c>
      <c r="K5" s="332">
        <v>13.8</v>
      </c>
      <c r="L5" s="332">
        <v>14.3</v>
      </c>
      <c r="M5" s="127" t="s">
        <v>12</v>
      </c>
      <c r="N5" s="332">
        <v>24910.9</v>
      </c>
      <c r="O5" s="332">
        <v>26330.9</v>
      </c>
      <c r="P5" s="332">
        <v>26929.200000000001</v>
      </c>
      <c r="Q5" s="332">
        <v>26392.1</v>
      </c>
      <c r="R5" s="332">
        <v>25430.7</v>
      </c>
      <c r="S5" s="332">
        <v>26983.200000000001</v>
      </c>
      <c r="T5" s="332">
        <v>27816.6</v>
      </c>
      <c r="U5" s="332">
        <v>27018.5</v>
      </c>
      <c r="V5" s="332">
        <v>26059.3</v>
      </c>
      <c r="W5" s="332">
        <v>27149</v>
      </c>
      <c r="X5" s="120" t="s">
        <v>12</v>
      </c>
      <c r="Y5" s="332">
        <v>1182.5999999999999</v>
      </c>
      <c r="Z5" s="332">
        <v>1299.8</v>
      </c>
      <c r="AA5" s="332">
        <v>1311.5</v>
      </c>
      <c r="AB5" s="332">
        <v>1254.2</v>
      </c>
      <c r="AC5" s="332">
        <v>1230.5999999999999</v>
      </c>
      <c r="AD5" s="332">
        <v>1311.6</v>
      </c>
      <c r="AE5" s="332">
        <v>1382.6</v>
      </c>
      <c r="AF5" s="332">
        <v>1295.5999999999999</v>
      </c>
      <c r="AG5" s="332">
        <v>1193.3</v>
      </c>
      <c r="AH5" s="332">
        <v>1297.0999999999999</v>
      </c>
      <c r="AI5" s="119" t="s">
        <v>12</v>
      </c>
      <c r="AJ5" s="332">
        <v>2419.8000000000002</v>
      </c>
      <c r="AK5" s="332">
        <v>2733.1</v>
      </c>
      <c r="AL5" s="332">
        <v>3602.8</v>
      </c>
      <c r="AM5" s="332">
        <v>2892.3</v>
      </c>
      <c r="AN5" s="332">
        <v>2459.1</v>
      </c>
      <c r="AO5" s="332">
        <v>2807.9</v>
      </c>
      <c r="AP5" s="332">
        <v>3765.5</v>
      </c>
      <c r="AQ5" s="332">
        <v>2915.4</v>
      </c>
      <c r="AR5" s="332">
        <v>2522.1</v>
      </c>
      <c r="AS5" s="332">
        <v>2880.1</v>
      </c>
      <c r="AT5" s="119" t="s">
        <v>12</v>
      </c>
      <c r="AU5" s="332">
        <v>3493.4</v>
      </c>
      <c r="AV5" s="332">
        <v>3999.8</v>
      </c>
      <c r="AW5" s="332">
        <v>4150.5</v>
      </c>
      <c r="AX5" s="332">
        <v>3710.9</v>
      </c>
      <c r="AY5" s="332">
        <v>3449.1</v>
      </c>
      <c r="AZ5" s="332">
        <v>4050.1</v>
      </c>
      <c r="BA5" s="332">
        <v>4428.8</v>
      </c>
      <c r="BB5" s="332">
        <v>3967.5</v>
      </c>
      <c r="BC5" s="332">
        <v>3677.9</v>
      </c>
      <c r="BD5" s="332">
        <v>4161.3999999999996</v>
      </c>
      <c r="BE5" s="119" t="s">
        <v>12</v>
      </c>
      <c r="BF5" s="280">
        <v>6424.9</v>
      </c>
      <c r="BG5" s="280">
        <v>6623.8</v>
      </c>
      <c r="BH5" s="280">
        <v>6289.9</v>
      </c>
      <c r="BI5" s="280">
        <v>6588.7</v>
      </c>
      <c r="BJ5" s="280">
        <v>6585.6</v>
      </c>
      <c r="BK5" s="280">
        <v>6956.3</v>
      </c>
      <c r="BL5" s="280">
        <v>6611.2</v>
      </c>
      <c r="BM5" s="280">
        <v>6945.2</v>
      </c>
      <c r="BN5" s="280">
        <v>6834.3</v>
      </c>
      <c r="BO5" s="280">
        <v>7079.7</v>
      </c>
      <c r="BP5" s="6" t="s">
        <v>12</v>
      </c>
      <c r="BQ5" s="7">
        <v>2818.5</v>
      </c>
      <c r="BR5" s="7">
        <v>2865.5</v>
      </c>
      <c r="BS5" s="7">
        <v>2846.5</v>
      </c>
      <c r="BT5" s="7">
        <v>2910.1</v>
      </c>
      <c r="BU5" s="7">
        <v>2896.9</v>
      </c>
      <c r="BV5" s="7">
        <v>2974.5</v>
      </c>
      <c r="BW5" s="7">
        <v>2925.5</v>
      </c>
      <c r="BX5" s="7">
        <v>2867.5</v>
      </c>
      <c r="BY5" s="7">
        <v>2843.8</v>
      </c>
      <c r="BZ5" s="7">
        <v>2876.3999999999996</v>
      </c>
      <c r="CA5" s="6" t="s">
        <v>12</v>
      </c>
      <c r="CB5" s="7">
        <v>4222</v>
      </c>
      <c r="CC5" s="7">
        <v>4127.8999999999996</v>
      </c>
      <c r="CD5" s="7">
        <v>4113.5</v>
      </c>
      <c r="CE5" s="7">
        <v>4305.7000000000007</v>
      </c>
      <c r="CF5" s="7">
        <v>4160.6000000000004</v>
      </c>
      <c r="CG5" s="7">
        <v>4099.3</v>
      </c>
      <c r="CH5" s="7">
        <v>4050.2</v>
      </c>
      <c r="CI5" s="7">
        <v>4190.3999999999996</v>
      </c>
      <c r="CJ5" s="7">
        <v>4170.8999999999996</v>
      </c>
      <c r="CK5" s="7">
        <v>4010.8999999999996</v>
      </c>
      <c r="CL5" s="129" t="s">
        <v>12</v>
      </c>
      <c r="CM5" s="280">
        <v>6327.1</v>
      </c>
      <c r="CN5" s="280">
        <v>6797.3</v>
      </c>
      <c r="CO5" s="280">
        <v>6997.1</v>
      </c>
      <c r="CP5" s="280">
        <v>6911.1</v>
      </c>
      <c r="CQ5" s="280">
        <v>6523.5</v>
      </c>
      <c r="CR5" s="280">
        <v>7095.8</v>
      </c>
      <c r="CS5" s="280">
        <v>7432.5</v>
      </c>
      <c r="CT5" s="280">
        <v>7094.5</v>
      </c>
      <c r="CU5" s="280">
        <v>6783.1</v>
      </c>
      <c r="CV5" s="280">
        <v>7248.2</v>
      </c>
      <c r="CW5" s="130" t="s">
        <v>12</v>
      </c>
      <c r="CX5" s="280">
        <v>11329.6</v>
      </c>
      <c r="CY5" s="280">
        <v>12062.2</v>
      </c>
      <c r="CZ5" s="280">
        <v>12432.3</v>
      </c>
      <c r="DA5" s="280">
        <v>11976.9</v>
      </c>
      <c r="DB5" s="280">
        <v>11457.5</v>
      </c>
      <c r="DC5" s="280">
        <v>12121.6</v>
      </c>
      <c r="DD5" s="280">
        <v>12574.2</v>
      </c>
      <c r="DE5" s="280">
        <v>12097.7</v>
      </c>
      <c r="DF5" s="280">
        <v>11561.3</v>
      </c>
      <c r="DG5" s="280">
        <v>12000.1</v>
      </c>
      <c r="DH5" s="131" t="s">
        <v>12</v>
      </c>
      <c r="DI5" s="280">
        <v>7184</v>
      </c>
      <c r="DJ5" s="280">
        <v>7393.7</v>
      </c>
      <c r="DK5" s="280">
        <v>7428.2</v>
      </c>
      <c r="DL5" s="280">
        <v>7428.1</v>
      </c>
      <c r="DM5" s="280">
        <v>7365.7</v>
      </c>
      <c r="DN5" s="280">
        <v>7692.5</v>
      </c>
      <c r="DO5" s="280">
        <v>7724</v>
      </c>
      <c r="DP5" s="280">
        <v>7746.5</v>
      </c>
      <c r="DQ5" s="280">
        <v>7641.2</v>
      </c>
      <c r="DR5" s="280">
        <v>7833.5</v>
      </c>
      <c r="DS5" s="132" t="s">
        <v>12</v>
      </c>
      <c r="DT5" s="280">
        <v>70.2</v>
      </c>
      <c r="DU5" s="280">
        <v>77.7</v>
      </c>
      <c r="DV5" s="280">
        <v>71.7</v>
      </c>
      <c r="DW5" s="280">
        <v>76</v>
      </c>
      <c r="DX5" s="280">
        <v>84</v>
      </c>
      <c r="DY5" s="280">
        <v>73.3</v>
      </c>
      <c r="DZ5" s="280">
        <v>85.9</v>
      </c>
      <c r="EA5" s="280">
        <v>79.8</v>
      </c>
      <c r="EB5" s="280">
        <v>73.7</v>
      </c>
      <c r="EC5" s="280">
        <v>67.2</v>
      </c>
      <c r="ED5" s="2" t="s">
        <v>12</v>
      </c>
      <c r="EE5" s="280">
        <v>326.2</v>
      </c>
      <c r="EF5" s="280">
        <v>343.5</v>
      </c>
      <c r="EG5" s="280">
        <v>368.3</v>
      </c>
      <c r="EH5" s="280">
        <v>358.2</v>
      </c>
      <c r="EI5" s="280">
        <v>327.3</v>
      </c>
      <c r="EJ5" s="280">
        <v>322</v>
      </c>
      <c r="EK5" s="280">
        <v>364.6</v>
      </c>
      <c r="EL5" s="280">
        <v>344.7</v>
      </c>
      <c r="EM5" s="280">
        <v>317.2</v>
      </c>
      <c r="EN5" s="280">
        <v>292.2</v>
      </c>
      <c r="EO5" s="2" t="s">
        <v>12</v>
      </c>
      <c r="EP5" s="280">
        <v>4024.1</v>
      </c>
      <c r="EQ5" s="280">
        <v>4088.1</v>
      </c>
      <c r="ER5" s="280">
        <v>3817.1</v>
      </c>
      <c r="ES5" s="280">
        <v>4072</v>
      </c>
      <c r="ET5" s="280">
        <v>4083.7</v>
      </c>
      <c r="EU5" s="280">
        <v>4215.3</v>
      </c>
      <c r="EV5" s="280">
        <v>3895.6</v>
      </c>
      <c r="EW5" s="280">
        <v>4189.5</v>
      </c>
      <c r="EX5" s="280">
        <v>4249.8999999999996</v>
      </c>
      <c r="EY5" s="280">
        <v>4302.3</v>
      </c>
      <c r="EZ5" s="2" t="s">
        <v>12</v>
      </c>
      <c r="FA5" s="280">
        <v>3305.9</v>
      </c>
      <c r="FB5" s="280">
        <v>3432.8</v>
      </c>
      <c r="FC5" s="280">
        <v>3377.5</v>
      </c>
      <c r="FD5" s="280">
        <v>3379</v>
      </c>
      <c r="FE5" s="280">
        <v>3369.8</v>
      </c>
      <c r="FF5" s="280">
        <v>3457.3</v>
      </c>
      <c r="FG5" s="280">
        <v>3504.3</v>
      </c>
      <c r="FH5" s="280">
        <v>3599.2</v>
      </c>
      <c r="FI5" s="280">
        <v>3506.7</v>
      </c>
      <c r="FJ5" s="280">
        <v>3505.6</v>
      </c>
      <c r="FK5" s="2" t="s">
        <v>12</v>
      </c>
      <c r="FL5" s="280">
        <v>2411.8000000000002</v>
      </c>
      <c r="FM5" s="280">
        <v>2461.5</v>
      </c>
      <c r="FN5" s="280">
        <v>2615.1999999999998</v>
      </c>
      <c r="FO5" s="280">
        <v>2555.1</v>
      </c>
      <c r="FP5" s="280">
        <v>2486.6</v>
      </c>
      <c r="FQ5" s="280">
        <v>2635.6</v>
      </c>
      <c r="FR5" s="280">
        <v>2761.4</v>
      </c>
      <c r="FS5" s="280">
        <v>2622.5</v>
      </c>
      <c r="FT5" s="280">
        <v>2538.8000000000002</v>
      </c>
      <c r="FU5" s="280">
        <v>2683.5</v>
      </c>
      <c r="FV5" s="2" t="s">
        <v>12</v>
      </c>
      <c r="FW5" s="280">
        <v>5173.8999999999996</v>
      </c>
      <c r="FX5" s="280">
        <v>5685.5</v>
      </c>
      <c r="FY5" s="280">
        <v>6025.9</v>
      </c>
      <c r="FZ5" s="280">
        <v>5598.8</v>
      </c>
      <c r="GA5" s="280">
        <v>5327.7</v>
      </c>
      <c r="GB5" s="280">
        <v>5750.9</v>
      </c>
      <c r="GC5" s="280">
        <v>6182.1</v>
      </c>
      <c r="GD5" s="280">
        <v>5609.2</v>
      </c>
      <c r="GE5" s="280">
        <v>5377</v>
      </c>
      <c r="GF5" s="280">
        <v>5736.5</v>
      </c>
      <c r="GG5" s="2" t="s">
        <v>12</v>
      </c>
      <c r="GH5" s="280">
        <v>384.4</v>
      </c>
      <c r="GI5" s="280">
        <v>460.9</v>
      </c>
      <c r="GJ5" s="280">
        <v>469.7</v>
      </c>
      <c r="GK5" s="280">
        <v>391.2</v>
      </c>
      <c r="GL5" s="280">
        <v>396.7</v>
      </c>
      <c r="GM5" s="280">
        <v>469.4</v>
      </c>
      <c r="GN5" s="280">
        <v>493</v>
      </c>
      <c r="GO5" s="280">
        <v>416.3</v>
      </c>
      <c r="GP5" s="280">
        <v>383.1</v>
      </c>
      <c r="GQ5" s="280">
        <v>477.8</v>
      </c>
      <c r="GR5" s="2" t="s">
        <v>12</v>
      </c>
      <c r="GS5" s="280">
        <v>3006</v>
      </c>
      <c r="GT5" s="280">
        <v>3129.9</v>
      </c>
      <c r="GU5" s="280">
        <v>3209.8</v>
      </c>
      <c r="GV5" s="280">
        <v>3205.1</v>
      </c>
      <c r="GW5" s="280">
        <v>2980.2</v>
      </c>
      <c r="GX5" s="280">
        <v>3193.9</v>
      </c>
      <c r="GY5" s="280">
        <v>3226</v>
      </c>
      <c r="GZ5" s="280">
        <v>3190.1</v>
      </c>
      <c r="HA5" s="280">
        <v>3065.4</v>
      </c>
      <c r="HB5" s="280">
        <v>3170.9</v>
      </c>
      <c r="HC5" s="2" t="s">
        <v>12</v>
      </c>
      <c r="HD5" s="280">
        <v>1911.5</v>
      </c>
      <c r="HE5" s="280">
        <v>2036.3</v>
      </c>
      <c r="HF5" s="280">
        <v>2123.1</v>
      </c>
      <c r="HG5" s="280">
        <v>2084.4</v>
      </c>
      <c r="HH5" s="280">
        <v>1932</v>
      </c>
      <c r="HI5" s="280">
        <v>2125.5</v>
      </c>
      <c r="HJ5" s="280">
        <v>2224.8000000000002</v>
      </c>
      <c r="HK5" s="280">
        <v>2192.4</v>
      </c>
      <c r="HL5" s="280">
        <v>2117.4</v>
      </c>
      <c r="HM5" s="280">
        <v>2162.4</v>
      </c>
      <c r="HN5" s="279" t="s">
        <v>12</v>
      </c>
      <c r="HO5" s="280">
        <v>4081.5</v>
      </c>
      <c r="HP5" s="280">
        <v>4432.5</v>
      </c>
      <c r="HQ5" s="280">
        <v>4674</v>
      </c>
      <c r="HR5" s="280">
        <v>4464.1000000000004</v>
      </c>
      <c r="HS5" s="280">
        <v>4242.7</v>
      </c>
      <c r="HT5" s="280">
        <v>4535.8</v>
      </c>
      <c r="HU5" s="280">
        <v>4896</v>
      </c>
      <c r="HV5" s="280">
        <v>4567.6000000000004</v>
      </c>
      <c r="HW5" s="280">
        <v>4228.3999999999996</v>
      </c>
      <c r="HX5" s="280">
        <v>4560.3</v>
      </c>
      <c r="HY5" s="2" t="s">
        <v>12</v>
      </c>
      <c r="HZ5" s="280">
        <v>193.9</v>
      </c>
      <c r="IA5" s="280">
        <v>183.2</v>
      </c>
      <c r="IB5" s="280">
        <v>171.6</v>
      </c>
      <c r="IC5" s="280">
        <v>209.3</v>
      </c>
      <c r="ID5" s="280">
        <v>202.8</v>
      </c>
      <c r="IE5" s="280">
        <v>205.6</v>
      </c>
      <c r="IF5" s="280">
        <v>174.7</v>
      </c>
      <c r="IG5" s="280">
        <v>205.2</v>
      </c>
      <c r="IH5" s="280">
        <v>205.8</v>
      </c>
      <c r="II5" s="280">
        <v>185.1</v>
      </c>
      <c r="IJ5" s="2" t="s">
        <v>12</v>
      </c>
      <c r="IK5" s="280">
        <v>91.7</v>
      </c>
      <c r="IL5" s="280">
        <v>76.599999999999994</v>
      </c>
      <c r="IM5" s="280">
        <v>77</v>
      </c>
      <c r="IN5" s="280">
        <v>74.900000000000006</v>
      </c>
      <c r="IO5" s="280">
        <v>81.2</v>
      </c>
      <c r="IP5" s="280">
        <v>71.900000000000006</v>
      </c>
      <c r="IQ5" s="280">
        <v>94.1</v>
      </c>
      <c r="IR5" s="280">
        <v>81.900000000000006</v>
      </c>
      <c r="IS5" s="280">
        <v>69.8</v>
      </c>
      <c r="IT5" s="280">
        <v>72.400000000000006</v>
      </c>
      <c r="IU5" s="2" t="s">
        <v>12</v>
      </c>
      <c r="IV5" s="280">
        <v>859</v>
      </c>
      <c r="IW5" s="280">
        <v>965.9</v>
      </c>
      <c r="IX5" s="280">
        <v>1005.3</v>
      </c>
      <c r="IY5" s="280">
        <v>944.5</v>
      </c>
      <c r="IZ5" s="280">
        <v>871.6</v>
      </c>
      <c r="JA5" s="280">
        <v>1008.5</v>
      </c>
      <c r="JB5" s="280">
        <v>1013.8</v>
      </c>
      <c r="JC5" s="280">
        <v>981.5</v>
      </c>
      <c r="JD5" s="280">
        <v>871.6</v>
      </c>
      <c r="JE5" s="280">
        <v>982.4</v>
      </c>
      <c r="JF5" s="2" t="s">
        <v>12</v>
      </c>
      <c r="JG5" s="280">
        <v>3611.1</v>
      </c>
      <c r="JH5" s="280">
        <v>3807.5</v>
      </c>
      <c r="JI5" s="280">
        <v>3950</v>
      </c>
      <c r="JJ5" s="280">
        <v>3879.9</v>
      </c>
      <c r="JK5" s="280">
        <v>3739.7</v>
      </c>
      <c r="JL5" s="280">
        <v>3886.8</v>
      </c>
      <c r="JM5" s="280">
        <v>4005.9</v>
      </c>
      <c r="JN5" s="280">
        <v>3938</v>
      </c>
      <c r="JO5" s="280">
        <v>3814.8</v>
      </c>
      <c r="JP5" s="280">
        <v>3915.9</v>
      </c>
      <c r="JQ5" s="2" t="s">
        <v>12</v>
      </c>
      <c r="JR5" s="280">
        <v>1542.8</v>
      </c>
      <c r="JS5" s="280">
        <v>1699.7</v>
      </c>
      <c r="JT5" s="280">
        <v>1730.3</v>
      </c>
      <c r="JU5" s="280">
        <v>1685.8</v>
      </c>
      <c r="JV5" s="280">
        <v>1577.1</v>
      </c>
      <c r="JW5" s="280">
        <v>1721.1</v>
      </c>
      <c r="JX5" s="280">
        <v>1725.7</v>
      </c>
      <c r="JY5" s="280">
        <v>1716.4</v>
      </c>
      <c r="JZ5" s="280">
        <v>1611.7</v>
      </c>
      <c r="KA5" s="280">
        <v>1707.9</v>
      </c>
      <c r="KB5" s="2" t="s">
        <v>12</v>
      </c>
      <c r="KC5" s="280">
        <v>3321.9</v>
      </c>
      <c r="KD5" s="280">
        <v>3382.4</v>
      </c>
      <c r="KE5" s="280">
        <v>3541.9</v>
      </c>
      <c r="KF5" s="280">
        <v>3591.1</v>
      </c>
      <c r="KG5" s="280">
        <v>3382.1</v>
      </c>
      <c r="KH5" s="280">
        <v>3417.6</v>
      </c>
      <c r="KI5" s="280">
        <v>3688.1</v>
      </c>
      <c r="KJ5" s="280">
        <v>3605</v>
      </c>
      <c r="KK5" s="280">
        <v>3422.6</v>
      </c>
      <c r="KL5" s="280">
        <v>3516.4</v>
      </c>
      <c r="KM5" s="2" t="s">
        <v>12</v>
      </c>
      <c r="KN5" s="280">
        <v>1133.5</v>
      </c>
      <c r="KO5" s="280">
        <v>1130.3</v>
      </c>
      <c r="KP5" s="280">
        <v>1167.0999999999999</v>
      </c>
      <c r="KQ5" s="280">
        <v>1187.3</v>
      </c>
      <c r="KR5" s="280">
        <v>1103.7</v>
      </c>
      <c r="KS5" s="280">
        <v>1169.8</v>
      </c>
      <c r="KT5" s="280">
        <v>1255.5999999999999</v>
      </c>
      <c r="KU5" s="280">
        <v>1267.9000000000001</v>
      </c>
      <c r="KV5" s="280">
        <v>1201.8</v>
      </c>
      <c r="KW5" s="280">
        <v>1186.4000000000001</v>
      </c>
      <c r="KX5" s="2" t="s">
        <v>12</v>
      </c>
      <c r="KY5" s="280">
        <v>1737.5</v>
      </c>
      <c r="KZ5" s="280">
        <v>2187.8000000000002</v>
      </c>
      <c r="LA5" s="280">
        <v>2465.1</v>
      </c>
      <c r="LB5" s="280">
        <v>1917.6</v>
      </c>
      <c r="LC5" s="280">
        <v>1762.4</v>
      </c>
      <c r="LD5" s="280">
        <v>2244.4</v>
      </c>
      <c r="LE5" s="280">
        <v>2617.4</v>
      </c>
      <c r="LF5" s="280">
        <v>1982.6</v>
      </c>
      <c r="LG5" s="280">
        <v>1868</v>
      </c>
      <c r="LH5" s="280">
        <v>2270.8000000000002</v>
      </c>
      <c r="LI5" s="2" t="s">
        <v>12</v>
      </c>
      <c r="LJ5" s="280">
        <v>531.9</v>
      </c>
      <c r="LK5" s="280">
        <v>563</v>
      </c>
      <c r="LL5" s="280">
        <v>554.4</v>
      </c>
      <c r="LM5" s="280">
        <v>559.5</v>
      </c>
      <c r="LN5" s="280">
        <v>564</v>
      </c>
      <c r="LO5" s="280">
        <v>591.1</v>
      </c>
      <c r="LP5" s="280">
        <v>600.79999999999995</v>
      </c>
      <c r="LQ5" s="280">
        <v>568.70000000000005</v>
      </c>
      <c r="LR5" s="280">
        <v>572.5</v>
      </c>
      <c r="LS5" s="280">
        <v>563.4</v>
      </c>
      <c r="LT5" s="2" t="s">
        <v>12</v>
      </c>
      <c r="LU5" s="280">
        <v>356.2</v>
      </c>
      <c r="LV5" s="280">
        <v>396.8</v>
      </c>
      <c r="LW5" s="280">
        <v>418.5</v>
      </c>
      <c r="LX5" s="280">
        <v>380.9</v>
      </c>
      <c r="LY5" s="280">
        <v>363.9</v>
      </c>
      <c r="LZ5" s="280">
        <v>403.6</v>
      </c>
      <c r="MA5" s="280">
        <v>374</v>
      </c>
      <c r="MB5" s="280">
        <v>372.1</v>
      </c>
      <c r="MC5" s="280">
        <v>382.5</v>
      </c>
      <c r="MD5" s="280">
        <v>372.4</v>
      </c>
      <c r="ME5" s="2" t="s">
        <v>12</v>
      </c>
      <c r="MF5" s="280">
        <v>899.1</v>
      </c>
      <c r="MG5" s="280">
        <v>948.1</v>
      </c>
      <c r="MH5" s="280">
        <v>963.2</v>
      </c>
      <c r="MI5" s="280">
        <v>974.3</v>
      </c>
      <c r="MJ5" s="280">
        <v>898.8</v>
      </c>
      <c r="MK5" s="280">
        <v>961.2</v>
      </c>
      <c r="ML5" s="280">
        <v>1017.9</v>
      </c>
      <c r="MM5" s="280">
        <v>985.8</v>
      </c>
      <c r="MN5" s="280">
        <v>939</v>
      </c>
      <c r="MO5" s="280">
        <v>970.2</v>
      </c>
      <c r="MP5" s="2" t="s">
        <v>12</v>
      </c>
      <c r="MQ5" s="280">
        <v>1374</v>
      </c>
      <c r="MR5" s="280">
        <v>1464.6</v>
      </c>
      <c r="MS5" s="280">
        <v>1564.8</v>
      </c>
      <c r="MT5" s="280">
        <v>1474.8</v>
      </c>
      <c r="MU5" s="280">
        <v>1416.2</v>
      </c>
      <c r="MV5" s="280">
        <v>1519.6</v>
      </c>
      <c r="MW5" s="280">
        <v>1586.9</v>
      </c>
      <c r="MX5" s="280">
        <v>1473.4</v>
      </c>
      <c r="MY5" s="280">
        <v>1397.7</v>
      </c>
      <c r="MZ5" s="280">
        <v>1530.3</v>
      </c>
      <c r="NA5" s="2" t="s">
        <v>12</v>
      </c>
      <c r="NB5" s="280">
        <v>1606.3</v>
      </c>
      <c r="NC5" s="280">
        <v>1665.5</v>
      </c>
      <c r="ND5" s="280">
        <v>1719.8</v>
      </c>
      <c r="NE5" s="280">
        <v>1700.9</v>
      </c>
      <c r="NF5" s="280">
        <v>1652.7</v>
      </c>
      <c r="NG5" s="280">
        <v>1697.4</v>
      </c>
      <c r="NH5" s="280">
        <v>1726.2</v>
      </c>
      <c r="NI5" s="280">
        <v>1789</v>
      </c>
      <c r="NJ5" s="280">
        <v>1653.8</v>
      </c>
      <c r="NK5" s="280">
        <v>1660.8</v>
      </c>
      <c r="NL5" s="2" t="s">
        <v>12</v>
      </c>
      <c r="NM5" s="280">
        <v>2622.4</v>
      </c>
      <c r="NN5" s="280">
        <v>2599.6</v>
      </c>
      <c r="NO5" s="280">
        <v>2139.6</v>
      </c>
      <c r="NP5" s="280">
        <v>2538.5</v>
      </c>
      <c r="NQ5" s="280">
        <v>2615.6</v>
      </c>
      <c r="NR5" s="280">
        <v>2651.7</v>
      </c>
      <c r="NS5" s="280">
        <v>2222.6999999999998</v>
      </c>
      <c r="NT5" s="280">
        <v>2619.1</v>
      </c>
      <c r="NU5" s="280">
        <v>2716.1</v>
      </c>
      <c r="NV5" s="280">
        <v>2725.1</v>
      </c>
      <c r="NW5" s="2" t="s">
        <v>12</v>
      </c>
      <c r="NX5" s="280">
        <v>2979</v>
      </c>
      <c r="NY5" s="280">
        <v>3059.5</v>
      </c>
      <c r="NZ5" s="280">
        <v>3110.9</v>
      </c>
      <c r="OA5" s="280">
        <v>3080.7</v>
      </c>
      <c r="OB5" s="280">
        <v>3024.6</v>
      </c>
      <c r="OC5" s="280">
        <v>3098.8</v>
      </c>
      <c r="OD5" s="280">
        <v>3195.8</v>
      </c>
      <c r="OE5" s="280">
        <v>3082.5</v>
      </c>
      <c r="OF5" s="280">
        <v>3114.6</v>
      </c>
      <c r="OG5" s="280">
        <v>3139.3</v>
      </c>
      <c r="OH5" s="191" t="s">
        <v>12</v>
      </c>
      <c r="OI5" s="192">
        <v>9.6999999999999993</v>
      </c>
      <c r="OJ5" s="192">
        <v>9.9</v>
      </c>
      <c r="OK5" s="192">
        <v>10.1</v>
      </c>
      <c r="OL5" s="192">
        <v>9.4</v>
      </c>
      <c r="OM5" s="192">
        <v>8.9</v>
      </c>
      <c r="ON5" s="192">
        <v>9</v>
      </c>
      <c r="OO5" s="192">
        <v>9.1</v>
      </c>
      <c r="OP5" s="192">
        <v>8.5</v>
      </c>
      <c r="OQ5" s="192">
        <v>8.1999999999999993</v>
      </c>
      <c r="OR5" s="192">
        <v>8.1999999999999993</v>
      </c>
      <c r="OS5" s="134" t="s">
        <v>12</v>
      </c>
      <c r="OT5" s="340">
        <v>0.6</v>
      </c>
      <c r="OU5" s="340">
        <v>0.4</v>
      </c>
      <c r="OV5" s="340">
        <v>0.3</v>
      </c>
      <c r="OW5" s="340">
        <v>0.8</v>
      </c>
      <c r="OX5" s="340">
        <v>0.7</v>
      </c>
      <c r="OY5" s="340">
        <v>0.7</v>
      </c>
      <c r="OZ5" s="340">
        <v>0.7</v>
      </c>
      <c r="PA5" s="340">
        <v>0.7</v>
      </c>
      <c r="PB5" s="340">
        <v>0.4</v>
      </c>
      <c r="PC5" s="340">
        <v>0.5</v>
      </c>
      <c r="PE5" s="185">
        <f>E5-'[1]Data-temp_employment'!F5</f>
        <v>0</v>
      </c>
      <c r="PF5" s="185">
        <f>F5-'[1]Data-temp_employment'!G5</f>
        <v>9.9999999999999645E-2</v>
      </c>
      <c r="PG5" s="185">
        <f>O5-'[1]Data-temp_employment'!P5</f>
        <v>746.20000000000073</v>
      </c>
      <c r="PH5" s="185">
        <f>P5-'[1]Data-temp_employment'!Q5</f>
        <v>370.5</v>
      </c>
      <c r="PI5" s="185">
        <f>AD5-'[1]Data-temp_employment'!AE5</f>
        <v>12.299999999999955</v>
      </c>
      <c r="PJ5" s="185">
        <f>AE5-'[1]Data-temp_employment'!AF5</f>
        <v>71.799999999999955</v>
      </c>
      <c r="PK5" s="185">
        <f>BR5-'[1]Data-temp_employment'!BS5</f>
        <v>124</v>
      </c>
      <c r="PL5" s="185">
        <f>BS5-'[1]Data-temp_employment'!BT5</f>
        <v>75.900000000000091</v>
      </c>
      <c r="PM5" s="185">
        <f>CC5-'[1]Data-temp_employment'!CD5</f>
        <v>54.599999999999454</v>
      </c>
      <c r="PN5" s="185">
        <f>CD5-'[1]Data-temp_employment'!CE5</f>
        <v>12.199999999999818</v>
      </c>
      <c r="PO5" s="185">
        <f>CR5-'[1]Data-temp_employment'!CS5</f>
        <v>303.30000000000018</v>
      </c>
      <c r="PP5" s="185">
        <f>CS5-'[1]Data-temp_employment'!CT5</f>
        <v>443.30000000000018</v>
      </c>
      <c r="PQ5" s="185">
        <f>DC5-'[1]Data-temp_employment'!DD5</f>
        <v>74.800000000001091</v>
      </c>
      <c r="PR5" s="185">
        <f>DD5-'[1]Data-temp_employment'!DE5</f>
        <v>155.60000000000036</v>
      </c>
      <c r="PS5" s="185">
        <f>DN5-'[1]Data-temp_employment'!DO5</f>
        <v>304</v>
      </c>
      <c r="PT5" s="185">
        <f>DO5-'[1]Data-temp_employment'!DP5</f>
        <v>299.80000000000018</v>
      </c>
      <c r="PU5" s="185">
        <f>EF5-'[1]Data-temp_employment'!EG5</f>
        <v>15.699999999999989</v>
      </c>
      <c r="PV5" s="185">
        <f>EG5-'[1]Data-temp_employment'!EH5</f>
        <v>44.300000000000011</v>
      </c>
      <c r="PW5" s="185">
        <f>EU5-'[1]Data-temp_employment'!EV5</f>
        <v>129.10000000000036</v>
      </c>
      <c r="PX5" s="185">
        <f>EV5-'[1]Data-temp_employment'!EW5</f>
        <v>81.299999999999727</v>
      </c>
      <c r="PY5" s="185">
        <f>FF5-'[1]Data-temp_employment'!FG5</f>
        <v>26.300000000000182</v>
      </c>
      <c r="PZ5" s="185">
        <f>FG5-'[1]Data-temp_employment'!FH5</f>
        <v>128.10000000000036</v>
      </c>
      <c r="QA5" s="185">
        <f>FQ5-'[1]Data-temp_employment'!FR5</f>
        <v>176.69999999999982</v>
      </c>
      <c r="QB5" s="185">
        <f>FR5-'[1]Data-temp_employment'!FS5</f>
        <v>148</v>
      </c>
      <c r="QC5" s="185">
        <f>GB5-'[1]Data-temp_employment'!GC5</f>
        <v>78.799999999999272</v>
      </c>
      <c r="QD5" s="185">
        <f>GC5-'[1]Data-temp_employment'!GD5</f>
        <v>168.80000000000018</v>
      </c>
      <c r="QE5" s="185">
        <f>GM5-'[1]Data-temp_employment'!GN5</f>
        <v>9.0999999999999659</v>
      </c>
      <c r="QF5" s="185">
        <f>GN5-'[1]Data-temp_employment'!GO5</f>
        <v>23.600000000000023</v>
      </c>
      <c r="QG5" s="185">
        <f>GX5-'[1]Data-temp_employment'!GY5</f>
        <v>64.599999999999909</v>
      </c>
      <c r="QH5" s="185">
        <f>GY5-'[1]Data-temp_employment'!GZ5</f>
        <v>17.199999999999818</v>
      </c>
      <c r="QI5" s="185">
        <f>HI5-'[1]Data-temp_employment'!HJ5</f>
        <v>89.900000000000091</v>
      </c>
      <c r="QJ5" s="185">
        <f>HJ5-'[1]Data-temp_employment'!HK5</f>
        <v>102.30000000000018</v>
      </c>
      <c r="QK5" s="185">
        <f>HT5-'[1]Data-temp_employment'!HU5</f>
        <v>106.60000000000036</v>
      </c>
      <c r="QL5" s="185">
        <f>HU5-'[1]Data-temp_employment'!HV5</f>
        <v>226.10000000000036</v>
      </c>
      <c r="QM5" s="185">
        <f>IE5-'[1]Data-temp_employment'!IF5</f>
        <v>22.5</v>
      </c>
      <c r="QN5" s="185">
        <f>IF5-'[1]Data-temp_employment'!IG5</f>
        <v>3.0999999999999943</v>
      </c>
      <c r="QO5" s="185">
        <f>JA5-'[1]Data-temp_employment'!JB5</f>
        <v>42.799999999999955</v>
      </c>
      <c r="QP5" s="185">
        <f>JB5-'[1]Data-temp_employment'!JC5</f>
        <v>8.8999999999999773</v>
      </c>
      <c r="QQ5" s="185">
        <f>JH5-'[1]Data-temp_employment'!JI5</f>
        <v>61.900000000000091</v>
      </c>
      <c r="QR5" s="185">
        <f>JI5-'[1]Data-temp_employment'!JJ5</f>
        <v>67.900000000000091</v>
      </c>
      <c r="QS5" s="185">
        <f>JS5-'[1]Data-temp_employment'!JT5</f>
        <v>12.5</v>
      </c>
      <c r="QT5" s="185">
        <f>JT5-'[1]Data-temp_employment'!JU5</f>
        <v>-29.100000000000136</v>
      </c>
      <c r="QU5" s="185">
        <f>KD5-'[1]Data-temp_employment'!KE5</f>
        <v>91.300000000000182</v>
      </c>
      <c r="QV5" s="185">
        <f>KE5-'[1]Data-temp_employment'!KF5</f>
        <v>36.099999999999909</v>
      </c>
      <c r="QW5" s="185">
        <f>KO5-'[1]Data-temp_employment'!KP5</f>
        <v>89.899999999999864</v>
      </c>
      <c r="QX5" s="185">
        <f>KP5-'[1]Data-temp_employment'!KQ5</f>
        <v>64.899999999999864</v>
      </c>
      <c r="QY5" s="185">
        <f>LD5-'[1]Data-temp_employment'!LE5</f>
        <v>62.300000000000182</v>
      </c>
      <c r="QZ5" s="185">
        <f>LE5-'[1]Data-temp_employment'!LF5</f>
        <v>157</v>
      </c>
      <c r="RA5" s="185">
        <f>LK5-'[1]Data-temp_employment'!LL5</f>
        <v>41.399999999999977</v>
      </c>
      <c r="RB5" s="185">
        <f>LL5-'[1]Data-temp_employment'!LM5</f>
        <v>13.600000000000023</v>
      </c>
      <c r="RC5" s="185">
        <f>LV5-'[1]Data-temp_employment'!LW5</f>
        <v>19.100000000000023</v>
      </c>
      <c r="RD5" s="185">
        <f>LW5-'[1]Data-temp_employment'!LX5</f>
        <v>16.699999999999989</v>
      </c>
      <c r="RE5" s="185">
        <f>MK5-'[1]Data-temp_employment'!ML5</f>
        <v>14.5</v>
      </c>
      <c r="RF5" s="185">
        <f>ML5-'[1]Data-temp_employment'!MM5</f>
        <v>56.600000000000023</v>
      </c>
      <c r="RG5" s="185">
        <f>MV5-'[1]Data-temp_employment'!MW5</f>
        <v>58</v>
      </c>
      <c r="RH5" s="185">
        <f>MW5-'[1]Data-temp_employment'!MX5</f>
        <v>24.600000000000136</v>
      </c>
      <c r="RI5" s="185">
        <f>NG5-'[1]Data-temp_employment'!NH5</f>
        <v>31.100000000000136</v>
      </c>
      <c r="RJ5" s="185">
        <f>NH5-'[1]Data-temp_employment'!NI5</f>
        <v>5.9000000000000909</v>
      </c>
      <c r="RK5" s="185">
        <f>NR5-'[1]Data-temp_employment'!NS5</f>
        <v>53.099999999999909</v>
      </c>
      <c r="RL5" s="185">
        <f>NS5-'[1]Data-temp_employment'!NT5</f>
        <v>83.699999999999818</v>
      </c>
      <c r="RM5" s="185">
        <f>OC5-'[1]Data-temp_employment'!OD5</f>
        <v>41.700000000000273</v>
      </c>
      <c r="RN5" s="185">
        <f>OD5-'[1]Data-temp_employment'!OE5</f>
        <v>87</v>
      </c>
      <c r="RO5" s="185">
        <f>OU5-'[1]Data-temp_employment'!OV5</f>
        <v>0.4</v>
      </c>
      <c r="RP5" s="185">
        <f>OV5-'[1]Data-temp_employment'!OW5</f>
        <v>0.3</v>
      </c>
    </row>
    <row r="6" spans="1:484">
      <c r="A6">
        <v>3</v>
      </c>
      <c r="B6" s="128" t="s">
        <v>13</v>
      </c>
      <c r="C6" s="332">
        <v>13.6</v>
      </c>
      <c r="D6" s="332">
        <v>14.3</v>
      </c>
      <c r="E6" s="332">
        <v>14.6</v>
      </c>
      <c r="F6" s="332">
        <v>14.4</v>
      </c>
      <c r="G6" s="332">
        <v>13.9</v>
      </c>
      <c r="H6" s="332">
        <v>14.6</v>
      </c>
      <c r="I6" s="332">
        <v>15</v>
      </c>
      <c r="J6" s="332">
        <v>14.6</v>
      </c>
      <c r="K6" s="332">
        <v>14.1</v>
      </c>
      <c r="L6" s="332">
        <v>14.7</v>
      </c>
      <c r="M6" s="127" t="s">
        <v>13</v>
      </c>
      <c r="N6" s="332">
        <v>20084.5</v>
      </c>
      <c r="O6" s="332">
        <v>21269.599999999999</v>
      </c>
      <c r="P6" s="332">
        <v>21913.5</v>
      </c>
      <c r="Q6" s="332">
        <v>21557</v>
      </c>
      <c r="R6" s="332">
        <v>20762.3</v>
      </c>
      <c r="S6" s="332">
        <v>22062.400000000001</v>
      </c>
      <c r="T6" s="332">
        <v>22950</v>
      </c>
      <c r="U6" s="332">
        <v>22363.200000000001</v>
      </c>
      <c r="V6" s="332">
        <v>21537.9</v>
      </c>
      <c r="W6" s="332">
        <v>22627.8</v>
      </c>
      <c r="X6" s="120" t="s">
        <v>13</v>
      </c>
      <c r="Y6" s="332">
        <v>1046.8</v>
      </c>
      <c r="Z6" s="332">
        <v>1167.7</v>
      </c>
      <c r="AA6" s="332">
        <v>1172.5999999999999</v>
      </c>
      <c r="AB6" s="332">
        <v>1141.0999999999999</v>
      </c>
      <c r="AC6" s="332">
        <v>1119.5999999999999</v>
      </c>
      <c r="AD6" s="332">
        <v>1191.0999999999999</v>
      </c>
      <c r="AE6" s="332">
        <v>1244.0999999999999</v>
      </c>
      <c r="AF6" s="332">
        <v>1198</v>
      </c>
      <c r="AG6" s="332">
        <v>1098.4000000000001</v>
      </c>
      <c r="AH6" s="332">
        <v>1200.4000000000001</v>
      </c>
      <c r="AI6" s="119" t="s">
        <v>13</v>
      </c>
      <c r="AJ6" s="332">
        <v>1754</v>
      </c>
      <c r="AK6" s="332">
        <v>2046.6</v>
      </c>
      <c r="AL6" s="332">
        <v>2877.4</v>
      </c>
      <c r="AM6" s="332">
        <v>2187.5</v>
      </c>
      <c r="AN6" s="332">
        <v>1843.5</v>
      </c>
      <c r="AO6" s="332">
        <v>2193.9</v>
      </c>
      <c r="AP6" s="332">
        <v>3078.3</v>
      </c>
      <c r="AQ6" s="332">
        <v>2295.5</v>
      </c>
      <c r="AR6" s="332">
        <v>1922.3</v>
      </c>
      <c r="AS6" s="332">
        <v>2274.9</v>
      </c>
      <c r="AT6" s="119" t="s">
        <v>13</v>
      </c>
      <c r="AU6" s="332">
        <v>2831.7</v>
      </c>
      <c r="AV6" s="332">
        <v>3268.4</v>
      </c>
      <c r="AW6" s="332">
        <v>3363.3</v>
      </c>
      <c r="AX6" s="332">
        <v>2993.4</v>
      </c>
      <c r="AY6" s="332">
        <v>2853.7</v>
      </c>
      <c r="AZ6" s="332">
        <v>3346.5</v>
      </c>
      <c r="BA6" s="332">
        <v>3690.3</v>
      </c>
      <c r="BB6" s="332">
        <v>3290.5</v>
      </c>
      <c r="BC6" s="332">
        <v>3096.6</v>
      </c>
      <c r="BD6" s="332">
        <v>3534.1</v>
      </c>
      <c r="BE6" s="119" t="s">
        <v>13</v>
      </c>
      <c r="BF6" s="280">
        <v>4896.3</v>
      </c>
      <c r="BG6" s="280">
        <v>4955.1000000000004</v>
      </c>
      <c r="BH6" s="280">
        <v>4673.8999999999996</v>
      </c>
      <c r="BI6" s="280">
        <v>4982.3</v>
      </c>
      <c r="BJ6" s="280">
        <v>4990.3999999999996</v>
      </c>
      <c r="BK6" s="280">
        <v>5261.7</v>
      </c>
      <c r="BL6" s="280">
        <v>4973.5</v>
      </c>
      <c r="BM6" s="280">
        <v>5330.1</v>
      </c>
      <c r="BN6" s="280">
        <v>5263.6</v>
      </c>
      <c r="BO6" s="280">
        <v>5509.9</v>
      </c>
      <c r="BP6" s="6" t="s">
        <v>13</v>
      </c>
      <c r="BQ6" s="7">
        <v>1981.3999999999999</v>
      </c>
      <c r="BR6" s="7">
        <v>1988.7</v>
      </c>
      <c r="BS6" s="7">
        <v>1999.4</v>
      </c>
      <c r="BT6" s="7">
        <v>2083</v>
      </c>
      <c r="BU6" s="7">
        <v>2021.5</v>
      </c>
      <c r="BV6" s="7">
        <v>2046.5</v>
      </c>
      <c r="BW6" s="7">
        <v>2057.4</v>
      </c>
      <c r="BX6" s="7">
        <v>2032.2</v>
      </c>
      <c r="BY6" s="7">
        <v>1979.8000000000002</v>
      </c>
      <c r="BZ6" s="7">
        <v>2003.8</v>
      </c>
      <c r="CA6" s="6" t="s">
        <v>13</v>
      </c>
      <c r="CB6" s="7">
        <v>3242.1</v>
      </c>
      <c r="CC6" s="7">
        <v>3183.2</v>
      </c>
      <c r="CD6" s="7">
        <v>3236.2</v>
      </c>
      <c r="CE6" s="7">
        <v>3453.6000000000004</v>
      </c>
      <c r="CF6" s="7">
        <v>3298.7</v>
      </c>
      <c r="CG6" s="7">
        <v>3267.3</v>
      </c>
      <c r="CH6" s="7">
        <v>3280.5</v>
      </c>
      <c r="CI6" s="7">
        <v>3407.3999999999996</v>
      </c>
      <c r="CJ6" s="7">
        <v>3388</v>
      </c>
      <c r="CK6" s="7">
        <v>3292.7</v>
      </c>
      <c r="CL6" s="129" t="s">
        <v>13</v>
      </c>
      <c r="CM6" s="280">
        <v>5718.4</v>
      </c>
      <c r="CN6" s="280">
        <v>6138.4</v>
      </c>
      <c r="CO6" s="280">
        <v>6333.7</v>
      </c>
      <c r="CP6" s="280">
        <v>6281.7</v>
      </c>
      <c r="CQ6" s="280">
        <v>5928.7</v>
      </c>
      <c r="CR6" s="280">
        <v>6438.1</v>
      </c>
      <c r="CS6" s="280">
        <v>6731.6</v>
      </c>
      <c r="CT6" s="280">
        <v>6472.7</v>
      </c>
      <c r="CU6" s="280">
        <v>6205.9</v>
      </c>
      <c r="CV6" s="280">
        <v>6635.9</v>
      </c>
      <c r="CW6" s="130" t="s">
        <v>13</v>
      </c>
      <c r="CX6" s="280">
        <v>8232.5</v>
      </c>
      <c r="CY6" s="280">
        <v>8813.7999999999993</v>
      </c>
      <c r="CZ6" s="280">
        <v>9166.2000000000007</v>
      </c>
      <c r="DA6" s="280">
        <v>8875.1</v>
      </c>
      <c r="DB6" s="280">
        <v>8483.7999999999993</v>
      </c>
      <c r="DC6" s="280">
        <v>9040.7000000000007</v>
      </c>
      <c r="DD6" s="280">
        <v>9537.1</v>
      </c>
      <c r="DE6" s="280">
        <v>9137.2000000000007</v>
      </c>
      <c r="DF6" s="280">
        <v>8707</v>
      </c>
      <c r="DG6" s="280">
        <v>9178.7999999999993</v>
      </c>
      <c r="DH6" s="131" t="s">
        <v>13</v>
      </c>
      <c r="DI6" s="280">
        <v>6063.6</v>
      </c>
      <c r="DJ6" s="280">
        <v>6239.8</v>
      </c>
      <c r="DK6" s="280">
        <v>6341.9</v>
      </c>
      <c r="DL6" s="280">
        <v>6324.3</v>
      </c>
      <c r="DM6" s="280">
        <v>6265.8</v>
      </c>
      <c r="DN6" s="280">
        <v>6510.3</v>
      </c>
      <c r="DO6" s="280">
        <v>6595.3</v>
      </c>
      <c r="DP6" s="280">
        <v>6673.5</v>
      </c>
      <c r="DQ6" s="280">
        <v>6551.2</v>
      </c>
      <c r="DR6" s="280">
        <v>6746</v>
      </c>
      <c r="DS6" s="132" t="s">
        <v>13</v>
      </c>
      <c r="DT6" s="280">
        <v>70</v>
      </c>
      <c r="DU6" s="280">
        <v>77.5</v>
      </c>
      <c r="DV6" s="280">
        <v>71.7</v>
      </c>
      <c r="DW6" s="280">
        <v>76</v>
      </c>
      <c r="DX6" s="280">
        <v>84</v>
      </c>
      <c r="DY6" s="280">
        <v>73.3</v>
      </c>
      <c r="DZ6" s="280">
        <v>85.9</v>
      </c>
      <c r="EA6" s="280">
        <v>79.8</v>
      </c>
      <c r="EB6" s="280">
        <v>73.7</v>
      </c>
      <c r="EC6" s="280">
        <v>67.2</v>
      </c>
      <c r="ED6" s="2" t="s">
        <v>13</v>
      </c>
      <c r="EE6" s="280">
        <v>242.7</v>
      </c>
      <c r="EF6" s="280">
        <v>256.60000000000002</v>
      </c>
      <c r="EG6" s="280">
        <v>268.60000000000002</v>
      </c>
      <c r="EH6" s="280">
        <v>268.2</v>
      </c>
      <c r="EI6" s="280">
        <v>249.8</v>
      </c>
      <c r="EJ6" s="280">
        <v>235.6</v>
      </c>
      <c r="EK6" s="280">
        <v>270.7</v>
      </c>
      <c r="EL6" s="280">
        <v>264.10000000000002</v>
      </c>
      <c r="EM6" s="280">
        <v>245</v>
      </c>
      <c r="EN6" s="280">
        <v>215.5</v>
      </c>
      <c r="EO6" s="2" t="s">
        <v>13</v>
      </c>
      <c r="EP6" s="280">
        <v>3465.3</v>
      </c>
      <c r="EQ6" s="280">
        <v>3526.8</v>
      </c>
      <c r="ER6" s="280">
        <v>3337.9</v>
      </c>
      <c r="ES6" s="280">
        <v>3576.5</v>
      </c>
      <c r="ET6" s="280">
        <v>3555.6</v>
      </c>
      <c r="EU6" s="280">
        <v>3636.9</v>
      </c>
      <c r="EV6" s="280">
        <v>3405.4</v>
      </c>
      <c r="EW6" s="280">
        <v>3682.4</v>
      </c>
      <c r="EX6" s="280">
        <v>3692.9</v>
      </c>
      <c r="EY6" s="280">
        <v>3770.8</v>
      </c>
      <c r="EZ6" s="2" t="s">
        <v>13</v>
      </c>
      <c r="FA6" s="280">
        <v>2877.8</v>
      </c>
      <c r="FB6" s="280">
        <v>2964.3</v>
      </c>
      <c r="FC6" s="280">
        <v>2887.2</v>
      </c>
      <c r="FD6" s="280">
        <v>2916.5</v>
      </c>
      <c r="FE6" s="280">
        <v>2956.2</v>
      </c>
      <c r="FF6" s="280">
        <v>2992.3</v>
      </c>
      <c r="FG6" s="280">
        <v>3009.9</v>
      </c>
      <c r="FH6" s="280">
        <v>3105.8</v>
      </c>
      <c r="FI6" s="280">
        <v>3033.9</v>
      </c>
      <c r="FJ6" s="280">
        <v>3069.2</v>
      </c>
      <c r="FK6" s="2" t="s">
        <v>13</v>
      </c>
      <c r="FL6" s="280">
        <v>2015.2</v>
      </c>
      <c r="FM6" s="280">
        <v>2080.8000000000002</v>
      </c>
      <c r="FN6" s="280">
        <v>2208.1999999999998</v>
      </c>
      <c r="FO6" s="280">
        <v>2148</v>
      </c>
      <c r="FP6" s="280">
        <v>2071.5</v>
      </c>
      <c r="FQ6" s="280">
        <v>2233.8000000000002</v>
      </c>
      <c r="FR6" s="280">
        <v>2357.6</v>
      </c>
      <c r="FS6" s="280">
        <v>2249.8000000000002</v>
      </c>
      <c r="FT6" s="280">
        <v>2187.6999999999998</v>
      </c>
      <c r="FU6" s="280">
        <v>2311.6999999999998</v>
      </c>
      <c r="FV6" s="2" t="s">
        <v>13</v>
      </c>
      <c r="FW6" s="280">
        <v>4217</v>
      </c>
      <c r="FX6" s="280">
        <v>4723.2</v>
      </c>
      <c r="FY6" s="280">
        <v>5043.3999999999996</v>
      </c>
      <c r="FZ6" s="280">
        <v>4611.5</v>
      </c>
      <c r="GA6" s="280">
        <v>4409.7</v>
      </c>
      <c r="GB6" s="280">
        <v>4862.1000000000004</v>
      </c>
      <c r="GC6" s="280">
        <v>5242.5</v>
      </c>
      <c r="GD6" s="280">
        <v>4696.1000000000004</v>
      </c>
      <c r="GE6" s="280">
        <v>4493.6000000000004</v>
      </c>
      <c r="GF6" s="280">
        <v>4814.8</v>
      </c>
      <c r="GG6" s="2" t="s">
        <v>13</v>
      </c>
      <c r="GH6" s="280">
        <v>336.9</v>
      </c>
      <c r="GI6" s="280">
        <v>390.4</v>
      </c>
      <c r="GJ6" s="280">
        <v>396.4</v>
      </c>
      <c r="GK6" s="280">
        <v>338.5</v>
      </c>
      <c r="GL6" s="280">
        <v>338.1</v>
      </c>
      <c r="GM6" s="280">
        <v>393.3</v>
      </c>
      <c r="GN6" s="280">
        <v>422.2</v>
      </c>
      <c r="GO6" s="280">
        <v>348.7</v>
      </c>
      <c r="GP6" s="280">
        <v>326.10000000000002</v>
      </c>
      <c r="GQ6" s="280">
        <v>411.2</v>
      </c>
      <c r="GR6" s="2" t="s">
        <v>13</v>
      </c>
      <c r="GS6" s="280">
        <v>2226.1</v>
      </c>
      <c r="GT6" s="280">
        <v>2298.9</v>
      </c>
      <c r="GU6" s="280">
        <v>2381.6</v>
      </c>
      <c r="GV6" s="280">
        <v>2447.3000000000002</v>
      </c>
      <c r="GW6" s="280">
        <v>2241.6999999999998</v>
      </c>
      <c r="GX6" s="280">
        <v>2380.3000000000002</v>
      </c>
      <c r="GY6" s="280">
        <v>2457.6</v>
      </c>
      <c r="GZ6" s="280">
        <v>2478.5</v>
      </c>
      <c r="HA6" s="280">
        <v>2352.6</v>
      </c>
      <c r="HB6" s="280">
        <v>2477.6</v>
      </c>
      <c r="HC6" s="2" t="s">
        <v>13</v>
      </c>
      <c r="HD6" s="280">
        <v>1313</v>
      </c>
      <c r="HE6" s="280">
        <v>1399.2</v>
      </c>
      <c r="HF6" s="280">
        <v>1515.9</v>
      </c>
      <c r="HG6" s="280">
        <v>1476.4</v>
      </c>
      <c r="HH6" s="280">
        <v>1360.3</v>
      </c>
      <c r="HI6" s="280">
        <v>1534.3</v>
      </c>
      <c r="HJ6" s="280">
        <v>1669.5</v>
      </c>
      <c r="HK6" s="280">
        <v>1617.4</v>
      </c>
      <c r="HL6" s="280">
        <v>1547</v>
      </c>
      <c r="HM6" s="280">
        <v>1624.6</v>
      </c>
      <c r="HN6" s="279" t="s">
        <v>13</v>
      </c>
      <c r="HO6" s="280">
        <v>3154.3</v>
      </c>
      <c r="HP6" s="280">
        <v>3433.3</v>
      </c>
      <c r="HQ6" s="280">
        <v>3676.9</v>
      </c>
      <c r="HR6" s="280">
        <v>3548.2</v>
      </c>
      <c r="HS6" s="280">
        <v>3352.5</v>
      </c>
      <c r="HT6" s="280">
        <v>3570.9</v>
      </c>
      <c r="HU6" s="280">
        <v>3903.9</v>
      </c>
      <c r="HV6" s="280">
        <v>3691.2</v>
      </c>
      <c r="HW6" s="280">
        <v>3441</v>
      </c>
      <c r="HX6" s="280">
        <v>3725.3</v>
      </c>
      <c r="HY6" s="2" t="s">
        <v>13</v>
      </c>
      <c r="HZ6" s="280">
        <v>155.80000000000001</v>
      </c>
      <c r="IA6" s="280">
        <v>146</v>
      </c>
      <c r="IB6" s="280">
        <v>141.30000000000001</v>
      </c>
      <c r="IC6" s="280">
        <v>173.4</v>
      </c>
      <c r="ID6" s="280">
        <v>166.4</v>
      </c>
      <c r="IE6" s="280">
        <v>169.4</v>
      </c>
      <c r="IF6" s="280">
        <v>141.9</v>
      </c>
      <c r="IG6" s="280">
        <v>170.9</v>
      </c>
      <c r="IH6" s="280">
        <v>172.1</v>
      </c>
      <c r="II6" s="280">
        <v>152.6</v>
      </c>
      <c r="IJ6" s="2" t="s">
        <v>13</v>
      </c>
      <c r="IK6" s="280">
        <v>80.5</v>
      </c>
      <c r="IL6" s="280">
        <v>50.2</v>
      </c>
      <c r="IM6" s="280">
        <v>56.1</v>
      </c>
      <c r="IN6" s="280">
        <v>52.5</v>
      </c>
      <c r="IO6" s="280">
        <v>60.7</v>
      </c>
      <c r="IP6" s="280">
        <v>53.3</v>
      </c>
      <c r="IQ6" s="280">
        <v>68.900000000000006</v>
      </c>
      <c r="IR6" s="280">
        <v>58.4</v>
      </c>
      <c r="IS6" s="280">
        <v>45.9</v>
      </c>
      <c r="IT6" s="280">
        <v>54.5</v>
      </c>
      <c r="IU6" s="2" t="s">
        <v>13</v>
      </c>
      <c r="IV6" s="280">
        <v>728</v>
      </c>
      <c r="IW6" s="280">
        <v>781.8</v>
      </c>
      <c r="IX6" s="280">
        <v>820.3</v>
      </c>
      <c r="IY6" s="280">
        <v>807.9</v>
      </c>
      <c r="IZ6" s="280">
        <v>739.1</v>
      </c>
      <c r="JA6" s="280">
        <v>803.5</v>
      </c>
      <c r="JB6" s="280">
        <v>793.9</v>
      </c>
      <c r="JC6" s="280">
        <v>816.8</v>
      </c>
      <c r="JD6" s="280">
        <v>749.4</v>
      </c>
      <c r="JE6" s="280">
        <v>823.1</v>
      </c>
      <c r="JF6" s="2" t="s">
        <v>13</v>
      </c>
      <c r="JG6" s="280">
        <v>2445.9</v>
      </c>
      <c r="JH6" s="280">
        <v>2575</v>
      </c>
      <c r="JI6" s="280">
        <v>2746.2</v>
      </c>
      <c r="JJ6" s="280">
        <v>2746</v>
      </c>
      <c r="JK6" s="280">
        <v>2618.6999999999998</v>
      </c>
      <c r="JL6" s="280">
        <v>2701.3</v>
      </c>
      <c r="JM6" s="280">
        <v>2853.4</v>
      </c>
      <c r="JN6" s="280">
        <v>2835.2</v>
      </c>
      <c r="JO6" s="280">
        <v>2700.9</v>
      </c>
      <c r="JP6" s="280">
        <v>2875.5</v>
      </c>
      <c r="JQ6" s="2" t="s">
        <v>13</v>
      </c>
      <c r="JR6" s="280">
        <v>1127.7</v>
      </c>
      <c r="JS6" s="280">
        <v>1242.8</v>
      </c>
      <c r="JT6" s="280">
        <v>1239.5999999999999</v>
      </c>
      <c r="JU6" s="280">
        <v>1245.4000000000001</v>
      </c>
      <c r="JV6" s="280">
        <v>1175.5</v>
      </c>
      <c r="JW6" s="280">
        <v>1297.4000000000001</v>
      </c>
      <c r="JX6" s="280">
        <v>1308.3</v>
      </c>
      <c r="JY6" s="280">
        <v>1305</v>
      </c>
      <c r="JZ6" s="280">
        <v>1230.8</v>
      </c>
      <c r="KA6" s="280">
        <v>1326.6</v>
      </c>
      <c r="KB6" s="2" t="s">
        <v>13</v>
      </c>
      <c r="KC6" s="280">
        <v>2483.8000000000002</v>
      </c>
      <c r="KD6" s="280">
        <v>2564.6</v>
      </c>
      <c r="KE6" s="280">
        <v>2762.1</v>
      </c>
      <c r="KF6" s="280">
        <v>2781.2</v>
      </c>
      <c r="KG6" s="280">
        <v>2628</v>
      </c>
      <c r="KH6" s="280">
        <v>2682.5</v>
      </c>
      <c r="KI6" s="280">
        <v>2953</v>
      </c>
      <c r="KJ6" s="280">
        <v>2881.7</v>
      </c>
      <c r="KK6" s="280">
        <v>2742.3</v>
      </c>
      <c r="KL6" s="280">
        <v>2828.1</v>
      </c>
      <c r="KM6" s="2" t="s">
        <v>13</v>
      </c>
      <c r="KN6" s="280">
        <v>862.3</v>
      </c>
      <c r="KO6" s="280">
        <v>868.9</v>
      </c>
      <c r="KP6" s="280">
        <v>928</v>
      </c>
      <c r="KQ6" s="280">
        <v>923.5</v>
      </c>
      <c r="KR6" s="280">
        <v>851.5</v>
      </c>
      <c r="KS6" s="280">
        <v>922.6</v>
      </c>
      <c r="KT6" s="280">
        <v>1006.3</v>
      </c>
      <c r="KU6" s="280">
        <v>1015.6</v>
      </c>
      <c r="KV6" s="280">
        <v>952.1</v>
      </c>
      <c r="KW6" s="280">
        <v>935.3</v>
      </c>
      <c r="KX6" s="2" t="s">
        <v>13</v>
      </c>
      <c r="KY6" s="280">
        <v>1512.2</v>
      </c>
      <c r="KZ6" s="280">
        <v>1913.9</v>
      </c>
      <c r="LA6" s="280">
        <v>2153.1</v>
      </c>
      <c r="LB6" s="280">
        <v>1665.8</v>
      </c>
      <c r="LC6" s="280">
        <v>1543.9</v>
      </c>
      <c r="LD6" s="280">
        <v>1991.5</v>
      </c>
      <c r="LE6" s="280">
        <v>2322.6</v>
      </c>
      <c r="LF6" s="280">
        <v>1746.5</v>
      </c>
      <c r="LG6" s="280">
        <v>1626.5</v>
      </c>
      <c r="LH6" s="280">
        <v>2026.9</v>
      </c>
      <c r="LI6" s="2" t="s">
        <v>13</v>
      </c>
      <c r="LJ6" s="280">
        <v>450.4</v>
      </c>
      <c r="LK6" s="280">
        <v>472.6</v>
      </c>
      <c r="LL6" s="280">
        <v>468.5</v>
      </c>
      <c r="LM6" s="280">
        <v>476.8</v>
      </c>
      <c r="LN6" s="280">
        <v>478.2</v>
      </c>
      <c r="LO6" s="280">
        <v>501.4</v>
      </c>
      <c r="LP6" s="280">
        <v>508.6</v>
      </c>
      <c r="LQ6" s="280">
        <v>488.1</v>
      </c>
      <c r="LR6" s="280">
        <v>492.7</v>
      </c>
      <c r="LS6" s="280">
        <v>474.7</v>
      </c>
      <c r="LT6" s="2" t="s">
        <v>13</v>
      </c>
      <c r="LU6" s="280">
        <v>279.5</v>
      </c>
      <c r="LV6" s="280">
        <v>314.60000000000002</v>
      </c>
      <c r="LW6" s="280">
        <v>334.6</v>
      </c>
      <c r="LX6" s="280">
        <v>303.89999999999998</v>
      </c>
      <c r="LY6" s="280">
        <v>289.3</v>
      </c>
      <c r="LZ6" s="280">
        <v>330.5</v>
      </c>
      <c r="MA6" s="280">
        <v>303.2</v>
      </c>
      <c r="MB6" s="280">
        <v>292.60000000000002</v>
      </c>
      <c r="MC6" s="280">
        <v>305.39999999999998</v>
      </c>
      <c r="MD6" s="280">
        <v>300.7</v>
      </c>
      <c r="ME6" s="2" t="s">
        <v>13</v>
      </c>
      <c r="MF6" s="280">
        <v>777.3</v>
      </c>
      <c r="MG6" s="280">
        <v>827.5</v>
      </c>
      <c r="MH6" s="280">
        <v>841.1</v>
      </c>
      <c r="MI6" s="280">
        <v>852.3</v>
      </c>
      <c r="MJ6" s="280">
        <v>781.4</v>
      </c>
      <c r="MK6" s="280">
        <v>837.2</v>
      </c>
      <c r="ML6" s="280">
        <v>892</v>
      </c>
      <c r="MM6" s="280">
        <v>864.2</v>
      </c>
      <c r="MN6" s="280">
        <v>811.9</v>
      </c>
      <c r="MO6" s="280">
        <v>862.5</v>
      </c>
      <c r="MP6" s="2" t="s">
        <v>13</v>
      </c>
      <c r="MQ6" s="280">
        <v>1079.3</v>
      </c>
      <c r="MR6" s="280">
        <v>1168.4000000000001</v>
      </c>
      <c r="MS6" s="280">
        <v>1262.5</v>
      </c>
      <c r="MT6" s="280">
        <v>1191.2</v>
      </c>
      <c r="MU6" s="280">
        <v>1120.9000000000001</v>
      </c>
      <c r="MV6" s="280">
        <v>1206.5</v>
      </c>
      <c r="MW6" s="280">
        <v>1292.8</v>
      </c>
      <c r="MX6" s="280">
        <v>1197.8</v>
      </c>
      <c r="MY6" s="280">
        <v>1127.8</v>
      </c>
      <c r="MZ6" s="280">
        <v>1246.5</v>
      </c>
      <c r="NA6" s="2" t="s">
        <v>13</v>
      </c>
      <c r="NB6" s="280">
        <v>1228.3</v>
      </c>
      <c r="NC6" s="280">
        <v>1249.0999999999999</v>
      </c>
      <c r="ND6" s="280">
        <v>1306.7</v>
      </c>
      <c r="NE6" s="280">
        <v>1293</v>
      </c>
      <c r="NF6" s="280">
        <v>1258.8</v>
      </c>
      <c r="NG6" s="280">
        <v>1298.2</v>
      </c>
      <c r="NH6" s="280">
        <v>1331.2</v>
      </c>
      <c r="NI6" s="280">
        <v>1390.8</v>
      </c>
      <c r="NJ6" s="280">
        <v>1301.5</v>
      </c>
      <c r="NK6" s="280">
        <v>1297.8</v>
      </c>
      <c r="NL6" s="2" t="s">
        <v>13</v>
      </c>
      <c r="NM6" s="280">
        <v>2372</v>
      </c>
      <c r="NN6" s="280">
        <v>2345.5</v>
      </c>
      <c r="NO6" s="280">
        <v>1926</v>
      </c>
      <c r="NP6" s="280">
        <v>2291.5</v>
      </c>
      <c r="NQ6" s="280">
        <v>2360.1</v>
      </c>
      <c r="NR6" s="280">
        <v>2395.9</v>
      </c>
      <c r="NS6" s="280">
        <v>2003.5</v>
      </c>
      <c r="NT6" s="280">
        <v>2372.6999999999998</v>
      </c>
      <c r="NU6" s="280">
        <v>2462.3000000000002</v>
      </c>
      <c r="NV6" s="280">
        <v>2461.5</v>
      </c>
      <c r="NW6" s="2" t="s">
        <v>13</v>
      </c>
      <c r="NX6" s="280">
        <v>2729</v>
      </c>
      <c r="NY6" s="280">
        <v>2816.9</v>
      </c>
      <c r="NZ6" s="280">
        <v>2876.6</v>
      </c>
      <c r="OA6" s="280">
        <v>2843.6</v>
      </c>
      <c r="OB6" s="280">
        <v>2778.3</v>
      </c>
      <c r="OC6" s="280">
        <v>2824.7</v>
      </c>
      <c r="OD6" s="280">
        <v>2953.3</v>
      </c>
      <c r="OE6" s="280">
        <v>2842.9</v>
      </c>
      <c r="OF6" s="280">
        <v>2864.3</v>
      </c>
      <c r="OG6" s="280">
        <v>2877</v>
      </c>
      <c r="OH6" s="191" t="s">
        <v>13</v>
      </c>
      <c r="OI6" s="192">
        <v>10.1</v>
      </c>
      <c r="OJ6" s="192">
        <v>10.4</v>
      </c>
      <c r="OK6" s="192">
        <v>10.5</v>
      </c>
      <c r="OL6" s="192">
        <v>9.9</v>
      </c>
      <c r="OM6" s="192">
        <v>9.3000000000000007</v>
      </c>
      <c r="ON6" s="192">
        <v>9.5</v>
      </c>
      <c r="OO6" s="192">
        <v>9.6</v>
      </c>
      <c r="OP6" s="192">
        <v>9.1</v>
      </c>
      <c r="OQ6" s="192">
        <v>8.6999999999999993</v>
      </c>
      <c r="OR6" s="192">
        <v>8.8000000000000007</v>
      </c>
      <c r="OS6" s="2" t="s">
        <v>13</v>
      </c>
      <c r="OT6" s="340">
        <v>0.6</v>
      </c>
      <c r="OU6" s="340">
        <v>0.3</v>
      </c>
      <c r="OV6" s="340">
        <v>0.4</v>
      </c>
      <c r="OW6" s="340">
        <v>0.7</v>
      </c>
      <c r="OX6" s="340">
        <v>0.6</v>
      </c>
      <c r="OY6" s="340">
        <v>0.6</v>
      </c>
      <c r="OZ6" s="340">
        <v>0.6</v>
      </c>
      <c r="PA6" s="340">
        <v>0.6</v>
      </c>
      <c r="PB6" s="340">
        <v>0.3</v>
      </c>
      <c r="PC6" s="340">
        <v>0.4</v>
      </c>
      <c r="PE6" s="185">
        <f>E6-'[1]Data-temp_employment'!F6</f>
        <v>9.9999999999999645E-2</v>
      </c>
      <c r="PF6" s="185">
        <f>F6-'[1]Data-temp_employment'!G6</f>
        <v>0.40000000000000036</v>
      </c>
      <c r="PG6" s="185">
        <f>O6-'[1]Data-temp_employment'!P6</f>
        <v>764</v>
      </c>
      <c r="PH6" s="185">
        <f>P6-'[1]Data-temp_employment'!Q6</f>
        <v>515.40000000000146</v>
      </c>
      <c r="PI6" s="185">
        <f>AD6-'[1]Data-temp_employment'!AE6</f>
        <v>23.899999999999864</v>
      </c>
      <c r="PJ6" s="185">
        <f>AE6-'[1]Data-temp_employment'!AF6</f>
        <v>72.199999999999818</v>
      </c>
      <c r="PK6" s="185">
        <f>BR6-'[1]Data-temp_employment'!BS6</f>
        <v>80.400000000000091</v>
      </c>
      <c r="PL6" s="185">
        <f>BS6-'[1]Data-temp_employment'!BT6</f>
        <v>16.300000000000182</v>
      </c>
      <c r="PM6" s="185">
        <f>CC6-'[1]Data-temp_employment'!CD6</f>
        <v>48.799999999999727</v>
      </c>
      <c r="PN6" s="185">
        <f>CD6-'[1]Data-temp_employment'!CE6</f>
        <v>54.799999999999727</v>
      </c>
      <c r="PO6" s="185">
        <f>CR6-'[1]Data-temp_employment'!CS6</f>
        <v>305</v>
      </c>
      <c r="PP6" s="185">
        <f>CS6-'[1]Data-temp_employment'!CT6</f>
        <v>406</v>
      </c>
      <c r="PQ6" s="185">
        <f>DC6-'[1]Data-temp_employment'!DD6</f>
        <v>241.90000000000146</v>
      </c>
      <c r="PR6" s="185">
        <f>DD6-'[1]Data-temp_employment'!DE6</f>
        <v>384.10000000000036</v>
      </c>
      <c r="PS6" s="185">
        <f>DN6-'[1]Data-temp_employment'!DO6</f>
        <v>274.69999999999982</v>
      </c>
      <c r="PT6" s="185">
        <f>DO6-'[1]Data-temp_employment'!DP6</f>
        <v>257</v>
      </c>
      <c r="PU6" s="185">
        <f>EF6-'[1]Data-temp_employment'!EG6</f>
        <v>8.5000000000000284</v>
      </c>
      <c r="PV6" s="185">
        <f>EG6-'[1]Data-temp_employment'!EH6</f>
        <v>27.800000000000011</v>
      </c>
      <c r="PW6" s="185">
        <f>EU6-'[1]Data-temp_employment'!EV6</f>
        <v>111.80000000000018</v>
      </c>
      <c r="PX6" s="185">
        <f>EV6-'[1]Data-temp_employment'!EW6</f>
        <v>69.900000000000091</v>
      </c>
      <c r="PY6" s="185">
        <f>FF6-'[1]Data-temp_employment'!FG6</f>
        <v>29.700000000000273</v>
      </c>
      <c r="PZ6" s="185">
        <f>FG6-'[1]Data-temp_employment'!FH6</f>
        <v>124.20000000000027</v>
      </c>
      <c r="QA6" s="185">
        <f>FQ6-'[1]Data-temp_employment'!FR6</f>
        <v>155.70000000000027</v>
      </c>
      <c r="QB6" s="185">
        <f>FR6-'[1]Data-temp_employment'!FS6</f>
        <v>151.5</v>
      </c>
      <c r="QC6" s="185">
        <f>GB6-'[1]Data-temp_employment'!GC6</f>
        <v>151.70000000000073</v>
      </c>
      <c r="QD6" s="185">
        <f>GC6-'[1]Data-temp_employment'!GD6</f>
        <v>211.10000000000036</v>
      </c>
      <c r="QE6" s="185">
        <f>GM6-'[1]Data-temp_employment'!GN6</f>
        <v>3.5</v>
      </c>
      <c r="QF6" s="185">
        <f>GN6-'[1]Data-temp_employment'!GO6</f>
        <v>26.199999999999989</v>
      </c>
      <c r="QG6" s="185">
        <f>GX6-'[1]Data-temp_employment'!GY6</f>
        <v>82</v>
      </c>
      <c r="QH6" s="185">
        <f>GY6-'[1]Data-temp_employment'!GZ6</f>
        <v>77</v>
      </c>
      <c r="QI6" s="185">
        <f>HI6-'[1]Data-temp_employment'!HJ6</f>
        <v>135.59999999999991</v>
      </c>
      <c r="QJ6" s="185">
        <f>HJ6-'[1]Data-temp_employment'!HK6</f>
        <v>154.20000000000005</v>
      </c>
      <c r="QK6" s="185">
        <f>HT6-'[1]Data-temp_employment'!HU6</f>
        <v>141.09999999999991</v>
      </c>
      <c r="QL6" s="185">
        <f>HU6-'[1]Data-temp_employment'!HV6</f>
        <v>231.09999999999991</v>
      </c>
      <c r="QM6" s="185">
        <f>IE6-'[1]Data-temp_employment'!IF6</f>
        <v>23.400000000000006</v>
      </c>
      <c r="QN6" s="185">
        <f>IF6-'[1]Data-temp_employment'!IG6</f>
        <v>0.59999999999999432</v>
      </c>
      <c r="QO6" s="185">
        <f>JA6-'[1]Data-temp_employment'!JB6</f>
        <v>21.899999999999977</v>
      </c>
      <c r="QP6" s="185">
        <f>JB6-'[1]Data-temp_employment'!JC6</f>
        <v>-26</v>
      </c>
      <c r="QQ6" s="185">
        <f>JH6-'[1]Data-temp_employment'!JI6</f>
        <v>34.599999999999909</v>
      </c>
      <c r="QR6" s="185">
        <f>JI6-'[1]Data-temp_employment'!JJ6</f>
        <v>40.599999999999909</v>
      </c>
      <c r="QS6" s="185">
        <f>JS6-'[1]Data-temp_employment'!JT6</f>
        <v>47</v>
      </c>
      <c r="QT6" s="185">
        <f>JT6-'[1]Data-temp_employment'!JU6</f>
        <v>7.2999999999999545</v>
      </c>
      <c r="QU6" s="185">
        <f>KD6-'[1]Data-temp_employment'!KE6</f>
        <v>87.599999999999909</v>
      </c>
      <c r="QV6" s="185">
        <f>KE6-'[1]Data-temp_employment'!KF6</f>
        <v>72.699999999999818</v>
      </c>
      <c r="QW6" s="185">
        <f>KO6-'[1]Data-temp_employment'!KP6</f>
        <v>63.899999999999977</v>
      </c>
      <c r="QX6" s="185">
        <f>KP6-'[1]Data-temp_employment'!KQ6</f>
        <v>84.899999999999977</v>
      </c>
      <c r="QY6" s="185">
        <f>LD6-'[1]Data-temp_employment'!LE6</f>
        <v>83.299999999999955</v>
      </c>
      <c r="QZ6" s="185">
        <f>LE6-'[1]Data-temp_employment'!LF6</f>
        <v>174.19999999999982</v>
      </c>
      <c r="RA6" s="185">
        <f>LK6-'[1]Data-temp_employment'!LL6</f>
        <v>52.200000000000045</v>
      </c>
      <c r="RB6" s="185">
        <f>LL6-'[1]Data-temp_employment'!LM6</f>
        <v>21.800000000000011</v>
      </c>
      <c r="RC6" s="185">
        <f>LV6-'[1]Data-temp_employment'!LW6</f>
        <v>36.900000000000034</v>
      </c>
      <c r="RD6" s="185">
        <f>LW6-'[1]Data-temp_employment'!LX6</f>
        <v>23.600000000000023</v>
      </c>
      <c r="RE6" s="185">
        <f>MK6-'[1]Data-temp_employment'!ML6</f>
        <v>11</v>
      </c>
      <c r="RF6" s="185">
        <f>ML6-'[1]Data-temp_employment'!MM6</f>
        <v>53</v>
      </c>
      <c r="RG6" s="185">
        <f>MV6-'[1]Data-temp_employment'!MW6</f>
        <v>41.200000000000045</v>
      </c>
      <c r="RH6" s="185">
        <f>MW6-'[1]Data-temp_employment'!MX6</f>
        <v>32.899999999999864</v>
      </c>
      <c r="RI6" s="185">
        <f>NG6-'[1]Data-temp_employment'!NH6</f>
        <v>48.5</v>
      </c>
      <c r="RJ6" s="185">
        <f>NH6-'[1]Data-temp_employment'!NI6</f>
        <v>24.200000000000045</v>
      </c>
      <c r="RK6" s="185">
        <f>NR6-'[1]Data-temp_employment'!NS6</f>
        <v>51.300000000000182</v>
      </c>
      <c r="RL6" s="185">
        <f>NS6-'[1]Data-temp_employment'!NT6</f>
        <v>78.099999999999909</v>
      </c>
      <c r="RM6" s="185">
        <f>OC6-'[1]Data-temp_employment'!OD6</f>
        <v>10.199999999999818</v>
      </c>
      <c r="RN6" s="185">
        <f>OD6-'[1]Data-temp_employment'!OE6</f>
        <v>78.600000000000364</v>
      </c>
      <c r="RO6" s="185">
        <f>OU6-'[1]Data-temp_employment'!OV6</f>
        <v>-0.10000000000000003</v>
      </c>
      <c r="RP6" s="185">
        <f>OV6-'[1]Data-temp_employment'!OW6</f>
        <v>0.10000000000000003</v>
      </c>
    </row>
    <row r="7" spans="1:484">
      <c r="A7">
        <v>4</v>
      </c>
      <c r="B7" s="128" t="s">
        <v>14</v>
      </c>
      <c r="C7" s="332">
        <v>14.9</v>
      </c>
      <c r="D7" s="332">
        <v>15.7</v>
      </c>
      <c r="E7" s="332">
        <v>16.100000000000001</v>
      </c>
      <c r="F7" s="332">
        <v>15.8</v>
      </c>
      <c r="G7" s="332">
        <v>15.3</v>
      </c>
      <c r="H7" s="332">
        <v>16.100000000000001</v>
      </c>
      <c r="I7" s="332">
        <v>16.600000000000001</v>
      </c>
      <c r="J7" s="332">
        <v>16.2</v>
      </c>
      <c r="K7" s="332">
        <v>15.7</v>
      </c>
      <c r="L7" s="332">
        <v>16.3</v>
      </c>
      <c r="M7" s="127" t="s">
        <v>14</v>
      </c>
      <c r="N7" s="332">
        <v>18026.7</v>
      </c>
      <c r="O7" s="332">
        <v>19142</v>
      </c>
      <c r="P7" s="332">
        <v>19772.400000000001</v>
      </c>
      <c r="Q7" s="332">
        <v>19455.3</v>
      </c>
      <c r="R7" s="332">
        <v>18734</v>
      </c>
      <c r="S7" s="332">
        <v>20005.5</v>
      </c>
      <c r="T7" s="332">
        <v>20824.599999999999</v>
      </c>
      <c r="U7" s="332">
        <v>20349.2</v>
      </c>
      <c r="V7" s="332">
        <v>19550.5</v>
      </c>
      <c r="W7" s="332">
        <v>20622.900000000001</v>
      </c>
      <c r="X7" s="120" t="s">
        <v>14</v>
      </c>
      <c r="Y7" s="332">
        <v>928.1</v>
      </c>
      <c r="Z7" s="332">
        <v>1041.8</v>
      </c>
      <c r="AA7" s="332">
        <v>1071.5</v>
      </c>
      <c r="AB7" s="332">
        <v>1020.6</v>
      </c>
      <c r="AC7" s="332">
        <v>1008.8</v>
      </c>
      <c r="AD7" s="332">
        <v>1074</v>
      </c>
      <c r="AE7" s="332">
        <v>1121.8</v>
      </c>
      <c r="AF7" s="332">
        <v>1076.0999999999999</v>
      </c>
      <c r="AG7" s="332">
        <v>983</v>
      </c>
      <c r="AH7" s="332">
        <v>1089.3</v>
      </c>
      <c r="AI7" s="119" t="s">
        <v>14</v>
      </c>
      <c r="AJ7" s="332">
        <v>1738.8</v>
      </c>
      <c r="AK7" s="332">
        <v>1975.6</v>
      </c>
      <c r="AL7" s="332">
        <v>2734.8</v>
      </c>
      <c r="AM7" s="332">
        <v>2121.5</v>
      </c>
      <c r="AN7" s="332">
        <v>1833.2</v>
      </c>
      <c r="AO7" s="332">
        <v>2124.5</v>
      </c>
      <c r="AP7" s="332">
        <v>2951.6</v>
      </c>
      <c r="AQ7" s="332">
        <v>2258.6</v>
      </c>
      <c r="AR7" s="332">
        <v>1925.4</v>
      </c>
      <c r="AS7" s="332">
        <v>2223.1</v>
      </c>
      <c r="AT7" s="119" t="s">
        <v>14</v>
      </c>
      <c r="AU7" s="332">
        <v>2696.3</v>
      </c>
      <c r="AV7" s="332">
        <v>3117.6</v>
      </c>
      <c r="AW7" s="332">
        <v>3246</v>
      </c>
      <c r="AX7" s="332">
        <v>2869.4</v>
      </c>
      <c r="AY7" s="332">
        <v>2719.5</v>
      </c>
      <c r="AZ7" s="332">
        <v>3234.8</v>
      </c>
      <c r="BA7" s="332">
        <v>3543.9</v>
      </c>
      <c r="BB7" s="332">
        <v>3150.4</v>
      </c>
      <c r="BC7" s="332">
        <v>2978.4</v>
      </c>
      <c r="BD7" s="332">
        <v>3394.5</v>
      </c>
      <c r="BE7" s="119" t="s">
        <v>14</v>
      </c>
      <c r="BF7" s="280">
        <v>4683.8999999999996</v>
      </c>
      <c r="BG7" s="280">
        <v>4762.3</v>
      </c>
      <c r="BH7" s="280">
        <v>4502.6000000000004</v>
      </c>
      <c r="BI7" s="280">
        <v>4784.3</v>
      </c>
      <c r="BJ7" s="280">
        <v>4782.3999999999996</v>
      </c>
      <c r="BK7" s="280">
        <v>5067.6000000000004</v>
      </c>
      <c r="BL7" s="280">
        <v>4786.6000000000004</v>
      </c>
      <c r="BM7" s="280">
        <v>5126.7</v>
      </c>
      <c r="BN7" s="280">
        <v>5059.5</v>
      </c>
      <c r="BO7" s="280">
        <v>5323</v>
      </c>
      <c r="BP7" s="6" t="s">
        <v>14</v>
      </c>
      <c r="BQ7" s="7">
        <v>1690.1</v>
      </c>
      <c r="BR7" s="7">
        <v>1726.5</v>
      </c>
      <c r="BS7" s="7">
        <v>1703.3999999999999</v>
      </c>
      <c r="BT7" s="7">
        <v>1794</v>
      </c>
      <c r="BU7" s="7">
        <v>1711.5</v>
      </c>
      <c r="BV7" s="7">
        <v>1744.5</v>
      </c>
      <c r="BW7" s="7">
        <v>1770.2</v>
      </c>
      <c r="BX7" s="7">
        <v>1750.9</v>
      </c>
      <c r="BY7" s="7">
        <v>1697.1</v>
      </c>
      <c r="BZ7" s="7">
        <v>1729.1999999999998</v>
      </c>
      <c r="CA7" s="6" t="s">
        <v>14</v>
      </c>
      <c r="CB7" s="7">
        <v>2921.1</v>
      </c>
      <c r="CC7" s="7">
        <v>2872.7</v>
      </c>
      <c r="CD7" s="7">
        <v>2920.2</v>
      </c>
      <c r="CE7" s="7">
        <v>3137.9</v>
      </c>
      <c r="CF7" s="7">
        <v>2974.8999999999996</v>
      </c>
      <c r="CG7" s="7">
        <v>2946.6</v>
      </c>
      <c r="CH7" s="7">
        <v>2970.1000000000004</v>
      </c>
      <c r="CI7" s="7">
        <v>3104.6</v>
      </c>
      <c r="CJ7" s="7">
        <v>3090.8</v>
      </c>
      <c r="CK7" s="7">
        <v>2984.3</v>
      </c>
      <c r="CL7" s="129" t="s">
        <v>14</v>
      </c>
      <c r="CM7" s="280">
        <v>5395.2</v>
      </c>
      <c r="CN7" s="280">
        <v>5779</v>
      </c>
      <c r="CO7" s="280">
        <v>5997.5</v>
      </c>
      <c r="CP7" s="280">
        <v>5921.4</v>
      </c>
      <c r="CQ7" s="280">
        <v>5561.1</v>
      </c>
      <c r="CR7" s="280">
        <v>6038.5</v>
      </c>
      <c r="CS7" s="280">
        <v>6349.1</v>
      </c>
      <c r="CT7" s="280">
        <v>6110.6</v>
      </c>
      <c r="CU7" s="280">
        <v>5845</v>
      </c>
      <c r="CV7" s="280">
        <v>6247.4</v>
      </c>
      <c r="CW7" s="130" t="s">
        <v>14</v>
      </c>
      <c r="CX7" s="280">
        <v>7435.2</v>
      </c>
      <c r="CY7" s="280">
        <v>8006.4</v>
      </c>
      <c r="CZ7" s="280">
        <v>8348.2000000000007</v>
      </c>
      <c r="DA7" s="280">
        <v>8050.1</v>
      </c>
      <c r="DB7" s="280">
        <v>7751.1</v>
      </c>
      <c r="DC7" s="280">
        <v>8307</v>
      </c>
      <c r="DD7" s="280">
        <v>8750.4</v>
      </c>
      <c r="DE7" s="280">
        <v>8419.7999999999993</v>
      </c>
      <c r="DF7" s="280">
        <v>8019</v>
      </c>
      <c r="DG7" s="280">
        <v>8471.7999999999993</v>
      </c>
      <c r="DH7" s="131" t="s">
        <v>14</v>
      </c>
      <c r="DI7" s="280">
        <v>5148.2</v>
      </c>
      <c r="DJ7" s="280">
        <v>5306.3</v>
      </c>
      <c r="DK7" s="280">
        <v>5374.5</v>
      </c>
      <c r="DL7" s="280">
        <v>5433.6</v>
      </c>
      <c r="DM7" s="280">
        <v>5362.9</v>
      </c>
      <c r="DN7" s="280">
        <v>5606.7</v>
      </c>
      <c r="DO7" s="280">
        <v>5660.9</v>
      </c>
      <c r="DP7" s="280">
        <v>5751.6</v>
      </c>
      <c r="DQ7" s="280">
        <v>5623.1</v>
      </c>
      <c r="DR7" s="280">
        <v>5849.8</v>
      </c>
      <c r="DS7" s="132" t="s">
        <v>14</v>
      </c>
      <c r="DT7" s="280">
        <v>48.1</v>
      </c>
      <c r="DU7" s="280">
        <v>50.3</v>
      </c>
      <c r="DV7" s="280">
        <v>52.2</v>
      </c>
      <c r="DW7" s="280">
        <v>50.2</v>
      </c>
      <c r="DX7" s="280">
        <v>59</v>
      </c>
      <c r="DY7" s="280">
        <v>53.4</v>
      </c>
      <c r="DZ7" s="280">
        <v>64.2</v>
      </c>
      <c r="EA7" s="280">
        <v>67.099999999999994</v>
      </c>
      <c r="EB7" s="280">
        <v>63.4</v>
      </c>
      <c r="EC7" s="280">
        <v>53.9</v>
      </c>
      <c r="ED7" s="2" t="s">
        <v>14</v>
      </c>
      <c r="EE7" s="280">
        <v>199.8</v>
      </c>
      <c r="EF7" s="280">
        <v>211.3</v>
      </c>
      <c r="EG7" s="280">
        <v>217.8</v>
      </c>
      <c r="EH7" s="280">
        <v>214</v>
      </c>
      <c r="EI7" s="280">
        <v>195.4</v>
      </c>
      <c r="EJ7" s="280">
        <v>194.9</v>
      </c>
      <c r="EK7" s="280">
        <v>220.7</v>
      </c>
      <c r="EL7" s="280">
        <v>211.3</v>
      </c>
      <c r="EM7" s="280">
        <v>187.8</v>
      </c>
      <c r="EN7" s="280">
        <v>175.2</v>
      </c>
      <c r="EO7" s="2" t="s">
        <v>14</v>
      </c>
      <c r="EP7" s="280">
        <v>2892.3</v>
      </c>
      <c r="EQ7" s="280">
        <v>2931.8</v>
      </c>
      <c r="ER7" s="280">
        <v>2757.6</v>
      </c>
      <c r="ES7" s="280">
        <v>3023</v>
      </c>
      <c r="ET7" s="280">
        <v>3003.3</v>
      </c>
      <c r="EU7" s="280">
        <v>3103.9</v>
      </c>
      <c r="EV7" s="280">
        <v>2859.1</v>
      </c>
      <c r="EW7" s="280">
        <v>3150.2</v>
      </c>
      <c r="EX7" s="280">
        <v>3158.1</v>
      </c>
      <c r="EY7" s="280">
        <v>3218.9</v>
      </c>
      <c r="EZ7" s="2" t="s">
        <v>14</v>
      </c>
      <c r="FA7" s="280">
        <v>2642.5</v>
      </c>
      <c r="FB7" s="280">
        <v>2709</v>
      </c>
      <c r="FC7" s="280">
        <v>2658.2</v>
      </c>
      <c r="FD7" s="280">
        <v>2702</v>
      </c>
      <c r="FE7" s="280">
        <v>2736.1</v>
      </c>
      <c r="FF7" s="280">
        <v>2751.4</v>
      </c>
      <c r="FG7" s="280">
        <v>2773.6</v>
      </c>
      <c r="FH7" s="280">
        <v>2876.9</v>
      </c>
      <c r="FI7" s="280">
        <v>2805.7</v>
      </c>
      <c r="FJ7" s="280">
        <v>2837.8</v>
      </c>
      <c r="FK7" s="2" t="s">
        <v>14</v>
      </c>
      <c r="FL7" s="280">
        <v>1795.5</v>
      </c>
      <c r="FM7" s="280">
        <v>1860.2</v>
      </c>
      <c r="FN7" s="280">
        <v>1986.2</v>
      </c>
      <c r="FO7" s="280">
        <v>1940.2</v>
      </c>
      <c r="FP7" s="280">
        <v>1867.3</v>
      </c>
      <c r="FQ7" s="280">
        <v>2028.8</v>
      </c>
      <c r="FR7" s="280">
        <v>2118.8000000000002</v>
      </c>
      <c r="FS7" s="280">
        <v>2023.4</v>
      </c>
      <c r="FT7" s="280">
        <v>1971.2</v>
      </c>
      <c r="FU7" s="280">
        <v>2096.5</v>
      </c>
      <c r="FV7" s="2" t="s">
        <v>14</v>
      </c>
      <c r="FW7" s="280">
        <v>3595.5</v>
      </c>
      <c r="FX7" s="280">
        <v>4066.5</v>
      </c>
      <c r="FY7" s="280">
        <v>4366.1000000000004</v>
      </c>
      <c r="FZ7" s="280">
        <v>3939.2</v>
      </c>
      <c r="GA7" s="280">
        <v>3768.3</v>
      </c>
      <c r="GB7" s="280">
        <v>4198.6000000000004</v>
      </c>
      <c r="GC7" s="280">
        <v>4574</v>
      </c>
      <c r="GD7" s="280">
        <v>4072</v>
      </c>
      <c r="GE7" s="280">
        <v>3906.9</v>
      </c>
      <c r="GF7" s="280">
        <v>4221.1000000000004</v>
      </c>
      <c r="GG7" s="2" t="s">
        <v>14</v>
      </c>
      <c r="GH7" s="280">
        <v>326.8</v>
      </c>
      <c r="GI7" s="280">
        <v>372.6</v>
      </c>
      <c r="GJ7" s="280">
        <v>370.4</v>
      </c>
      <c r="GK7" s="280">
        <v>320.7</v>
      </c>
      <c r="GL7" s="280">
        <v>326.2</v>
      </c>
      <c r="GM7" s="280">
        <v>369.6</v>
      </c>
      <c r="GN7" s="280">
        <v>394.4</v>
      </c>
      <c r="GO7" s="280">
        <v>334</v>
      </c>
      <c r="GP7" s="280">
        <v>313.7</v>
      </c>
      <c r="GQ7" s="280">
        <v>390.2</v>
      </c>
      <c r="GR7" s="2" t="s">
        <v>14</v>
      </c>
      <c r="GS7" s="280">
        <v>2160</v>
      </c>
      <c r="GT7" s="280">
        <v>2220.4</v>
      </c>
      <c r="GU7" s="280">
        <v>2312</v>
      </c>
      <c r="GV7" s="280">
        <v>2373.6999999999998</v>
      </c>
      <c r="GW7" s="280">
        <v>2177.4</v>
      </c>
      <c r="GX7" s="280">
        <v>2307</v>
      </c>
      <c r="GY7" s="280">
        <v>2381.6</v>
      </c>
      <c r="GZ7" s="280">
        <v>2417.4</v>
      </c>
      <c r="HA7" s="280">
        <v>2272.6</v>
      </c>
      <c r="HB7" s="280">
        <v>2405.6</v>
      </c>
      <c r="HC7" s="2" t="s">
        <v>14</v>
      </c>
      <c r="HD7" s="280">
        <v>1254.2</v>
      </c>
      <c r="HE7" s="280">
        <v>1341.1</v>
      </c>
      <c r="HF7" s="280">
        <v>1450.2</v>
      </c>
      <c r="HG7" s="280">
        <v>1410.7</v>
      </c>
      <c r="HH7" s="280">
        <v>1304.0999999999999</v>
      </c>
      <c r="HI7" s="280">
        <v>1462.6</v>
      </c>
      <c r="HJ7" s="280">
        <v>1594</v>
      </c>
      <c r="HK7" s="280">
        <v>1541.4</v>
      </c>
      <c r="HL7" s="280">
        <v>1474.6</v>
      </c>
      <c r="HM7" s="280">
        <v>1561.2</v>
      </c>
      <c r="HN7" s="279" t="s">
        <v>14</v>
      </c>
      <c r="HO7" s="280">
        <v>2958.3</v>
      </c>
      <c r="HP7" s="280">
        <v>3240.7</v>
      </c>
      <c r="HQ7" s="280">
        <v>3463.8</v>
      </c>
      <c r="HR7" s="280">
        <v>3307</v>
      </c>
      <c r="HS7" s="280">
        <v>3144.5</v>
      </c>
      <c r="HT7" s="280">
        <v>3371</v>
      </c>
      <c r="HU7" s="280">
        <v>3702.3</v>
      </c>
      <c r="HV7" s="280">
        <v>3494.5</v>
      </c>
      <c r="HW7" s="280">
        <v>3238.3</v>
      </c>
      <c r="HX7" s="280">
        <v>3510.1</v>
      </c>
      <c r="HY7" s="2" t="s">
        <v>14</v>
      </c>
      <c r="HZ7" s="280">
        <v>153.4</v>
      </c>
      <c r="IA7" s="280">
        <v>144.4</v>
      </c>
      <c r="IB7" s="280">
        <v>138.4</v>
      </c>
      <c r="IC7" s="280">
        <v>171.4</v>
      </c>
      <c r="ID7" s="280">
        <v>164.4</v>
      </c>
      <c r="IE7" s="280">
        <v>165.3</v>
      </c>
      <c r="IF7" s="280">
        <v>141.80000000000001</v>
      </c>
      <c r="IG7" s="280">
        <v>169.4</v>
      </c>
      <c r="IH7" s="280">
        <v>176.1</v>
      </c>
      <c r="II7" s="280">
        <v>153.19999999999999</v>
      </c>
      <c r="IJ7" s="2" t="s">
        <v>14</v>
      </c>
      <c r="IK7" s="280">
        <v>48.5</v>
      </c>
      <c r="IL7" s="280">
        <v>44.1</v>
      </c>
      <c r="IM7" s="280">
        <v>51.5</v>
      </c>
      <c r="IN7" s="280">
        <v>53.2</v>
      </c>
      <c r="IO7" s="280">
        <v>46.9</v>
      </c>
      <c r="IP7" s="280">
        <v>52.5</v>
      </c>
      <c r="IQ7" s="280">
        <v>64.400000000000006</v>
      </c>
      <c r="IR7" s="280">
        <v>58.9</v>
      </c>
      <c r="IS7" s="280">
        <v>45.5</v>
      </c>
      <c r="IT7" s="280">
        <v>53.1</v>
      </c>
      <c r="IU7" s="2" t="s">
        <v>14</v>
      </c>
      <c r="IV7" s="280">
        <v>727.7</v>
      </c>
      <c r="IW7" s="280">
        <v>780.3</v>
      </c>
      <c r="IX7" s="280">
        <v>807.2</v>
      </c>
      <c r="IY7" s="280">
        <v>795.3</v>
      </c>
      <c r="IZ7" s="280">
        <v>733.9</v>
      </c>
      <c r="JA7" s="280">
        <v>790.4</v>
      </c>
      <c r="JB7" s="280">
        <v>786.6</v>
      </c>
      <c r="JC7" s="280">
        <v>811.2</v>
      </c>
      <c r="JD7" s="280">
        <v>744</v>
      </c>
      <c r="JE7" s="280">
        <v>824.3</v>
      </c>
      <c r="JF7" s="2" t="s">
        <v>14</v>
      </c>
      <c r="JG7" s="280">
        <v>2349.3000000000002</v>
      </c>
      <c r="JH7" s="280">
        <v>2465.6999999999998</v>
      </c>
      <c r="JI7" s="280">
        <v>2633.4</v>
      </c>
      <c r="JJ7" s="280">
        <v>2659.9</v>
      </c>
      <c r="JK7" s="280">
        <v>2537.6999999999998</v>
      </c>
      <c r="JL7" s="280">
        <v>2616.5</v>
      </c>
      <c r="JM7" s="280">
        <v>2774.5</v>
      </c>
      <c r="JN7" s="280">
        <v>2753.9</v>
      </c>
      <c r="JO7" s="280">
        <v>2617.6</v>
      </c>
      <c r="JP7" s="280">
        <v>2796.4</v>
      </c>
      <c r="JQ7" s="2" t="s">
        <v>14</v>
      </c>
      <c r="JR7" s="280">
        <v>1058.5</v>
      </c>
      <c r="JS7" s="280">
        <v>1178.0999999999999</v>
      </c>
      <c r="JT7" s="280">
        <v>1184</v>
      </c>
      <c r="JU7" s="280">
        <v>1189.4000000000001</v>
      </c>
      <c r="JV7" s="280">
        <v>1120.2</v>
      </c>
      <c r="JW7" s="280">
        <v>1247.2</v>
      </c>
      <c r="JX7" s="280">
        <v>1241.0999999999999</v>
      </c>
      <c r="JY7" s="280">
        <v>1249.7</v>
      </c>
      <c r="JZ7" s="280">
        <v>1168.8</v>
      </c>
      <c r="KA7" s="280">
        <v>1278.2</v>
      </c>
      <c r="KB7" s="2" t="s">
        <v>14</v>
      </c>
      <c r="KC7" s="280">
        <v>2269.3000000000002</v>
      </c>
      <c r="KD7" s="280">
        <v>2350.9</v>
      </c>
      <c r="KE7" s="280">
        <v>2518.1999999999998</v>
      </c>
      <c r="KF7" s="280">
        <v>2525.9</v>
      </c>
      <c r="KG7" s="280">
        <v>2392</v>
      </c>
      <c r="KH7" s="280">
        <v>2473.6999999999998</v>
      </c>
      <c r="KI7" s="280">
        <v>2712.4</v>
      </c>
      <c r="KJ7" s="280">
        <v>2634</v>
      </c>
      <c r="KK7" s="280">
        <v>2528.3000000000002</v>
      </c>
      <c r="KL7" s="280">
        <v>2604.5</v>
      </c>
      <c r="KM7" s="2" t="s">
        <v>14</v>
      </c>
      <c r="KN7" s="280">
        <v>775.2</v>
      </c>
      <c r="KO7" s="280">
        <v>792.3</v>
      </c>
      <c r="KP7" s="280">
        <v>843.4</v>
      </c>
      <c r="KQ7" s="280">
        <v>826.4</v>
      </c>
      <c r="KR7" s="280">
        <v>776.5</v>
      </c>
      <c r="KS7" s="280">
        <v>840.1</v>
      </c>
      <c r="KT7" s="280">
        <v>910.9</v>
      </c>
      <c r="KU7" s="280">
        <v>932.7</v>
      </c>
      <c r="KV7" s="280">
        <v>878</v>
      </c>
      <c r="KW7" s="280">
        <v>853.8</v>
      </c>
      <c r="KX7" s="2" t="s">
        <v>14</v>
      </c>
      <c r="KY7" s="280">
        <v>1336.8</v>
      </c>
      <c r="KZ7" s="280">
        <v>1716.3</v>
      </c>
      <c r="LA7" s="280">
        <v>1950</v>
      </c>
      <c r="LB7" s="280">
        <v>1479.5</v>
      </c>
      <c r="LC7" s="280">
        <v>1369.2</v>
      </c>
      <c r="LD7" s="280">
        <v>1795.4</v>
      </c>
      <c r="LE7" s="280">
        <v>2122.9</v>
      </c>
      <c r="LF7" s="280">
        <v>1584</v>
      </c>
      <c r="LG7" s="280">
        <v>1471.7</v>
      </c>
      <c r="LH7" s="280">
        <v>1860.8</v>
      </c>
      <c r="LI7" s="2" t="s">
        <v>14</v>
      </c>
      <c r="LJ7" s="280">
        <v>399.7</v>
      </c>
      <c r="LK7" s="280">
        <v>411.9</v>
      </c>
      <c r="LL7" s="280">
        <v>413.4</v>
      </c>
      <c r="LM7" s="280">
        <v>425.9</v>
      </c>
      <c r="LN7" s="280">
        <v>419.6</v>
      </c>
      <c r="LO7" s="280">
        <v>438.3</v>
      </c>
      <c r="LP7" s="280">
        <v>448.2</v>
      </c>
      <c r="LQ7" s="280">
        <v>434</v>
      </c>
      <c r="LR7" s="280">
        <v>440.1</v>
      </c>
      <c r="LS7" s="280">
        <v>424.7</v>
      </c>
      <c r="LT7" s="2" t="s">
        <v>14</v>
      </c>
      <c r="LU7" s="280">
        <v>244.3</v>
      </c>
      <c r="LV7" s="280">
        <v>276.60000000000002</v>
      </c>
      <c r="LW7" s="280">
        <v>296.39999999999998</v>
      </c>
      <c r="LX7" s="280">
        <v>274.60000000000002</v>
      </c>
      <c r="LY7" s="280">
        <v>252.2</v>
      </c>
      <c r="LZ7" s="280">
        <v>294.39999999999998</v>
      </c>
      <c r="MA7" s="280">
        <v>267.10000000000002</v>
      </c>
      <c r="MB7" s="280">
        <v>255.5</v>
      </c>
      <c r="MC7" s="280">
        <v>265.7</v>
      </c>
      <c r="MD7" s="280">
        <v>265.5</v>
      </c>
      <c r="ME7" s="2" t="s">
        <v>14</v>
      </c>
      <c r="MF7" s="280">
        <v>689.5</v>
      </c>
      <c r="MG7" s="280">
        <v>727.9</v>
      </c>
      <c r="MH7" s="280">
        <v>736.8</v>
      </c>
      <c r="MI7" s="280">
        <v>752.4</v>
      </c>
      <c r="MJ7" s="280">
        <v>691.3</v>
      </c>
      <c r="MK7" s="280">
        <v>754.5</v>
      </c>
      <c r="ML7" s="280">
        <v>787.6</v>
      </c>
      <c r="MM7" s="280">
        <v>740.7</v>
      </c>
      <c r="MN7" s="280">
        <v>707.9</v>
      </c>
      <c r="MO7" s="280">
        <v>745.9</v>
      </c>
      <c r="MP7" s="2" t="s">
        <v>14</v>
      </c>
      <c r="MQ7" s="280">
        <v>952.5</v>
      </c>
      <c r="MR7" s="280">
        <v>1041.5</v>
      </c>
      <c r="MS7" s="280">
        <v>1140</v>
      </c>
      <c r="MT7" s="280">
        <v>1055.9000000000001</v>
      </c>
      <c r="MU7" s="280">
        <v>992.4</v>
      </c>
      <c r="MV7" s="280">
        <v>1067.5</v>
      </c>
      <c r="MW7" s="280">
        <v>1156.0999999999999</v>
      </c>
      <c r="MX7" s="280">
        <v>1070.4000000000001</v>
      </c>
      <c r="MY7" s="280">
        <v>1010.1</v>
      </c>
      <c r="MZ7" s="280">
        <v>1120.9000000000001</v>
      </c>
      <c r="NA7" s="2" t="s">
        <v>14</v>
      </c>
      <c r="NB7" s="280">
        <v>1196.8</v>
      </c>
      <c r="NC7" s="280">
        <v>1212.3</v>
      </c>
      <c r="ND7" s="280">
        <v>1251.2</v>
      </c>
      <c r="NE7" s="280">
        <v>1240.9000000000001</v>
      </c>
      <c r="NF7" s="280">
        <v>1214.2</v>
      </c>
      <c r="NG7" s="280">
        <v>1239.3</v>
      </c>
      <c r="NH7" s="280">
        <v>1264.2</v>
      </c>
      <c r="NI7" s="280">
        <v>1324.8</v>
      </c>
      <c r="NJ7" s="280">
        <v>1229.5</v>
      </c>
      <c r="NK7" s="280">
        <v>1227.0999999999999</v>
      </c>
      <c r="NL7" s="2" t="s">
        <v>14</v>
      </c>
      <c r="NM7" s="280">
        <v>1937.3</v>
      </c>
      <c r="NN7" s="280">
        <v>1910</v>
      </c>
      <c r="NO7" s="280">
        <v>1531.4</v>
      </c>
      <c r="NP7" s="280">
        <v>1878.9</v>
      </c>
      <c r="NQ7" s="280">
        <v>1910.7</v>
      </c>
      <c r="NR7" s="280">
        <v>1954.6</v>
      </c>
      <c r="NS7" s="280">
        <v>1606.6</v>
      </c>
      <c r="NT7" s="280">
        <v>1979.9</v>
      </c>
      <c r="NU7" s="280">
        <v>2077.9</v>
      </c>
      <c r="NV7" s="280">
        <v>2066.1</v>
      </c>
      <c r="NW7" s="2" t="s">
        <v>14</v>
      </c>
      <c r="NX7" s="280">
        <v>2314.6</v>
      </c>
      <c r="NY7" s="280">
        <v>2388.5</v>
      </c>
      <c r="NZ7" s="280">
        <v>2449.4</v>
      </c>
      <c r="OA7" s="280">
        <v>2435</v>
      </c>
      <c r="OB7" s="280">
        <v>2389.1999999999998</v>
      </c>
      <c r="OC7" s="280">
        <v>2420.9</v>
      </c>
      <c r="OD7" s="280">
        <v>2541.9</v>
      </c>
      <c r="OE7" s="280">
        <v>2480.1999999999998</v>
      </c>
      <c r="OF7" s="280">
        <v>2462.8000000000002</v>
      </c>
      <c r="OG7" s="280">
        <v>2490.9</v>
      </c>
      <c r="OH7" s="191" t="s">
        <v>14</v>
      </c>
      <c r="OI7" s="192">
        <v>11.1</v>
      </c>
      <c r="OJ7" s="192">
        <v>11.6</v>
      </c>
      <c r="OK7" s="192">
        <v>11.7</v>
      </c>
      <c r="OL7" s="192">
        <v>10.9</v>
      </c>
      <c r="OM7" s="192">
        <v>10.3</v>
      </c>
      <c r="ON7" s="192">
        <v>10.6</v>
      </c>
      <c r="OO7" s="192">
        <v>10.7</v>
      </c>
      <c r="OP7" s="192">
        <v>10</v>
      </c>
      <c r="OQ7" s="192">
        <v>9.6</v>
      </c>
      <c r="OR7" s="192">
        <v>9.8000000000000007</v>
      </c>
      <c r="OS7" s="2" t="s">
        <v>14</v>
      </c>
      <c r="OT7" s="340">
        <v>0.7</v>
      </c>
      <c r="OU7" s="340">
        <v>0.3</v>
      </c>
      <c r="OV7" s="340">
        <v>0.3</v>
      </c>
      <c r="OW7" s="340">
        <v>0.8</v>
      </c>
      <c r="OX7" s="340">
        <v>0.7</v>
      </c>
      <c r="OY7" s="340">
        <v>0.7</v>
      </c>
      <c r="OZ7" s="340">
        <v>0.7</v>
      </c>
      <c r="PA7" s="340">
        <v>0.7</v>
      </c>
      <c r="PB7" s="340">
        <v>0.4</v>
      </c>
      <c r="PC7" s="340">
        <v>0.4</v>
      </c>
      <c r="PE7" s="185">
        <f>E7-'[1]Data-temp_employment'!F7</f>
        <v>0.10000000000000142</v>
      </c>
      <c r="PF7" s="185">
        <f>F7-'[1]Data-temp_employment'!G7</f>
        <v>0.30000000000000071</v>
      </c>
      <c r="PG7" s="185">
        <f>O7-'[1]Data-temp_employment'!P7</f>
        <v>603.09999999999854</v>
      </c>
      <c r="PH7" s="185">
        <f>P7-'[1]Data-temp_employment'!Q7</f>
        <v>450.5</v>
      </c>
      <c r="PI7" s="185">
        <f>AD7-'[1]Data-temp_employment'!AE7</f>
        <v>32.700000000000045</v>
      </c>
      <c r="PJ7" s="185">
        <f>AE7-'[1]Data-temp_employment'!AF7</f>
        <v>51</v>
      </c>
      <c r="PK7" s="185">
        <f>BR7-'[1]Data-temp_employment'!BS7</f>
        <v>98</v>
      </c>
      <c r="PL7" s="185">
        <f>BS7-'[1]Data-temp_employment'!BT7</f>
        <v>3.0999999999996817</v>
      </c>
      <c r="PM7" s="185">
        <f>CC7-'[1]Data-temp_employment'!CD7</f>
        <v>-14.300000000000182</v>
      </c>
      <c r="PN7" s="185">
        <f>CD7-'[1]Data-temp_employment'!CE7</f>
        <v>-13.400000000000546</v>
      </c>
      <c r="PO7" s="185">
        <f>CR7-'[1]Data-temp_employment'!CS7</f>
        <v>264.19999999999982</v>
      </c>
      <c r="PP7" s="185">
        <f>CS7-'[1]Data-temp_employment'!CT7</f>
        <v>359.5</v>
      </c>
      <c r="PQ7" s="185">
        <f>DC7-'[1]Data-temp_employment'!DD7</f>
        <v>315.89999999999964</v>
      </c>
      <c r="PR7" s="185">
        <f>DD7-'[1]Data-temp_employment'!DE7</f>
        <v>415.89999999999964</v>
      </c>
      <c r="PS7" s="185">
        <f>DN7-'[1]Data-temp_employment'!DO7</f>
        <v>305.59999999999945</v>
      </c>
      <c r="PT7" s="185">
        <f>DO7-'[1]Data-temp_employment'!DP7</f>
        <v>290.39999999999964</v>
      </c>
      <c r="PU7" s="185">
        <f>EF7-'[1]Data-temp_employment'!EG7</f>
        <v>14</v>
      </c>
      <c r="PV7" s="185">
        <f>EG7-'[1]Data-temp_employment'!EH7</f>
        <v>24.5</v>
      </c>
      <c r="PW7" s="185">
        <f>EU7-'[1]Data-temp_employment'!EV7</f>
        <v>174.09999999999991</v>
      </c>
      <c r="PX7" s="185">
        <f>EV7-'[1]Data-temp_employment'!EW7</f>
        <v>104.29999999999973</v>
      </c>
      <c r="PY7" s="185">
        <f>FF7-'[1]Data-temp_employment'!FG7</f>
        <v>44.300000000000182</v>
      </c>
      <c r="PZ7" s="185">
        <f>FG7-'[1]Data-temp_employment'!FH7</f>
        <v>116.59999999999991</v>
      </c>
      <c r="QA7" s="185">
        <f>FQ7-'[1]Data-temp_employment'!FR7</f>
        <v>171.20000000000005</v>
      </c>
      <c r="QB7" s="185">
        <f>FR7-'[1]Data-temp_employment'!FS7</f>
        <v>134.40000000000009</v>
      </c>
      <c r="QC7" s="185">
        <f>GB7-'[1]Data-temp_employment'!GC7</f>
        <v>145.50000000000045</v>
      </c>
      <c r="QD7" s="185">
        <f>GC7-'[1]Data-temp_employment'!GD7</f>
        <v>220.39999999999964</v>
      </c>
      <c r="QE7" s="185">
        <f>GM7-'[1]Data-temp_employment'!GN7</f>
        <v>-2.3999999999999773</v>
      </c>
      <c r="QF7" s="185">
        <f>GN7-'[1]Data-temp_employment'!GO7</f>
        <v>24.399999999999977</v>
      </c>
      <c r="QG7" s="185">
        <f>GX7-'[1]Data-temp_employment'!GY7</f>
        <v>87.099999999999909</v>
      </c>
      <c r="QH7" s="185">
        <f>GY7-'[1]Data-temp_employment'!GZ7</f>
        <v>70.699999999999818</v>
      </c>
      <c r="QI7" s="185">
        <f>HI7-'[1]Data-temp_employment'!HJ7</f>
        <v>122.19999999999982</v>
      </c>
      <c r="QJ7" s="185">
        <f>HJ7-'[1]Data-temp_employment'!HK7</f>
        <v>144.40000000000009</v>
      </c>
      <c r="QK7" s="185">
        <f>HT7-'[1]Data-temp_employment'!HU7</f>
        <v>133.69999999999982</v>
      </c>
      <c r="QL7" s="185">
        <f>HU7-'[1]Data-temp_employment'!HV7</f>
        <v>242.60000000000036</v>
      </c>
      <c r="QM7" s="185">
        <f>IE7-'[1]Data-temp_employment'!IF7</f>
        <v>20.900000000000006</v>
      </c>
      <c r="QN7" s="185">
        <f>IF7-'[1]Data-temp_employment'!IG7</f>
        <v>3.4000000000000057</v>
      </c>
      <c r="QO7" s="185">
        <f>JA7-'[1]Data-temp_employment'!JB7</f>
        <v>10.299999999999955</v>
      </c>
      <c r="QP7" s="185">
        <f>JB7-'[1]Data-temp_employment'!JC7</f>
        <v>-20.199999999999932</v>
      </c>
      <c r="QQ7" s="185">
        <f>JH7-'[1]Data-temp_employment'!JI7</f>
        <v>15.399999999999636</v>
      </c>
      <c r="QR7" s="185">
        <f>JI7-'[1]Data-temp_employment'!JJ7</f>
        <v>28.800000000000182</v>
      </c>
      <c r="QS7" s="185">
        <f>JS7-'[1]Data-temp_employment'!JT7</f>
        <v>37.399999999999864</v>
      </c>
      <c r="QT7" s="185">
        <f>JT7-'[1]Data-temp_employment'!JU7</f>
        <v>12.200000000000045</v>
      </c>
      <c r="QU7" s="185">
        <f>KD7-'[1]Data-temp_employment'!KE7</f>
        <v>88.400000000000091</v>
      </c>
      <c r="QV7" s="185">
        <f>KE7-'[1]Data-temp_employment'!KF7</f>
        <v>48.099999999999909</v>
      </c>
      <c r="QW7" s="185">
        <f>KO7-'[1]Data-temp_employment'!KP7</f>
        <v>63.199999999999932</v>
      </c>
      <c r="QX7" s="185">
        <f>KP7-'[1]Data-temp_employment'!KQ7</f>
        <v>89.899999999999977</v>
      </c>
      <c r="QY7" s="185">
        <f>LD7-'[1]Data-temp_employment'!LE7</f>
        <v>84.700000000000045</v>
      </c>
      <c r="QZ7" s="185">
        <f>LE7-'[1]Data-temp_employment'!LF7</f>
        <v>177.60000000000014</v>
      </c>
      <c r="RA7" s="185">
        <f>LK7-'[1]Data-temp_employment'!LL7</f>
        <v>36.599999999999966</v>
      </c>
      <c r="RB7" s="185">
        <f>LL7-'[1]Data-temp_employment'!LM7</f>
        <v>26.299999999999955</v>
      </c>
      <c r="RC7" s="185">
        <f>LV7-'[1]Data-temp_employment'!LW7</f>
        <v>29.200000000000017</v>
      </c>
      <c r="RD7" s="185">
        <f>LW7-'[1]Data-temp_employment'!LX7</f>
        <v>31.899999999999977</v>
      </c>
      <c r="RE7" s="185">
        <f>MK7-'[1]Data-temp_employment'!ML7</f>
        <v>27.899999999999977</v>
      </c>
      <c r="RF7" s="185">
        <f>ML7-'[1]Data-temp_employment'!MM7</f>
        <v>52.700000000000045</v>
      </c>
      <c r="RG7" s="185">
        <f>MV7-'[1]Data-temp_employment'!MW7</f>
        <v>29</v>
      </c>
      <c r="RH7" s="185">
        <f>MW7-'[1]Data-temp_employment'!MX7</f>
        <v>18.599999999999909</v>
      </c>
      <c r="RI7" s="185">
        <f>NG7-'[1]Data-temp_employment'!NH7</f>
        <v>26.200000000000045</v>
      </c>
      <c r="RJ7" s="185">
        <f>NH7-'[1]Data-temp_employment'!NI7</f>
        <v>12.5</v>
      </c>
      <c r="RK7" s="185">
        <f>NR7-'[1]Data-temp_employment'!NS7</f>
        <v>45.699999999999818</v>
      </c>
      <c r="RL7" s="185">
        <f>NS7-'[1]Data-temp_employment'!NT7</f>
        <v>75.699999999999818</v>
      </c>
      <c r="RM7" s="185">
        <f>OC7-'[1]Data-temp_employment'!OD7</f>
        <v>34.800000000000182</v>
      </c>
      <c r="RN7" s="185">
        <f>OD7-'[1]Data-temp_employment'!OE7</f>
        <v>94.599999999999909</v>
      </c>
      <c r="RO7" s="185">
        <f>OU7-'[1]Data-temp_employment'!OV7</f>
        <v>-0.10000000000000003</v>
      </c>
      <c r="RP7" s="185">
        <f>OV7-'[1]Data-temp_employment'!OW7</f>
        <v>0</v>
      </c>
    </row>
    <row r="8" spans="1:484">
      <c r="A8">
        <v>5</v>
      </c>
      <c r="B8" s="128" t="s">
        <v>15</v>
      </c>
      <c r="C8" s="332">
        <v>15.1</v>
      </c>
      <c r="D8" s="332">
        <v>15.8</v>
      </c>
      <c r="E8" s="332">
        <v>16.2</v>
      </c>
      <c r="F8" s="332">
        <v>15.9</v>
      </c>
      <c r="G8" s="332">
        <v>15.4</v>
      </c>
      <c r="H8" s="332">
        <v>16.3</v>
      </c>
      <c r="I8" s="332">
        <v>16.7</v>
      </c>
      <c r="J8" s="332">
        <v>16.399999999999999</v>
      </c>
      <c r="K8" s="332">
        <v>15.8</v>
      </c>
      <c r="L8" s="332">
        <v>16.5</v>
      </c>
      <c r="M8" s="127" t="s">
        <v>15</v>
      </c>
      <c r="N8" s="332">
        <v>18009.400000000001</v>
      </c>
      <c r="O8" s="332">
        <v>19113.400000000001</v>
      </c>
      <c r="P8" s="332">
        <v>19743.599999999999</v>
      </c>
      <c r="Q8" s="332">
        <v>19439.400000000001</v>
      </c>
      <c r="R8" s="332">
        <v>18718.2</v>
      </c>
      <c r="S8" s="332">
        <v>19983.5</v>
      </c>
      <c r="T8" s="332">
        <v>20801.099999999999</v>
      </c>
      <c r="U8" s="332">
        <v>20332.599999999999</v>
      </c>
      <c r="V8" s="332">
        <v>19536.900000000001</v>
      </c>
      <c r="W8" s="332">
        <v>20602.099999999999</v>
      </c>
      <c r="X8" s="120" t="s">
        <v>15</v>
      </c>
      <c r="Y8" s="332">
        <v>927.7</v>
      </c>
      <c r="Z8" s="332">
        <v>1040.2</v>
      </c>
      <c r="AA8" s="332">
        <v>1070.8</v>
      </c>
      <c r="AB8" s="332">
        <v>1019.4</v>
      </c>
      <c r="AC8" s="332">
        <v>1008.2</v>
      </c>
      <c r="AD8" s="332">
        <v>1073.2</v>
      </c>
      <c r="AE8" s="332">
        <v>1121.2</v>
      </c>
      <c r="AF8" s="332">
        <v>1074.9000000000001</v>
      </c>
      <c r="AG8" s="332">
        <v>982.7</v>
      </c>
      <c r="AH8" s="332">
        <v>1088.2</v>
      </c>
      <c r="AI8" s="119" t="s">
        <v>15</v>
      </c>
      <c r="AJ8" s="332">
        <v>1734.5</v>
      </c>
      <c r="AK8" s="332">
        <v>1963</v>
      </c>
      <c r="AL8" s="332">
        <v>2719.4</v>
      </c>
      <c r="AM8" s="332">
        <v>2115.9</v>
      </c>
      <c r="AN8" s="332">
        <v>1827.8</v>
      </c>
      <c r="AO8" s="332">
        <v>2115.9</v>
      </c>
      <c r="AP8" s="332">
        <v>2937.7</v>
      </c>
      <c r="AQ8" s="332">
        <v>2253.6999999999998</v>
      </c>
      <c r="AR8" s="332">
        <v>1920.8</v>
      </c>
      <c r="AS8" s="332">
        <v>2212.5</v>
      </c>
      <c r="AT8" s="119" t="s">
        <v>15</v>
      </c>
      <c r="AU8" s="332">
        <v>2690.2</v>
      </c>
      <c r="AV8" s="332">
        <v>3111.2</v>
      </c>
      <c r="AW8" s="332">
        <v>3237</v>
      </c>
      <c r="AX8" s="332">
        <v>2864</v>
      </c>
      <c r="AY8" s="332">
        <v>2715.9</v>
      </c>
      <c r="AZ8" s="332">
        <v>3228.7</v>
      </c>
      <c r="BA8" s="332">
        <v>3537.8</v>
      </c>
      <c r="BB8" s="332">
        <v>3144.6</v>
      </c>
      <c r="BC8" s="332">
        <v>2975.3</v>
      </c>
      <c r="BD8" s="332">
        <v>3389.5</v>
      </c>
      <c r="BE8" s="119" t="s">
        <v>15</v>
      </c>
      <c r="BF8" s="280">
        <v>4680.7</v>
      </c>
      <c r="BG8" s="280">
        <v>4757.3999999999996</v>
      </c>
      <c r="BH8" s="280">
        <v>4500.3999999999996</v>
      </c>
      <c r="BI8" s="280">
        <v>4781.3</v>
      </c>
      <c r="BJ8" s="280">
        <v>4778.1000000000004</v>
      </c>
      <c r="BK8" s="280">
        <v>5063.6000000000004</v>
      </c>
      <c r="BL8" s="280">
        <v>4783.8</v>
      </c>
      <c r="BM8" s="280">
        <v>5123.6000000000004</v>
      </c>
      <c r="BN8" s="280">
        <v>5055.1000000000004</v>
      </c>
      <c r="BO8" s="280">
        <v>5320</v>
      </c>
      <c r="BP8" s="6" t="s">
        <v>15</v>
      </c>
      <c r="BQ8" s="7">
        <v>1688.5</v>
      </c>
      <c r="BR8" s="7">
        <v>1725.1999999999998</v>
      </c>
      <c r="BS8" s="7">
        <v>1702.8</v>
      </c>
      <c r="BT8" s="7">
        <v>1793.8</v>
      </c>
      <c r="BU8" s="7">
        <v>1711.2</v>
      </c>
      <c r="BV8" s="7">
        <v>1742.8</v>
      </c>
      <c r="BW8" s="7">
        <v>1770.1000000000001</v>
      </c>
      <c r="BX8" s="7">
        <v>1749.8000000000002</v>
      </c>
      <c r="BY8" s="7">
        <v>1696.3</v>
      </c>
      <c r="BZ8" s="7">
        <v>1728.3000000000002</v>
      </c>
      <c r="CA8" s="6" t="s">
        <v>15</v>
      </c>
      <c r="CB8" s="7">
        <v>2919.2</v>
      </c>
      <c r="CC8" s="7">
        <v>2871</v>
      </c>
      <c r="CD8" s="7">
        <v>2919.1</v>
      </c>
      <c r="CE8" s="7">
        <v>3137.4</v>
      </c>
      <c r="CF8" s="7">
        <v>2973.4</v>
      </c>
      <c r="CG8" s="7">
        <v>2945.8</v>
      </c>
      <c r="CH8" s="7">
        <v>2970</v>
      </c>
      <c r="CI8" s="7">
        <v>3104.3</v>
      </c>
      <c r="CJ8" s="7">
        <v>3090.3999999999996</v>
      </c>
      <c r="CK8" s="7">
        <v>2984.1</v>
      </c>
      <c r="CL8" s="129" t="s">
        <v>15</v>
      </c>
      <c r="CM8" s="280">
        <v>5392.4</v>
      </c>
      <c r="CN8" s="280">
        <v>5773.5</v>
      </c>
      <c r="CO8" s="280">
        <v>5993.2</v>
      </c>
      <c r="CP8" s="280">
        <v>5919.6</v>
      </c>
      <c r="CQ8" s="280">
        <v>5559.2</v>
      </c>
      <c r="CR8" s="280">
        <v>6035.8</v>
      </c>
      <c r="CS8" s="280">
        <v>6344</v>
      </c>
      <c r="CT8" s="280">
        <v>6108.1</v>
      </c>
      <c r="CU8" s="280">
        <v>5843.7</v>
      </c>
      <c r="CV8" s="280">
        <v>6243.8</v>
      </c>
      <c r="CW8" s="130" t="s">
        <v>15</v>
      </c>
      <c r="CX8" s="280">
        <v>7424.4</v>
      </c>
      <c r="CY8" s="280">
        <v>7989.1</v>
      </c>
      <c r="CZ8" s="280">
        <v>8328.7999999999993</v>
      </c>
      <c r="DA8" s="280">
        <v>8039.2</v>
      </c>
      <c r="DB8" s="280">
        <v>7740.5</v>
      </c>
      <c r="DC8" s="280">
        <v>8291.7000000000007</v>
      </c>
      <c r="DD8" s="280">
        <v>8735.6</v>
      </c>
      <c r="DE8" s="280">
        <v>8410.7999999999993</v>
      </c>
      <c r="DF8" s="280">
        <v>8009.9</v>
      </c>
      <c r="DG8" s="280">
        <v>8456.2999999999993</v>
      </c>
      <c r="DH8" s="131" t="s">
        <v>15</v>
      </c>
      <c r="DI8" s="280">
        <v>5144.5</v>
      </c>
      <c r="DJ8" s="280">
        <v>5300.6</v>
      </c>
      <c r="DK8" s="280">
        <v>5369.4</v>
      </c>
      <c r="DL8" s="280">
        <v>5430.5</v>
      </c>
      <c r="DM8" s="280">
        <v>5359.5</v>
      </c>
      <c r="DN8" s="280">
        <v>5602.7</v>
      </c>
      <c r="DO8" s="280">
        <v>5657.3</v>
      </c>
      <c r="DP8" s="280">
        <v>5746.6</v>
      </c>
      <c r="DQ8" s="280">
        <v>5619.8</v>
      </c>
      <c r="DR8" s="280">
        <v>5848</v>
      </c>
      <c r="DS8" s="132" t="s">
        <v>15</v>
      </c>
      <c r="DT8" s="280">
        <v>48.1</v>
      </c>
      <c r="DU8" s="280">
        <v>50.3</v>
      </c>
      <c r="DV8" s="280">
        <v>52.2</v>
      </c>
      <c r="DW8" s="280">
        <v>50.2</v>
      </c>
      <c r="DX8" s="280">
        <v>59</v>
      </c>
      <c r="DY8" s="280">
        <v>53.4</v>
      </c>
      <c r="DZ8" s="280">
        <v>64.2</v>
      </c>
      <c r="EA8" s="280">
        <v>67.099999999999994</v>
      </c>
      <c r="EB8" s="280">
        <v>63.4</v>
      </c>
      <c r="EC8" s="280">
        <v>53.9</v>
      </c>
      <c r="ED8" s="2" t="s">
        <v>15</v>
      </c>
      <c r="EE8" s="280">
        <v>199.6</v>
      </c>
      <c r="EF8" s="280">
        <v>211.1</v>
      </c>
      <c r="EG8" s="280">
        <v>217.6</v>
      </c>
      <c r="EH8" s="280">
        <v>214</v>
      </c>
      <c r="EI8" s="280">
        <v>195.2</v>
      </c>
      <c r="EJ8" s="280">
        <v>194.5</v>
      </c>
      <c r="EK8" s="280">
        <v>220.6</v>
      </c>
      <c r="EL8" s="280">
        <v>211.3</v>
      </c>
      <c r="EM8" s="280">
        <v>187.8</v>
      </c>
      <c r="EN8" s="280">
        <v>175.2</v>
      </c>
      <c r="EO8" s="2" t="s">
        <v>15</v>
      </c>
      <c r="EP8" s="280">
        <v>2891.3</v>
      </c>
      <c r="EQ8" s="280">
        <v>2928.3</v>
      </c>
      <c r="ER8" s="280">
        <v>2756.1</v>
      </c>
      <c r="ES8" s="280">
        <v>3021.8</v>
      </c>
      <c r="ET8" s="280">
        <v>3000.6</v>
      </c>
      <c r="EU8" s="280">
        <v>3101</v>
      </c>
      <c r="EV8" s="280">
        <v>2858.3</v>
      </c>
      <c r="EW8" s="280">
        <v>3149.3</v>
      </c>
      <c r="EX8" s="280">
        <v>3157</v>
      </c>
      <c r="EY8" s="280">
        <v>3217.9</v>
      </c>
      <c r="EZ8" s="2" t="s">
        <v>15</v>
      </c>
      <c r="FA8" s="280">
        <v>2640.7</v>
      </c>
      <c r="FB8" s="280">
        <v>2708.1</v>
      </c>
      <c r="FC8" s="280">
        <v>2656</v>
      </c>
      <c r="FD8" s="280">
        <v>2701.4</v>
      </c>
      <c r="FE8" s="280">
        <v>2735.3</v>
      </c>
      <c r="FF8" s="280">
        <v>2749.9</v>
      </c>
      <c r="FG8" s="280">
        <v>2771.8</v>
      </c>
      <c r="FH8" s="280">
        <v>2875.8</v>
      </c>
      <c r="FI8" s="280">
        <v>2804.1</v>
      </c>
      <c r="FJ8" s="280">
        <v>2835.6</v>
      </c>
      <c r="FK8" s="2" t="s">
        <v>15</v>
      </c>
      <c r="FL8" s="280">
        <v>1794.4</v>
      </c>
      <c r="FM8" s="280">
        <v>1859.5</v>
      </c>
      <c r="FN8" s="280">
        <v>1985</v>
      </c>
      <c r="FO8" s="280">
        <v>1939.3</v>
      </c>
      <c r="FP8" s="280">
        <v>1866.8</v>
      </c>
      <c r="FQ8" s="280">
        <v>2027.5</v>
      </c>
      <c r="FR8" s="280">
        <v>2117.8000000000002</v>
      </c>
      <c r="FS8" s="280">
        <v>2023.1</v>
      </c>
      <c r="FT8" s="280">
        <v>1971</v>
      </c>
      <c r="FU8" s="280">
        <v>2095.6</v>
      </c>
      <c r="FV8" s="2" t="s">
        <v>15</v>
      </c>
      <c r="FW8" s="280">
        <v>3594.3</v>
      </c>
      <c r="FX8" s="280">
        <v>4062.6</v>
      </c>
      <c r="FY8" s="280">
        <v>4360.1000000000004</v>
      </c>
      <c r="FZ8" s="280">
        <v>3937.9</v>
      </c>
      <c r="GA8" s="280">
        <v>3767.1</v>
      </c>
      <c r="GB8" s="280">
        <v>4196.3999999999996</v>
      </c>
      <c r="GC8" s="280">
        <v>4569.6000000000004</v>
      </c>
      <c r="GD8" s="280">
        <v>4069.6</v>
      </c>
      <c r="GE8" s="280">
        <v>3904.6</v>
      </c>
      <c r="GF8" s="280">
        <v>4216.5</v>
      </c>
      <c r="GG8" s="2" t="s">
        <v>15</v>
      </c>
      <c r="GH8" s="280">
        <v>325.7</v>
      </c>
      <c r="GI8" s="280">
        <v>371.6</v>
      </c>
      <c r="GJ8" s="280">
        <v>369.4</v>
      </c>
      <c r="GK8" s="280">
        <v>319.5</v>
      </c>
      <c r="GL8" s="280">
        <v>325.7</v>
      </c>
      <c r="GM8" s="280">
        <v>368.4</v>
      </c>
      <c r="GN8" s="280">
        <v>393.9</v>
      </c>
      <c r="GO8" s="280">
        <v>333.5</v>
      </c>
      <c r="GP8" s="280">
        <v>313.2</v>
      </c>
      <c r="GQ8" s="280">
        <v>390</v>
      </c>
      <c r="GR8" s="2" t="s">
        <v>15</v>
      </c>
      <c r="GS8" s="280">
        <v>2157.4</v>
      </c>
      <c r="GT8" s="280">
        <v>2215.1999999999998</v>
      </c>
      <c r="GU8" s="280">
        <v>2307.6</v>
      </c>
      <c r="GV8" s="280">
        <v>2370.9</v>
      </c>
      <c r="GW8" s="280">
        <v>2174.6999999999998</v>
      </c>
      <c r="GX8" s="280">
        <v>2304.1999999999998</v>
      </c>
      <c r="GY8" s="280">
        <v>2377.5</v>
      </c>
      <c r="GZ8" s="280">
        <v>2414.3000000000002</v>
      </c>
      <c r="HA8" s="280">
        <v>2270.6</v>
      </c>
      <c r="HB8" s="280">
        <v>2402.6</v>
      </c>
      <c r="HC8" s="2" t="s">
        <v>15</v>
      </c>
      <c r="HD8" s="280">
        <v>1251.2</v>
      </c>
      <c r="HE8" s="280">
        <v>1339</v>
      </c>
      <c r="HF8" s="280">
        <v>1448.7</v>
      </c>
      <c r="HG8" s="280">
        <v>1409.2</v>
      </c>
      <c r="HH8" s="280">
        <v>1302.2</v>
      </c>
      <c r="HI8" s="280">
        <v>1459.9</v>
      </c>
      <c r="HJ8" s="280">
        <v>1591.3</v>
      </c>
      <c r="HK8" s="280">
        <v>1539.6</v>
      </c>
      <c r="HL8" s="280">
        <v>1473.3</v>
      </c>
      <c r="HM8" s="280">
        <v>1558.7</v>
      </c>
      <c r="HN8" s="279" t="s">
        <v>15</v>
      </c>
      <c r="HO8" s="280">
        <v>2953</v>
      </c>
      <c r="HP8" s="280">
        <v>3229.7</v>
      </c>
      <c r="HQ8" s="280">
        <v>3453.4</v>
      </c>
      <c r="HR8" s="280">
        <v>3300.7</v>
      </c>
      <c r="HS8" s="280">
        <v>3139.4</v>
      </c>
      <c r="HT8" s="280">
        <v>3364</v>
      </c>
      <c r="HU8" s="280">
        <v>3694</v>
      </c>
      <c r="HV8" s="280">
        <v>3487.8</v>
      </c>
      <c r="HW8" s="280">
        <v>3233.6</v>
      </c>
      <c r="HX8" s="280">
        <v>3504</v>
      </c>
      <c r="HY8" s="2" t="s">
        <v>15</v>
      </c>
      <c r="HZ8" s="280">
        <v>153.4</v>
      </c>
      <c r="IA8" s="280">
        <v>144.30000000000001</v>
      </c>
      <c r="IB8" s="280">
        <v>138.1</v>
      </c>
      <c r="IC8" s="280">
        <v>171.4</v>
      </c>
      <c r="ID8" s="280">
        <v>164.4</v>
      </c>
      <c r="IE8" s="280">
        <v>165.3</v>
      </c>
      <c r="IF8" s="280">
        <v>141.80000000000001</v>
      </c>
      <c r="IG8" s="280">
        <v>169.4</v>
      </c>
      <c r="IH8" s="280">
        <v>176.1</v>
      </c>
      <c r="II8" s="280">
        <v>153</v>
      </c>
      <c r="IJ8" s="2" t="s">
        <v>15</v>
      </c>
      <c r="IK8" s="280">
        <v>48.5</v>
      </c>
      <c r="IL8" s="280">
        <v>44.1</v>
      </c>
      <c r="IM8" s="280">
        <v>51.5</v>
      </c>
      <c r="IN8" s="280">
        <v>53.2</v>
      </c>
      <c r="IO8" s="280">
        <v>46.9</v>
      </c>
      <c r="IP8" s="280">
        <v>52.5</v>
      </c>
      <c r="IQ8" s="280">
        <v>64.400000000000006</v>
      </c>
      <c r="IR8" s="280">
        <v>58.9</v>
      </c>
      <c r="IS8" s="280">
        <v>45.5</v>
      </c>
      <c r="IT8" s="280">
        <v>53.1</v>
      </c>
      <c r="IU8" s="2" t="s">
        <v>15</v>
      </c>
      <c r="IV8" s="280">
        <v>724.9</v>
      </c>
      <c r="IW8" s="280">
        <v>777.4</v>
      </c>
      <c r="IX8" s="280">
        <v>804.6</v>
      </c>
      <c r="IY8" s="280">
        <v>793.4</v>
      </c>
      <c r="IZ8" s="280">
        <v>732.1</v>
      </c>
      <c r="JA8" s="280">
        <v>787.6</v>
      </c>
      <c r="JB8" s="280">
        <v>784.1</v>
      </c>
      <c r="JC8" s="280">
        <v>809.3</v>
      </c>
      <c r="JD8" s="280">
        <v>742.3</v>
      </c>
      <c r="JE8" s="280">
        <v>821.5</v>
      </c>
      <c r="JF8" s="2" t="s">
        <v>15</v>
      </c>
      <c r="JG8" s="280">
        <v>2347.6</v>
      </c>
      <c r="JH8" s="280">
        <v>2462.1999999999998</v>
      </c>
      <c r="JI8" s="280">
        <v>2629.2</v>
      </c>
      <c r="JJ8" s="280">
        <v>2657.1</v>
      </c>
      <c r="JK8" s="280">
        <v>2535.8000000000002</v>
      </c>
      <c r="JL8" s="280">
        <v>2614.6999999999998</v>
      </c>
      <c r="JM8" s="280">
        <v>2770.3</v>
      </c>
      <c r="JN8" s="280">
        <v>2752.6</v>
      </c>
      <c r="JO8" s="280">
        <v>2616.5</v>
      </c>
      <c r="JP8" s="280">
        <v>2794.5</v>
      </c>
      <c r="JQ8" s="2" t="s">
        <v>15</v>
      </c>
      <c r="JR8" s="280">
        <v>1057.4000000000001</v>
      </c>
      <c r="JS8" s="280">
        <v>1175.5</v>
      </c>
      <c r="JT8" s="280">
        <v>1180</v>
      </c>
      <c r="JU8" s="280">
        <v>1188.0999999999999</v>
      </c>
      <c r="JV8" s="280">
        <v>1118.3</v>
      </c>
      <c r="JW8" s="280">
        <v>1244.0999999999999</v>
      </c>
      <c r="JX8" s="280">
        <v>1238.2</v>
      </c>
      <c r="JY8" s="280">
        <v>1247.8</v>
      </c>
      <c r="JZ8" s="280">
        <v>1166.9000000000001</v>
      </c>
      <c r="KA8" s="280">
        <v>1274.9000000000001</v>
      </c>
      <c r="KB8" s="2" t="s">
        <v>15</v>
      </c>
      <c r="KC8" s="280">
        <v>2267.6</v>
      </c>
      <c r="KD8" s="280">
        <v>2347.6</v>
      </c>
      <c r="KE8" s="280">
        <v>2513.5</v>
      </c>
      <c r="KF8" s="280">
        <v>2524.3000000000002</v>
      </c>
      <c r="KG8" s="280">
        <v>2390.5</v>
      </c>
      <c r="KH8" s="280">
        <v>2471.5</v>
      </c>
      <c r="KI8" s="280">
        <v>2709.9</v>
      </c>
      <c r="KJ8" s="280">
        <v>2632.2</v>
      </c>
      <c r="KK8" s="280">
        <v>2526.6</v>
      </c>
      <c r="KL8" s="280">
        <v>2602</v>
      </c>
      <c r="KM8" s="2" t="s">
        <v>15</v>
      </c>
      <c r="KN8" s="280">
        <v>774.7</v>
      </c>
      <c r="KO8" s="280">
        <v>790</v>
      </c>
      <c r="KP8" s="280">
        <v>842.2</v>
      </c>
      <c r="KQ8" s="280">
        <v>825.7</v>
      </c>
      <c r="KR8" s="280">
        <v>775.6</v>
      </c>
      <c r="KS8" s="280">
        <v>839.2</v>
      </c>
      <c r="KT8" s="280">
        <v>910.5</v>
      </c>
      <c r="KU8" s="280">
        <v>931.4</v>
      </c>
      <c r="KV8" s="280">
        <v>877.6</v>
      </c>
      <c r="KW8" s="280">
        <v>853.5</v>
      </c>
      <c r="KX8" s="2" t="s">
        <v>15</v>
      </c>
      <c r="KY8" s="280">
        <v>1336.1</v>
      </c>
      <c r="KZ8" s="280">
        <v>1714.1</v>
      </c>
      <c r="LA8" s="280">
        <v>1948.5</v>
      </c>
      <c r="LB8" s="280">
        <v>1478.7</v>
      </c>
      <c r="LC8" s="280">
        <v>1368.4</v>
      </c>
      <c r="LD8" s="280">
        <v>1793.8</v>
      </c>
      <c r="LE8" s="280">
        <v>2120.1999999999998</v>
      </c>
      <c r="LF8" s="280">
        <v>1582.7</v>
      </c>
      <c r="LG8" s="280">
        <v>1471</v>
      </c>
      <c r="LH8" s="280">
        <v>1858.6</v>
      </c>
      <c r="LI8" s="2" t="s">
        <v>15</v>
      </c>
      <c r="LJ8" s="280">
        <v>399.7</v>
      </c>
      <c r="LK8" s="280">
        <v>411.9</v>
      </c>
      <c r="LL8" s="280">
        <v>413.2</v>
      </c>
      <c r="LM8" s="280">
        <v>425.9</v>
      </c>
      <c r="LN8" s="280">
        <v>419.6</v>
      </c>
      <c r="LO8" s="280">
        <v>438.1</v>
      </c>
      <c r="LP8" s="280">
        <v>448.2</v>
      </c>
      <c r="LQ8" s="280">
        <v>434</v>
      </c>
      <c r="LR8" s="280">
        <v>439.8</v>
      </c>
      <c r="LS8" s="280">
        <v>424.5</v>
      </c>
      <c r="LT8" s="2" t="s">
        <v>15</v>
      </c>
      <c r="LU8" s="280">
        <v>244.3</v>
      </c>
      <c r="LV8" s="280">
        <v>276.3</v>
      </c>
      <c r="LW8" s="280">
        <v>296.39999999999998</v>
      </c>
      <c r="LX8" s="280">
        <v>274.39999999999998</v>
      </c>
      <c r="LY8" s="280">
        <v>252.2</v>
      </c>
      <c r="LZ8" s="280">
        <v>294</v>
      </c>
      <c r="MA8" s="280">
        <v>266.89999999999998</v>
      </c>
      <c r="MB8" s="280">
        <v>255.3</v>
      </c>
      <c r="MC8" s="280">
        <v>265.7</v>
      </c>
      <c r="MD8" s="280">
        <v>265.5</v>
      </c>
      <c r="ME8" s="2" t="s">
        <v>15</v>
      </c>
      <c r="MF8" s="280">
        <v>688.6</v>
      </c>
      <c r="MG8" s="280">
        <v>727.1</v>
      </c>
      <c r="MH8" s="280">
        <v>736</v>
      </c>
      <c r="MI8" s="280">
        <v>752.4</v>
      </c>
      <c r="MJ8" s="280">
        <v>690.8</v>
      </c>
      <c r="MK8" s="280">
        <v>754.1</v>
      </c>
      <c r="ML8" s="280">
        <v>787.2</v>
      </c>
      <c r="MM8" s="280">
        <v>740.7</v>
      </c>
      <c r="MN8" s="280">
        <v>707.7</v>
      </c>
      <c r="MO8" s="280">
        <v>745.9</v>
      </c>
      <c r="MP8" s="2" t="s">
        <v>15</v>
      </c>
      <c r="MQ8" s="280">
        <v>950.3</v>
      </c>
      <c r="MR8" s="280">
        <v>1037.5999999999999</v>
      </c>
      <c r="MS8" s="280">
        <v>1135.9000000000001</v>
      </c>
      <c r="MT8" s="280">
        <v>1053.5</v>
      </c>
      <c r="MU8" s="280">
        <v>991.1</v>
      </c>
      <c r="MV8" s="280">
        <v>1065.7</v>
      </c>
      <c r="MW8" s="280">
        <v>1152.3</v>
      </c>
      <c r="MX8" s="280">
        <v>1067.5999999999999</v>
      </c>
      <c r="MY8" s="280">
        <v>1008.4</v>
      </c>
      <c r="MZ8" s="280">
        <v>1119</v>
      </c>
      <c r="NA8" s="2" t="s">
        <v>15</v>
      </c>
      <c r="NB8" s="280">
        <v>1196.7</v>
      </c>
      <c r="NC8" s="280">
        <v>1210.2</v>
      </c>
      <c r="ND8" s="280">
        <v>1249.3</v>
      </c>
      <c r="NE8" s="280">
        <v>1240.2</v>
      </c>
      <c r="NF8" s="280">
        <v>1212.8</v>
      </c>
      <c r="NG8" s="280">
        <v>1238.5</v>
      </c>
      <c r="NH8" s="280">
        <v>1263.5999999999999</v>
      </c>
      <c r="NI8" s="280">
        <v>1323.3</v>
      </c>
      <c r="NJ8" s="280">
        <v>1229</v>
      </c>
      <c r="NK8" s="280">
        <v>1225.4000000000001</v>
      </c>
      <c r="NL8" s="2" t="s">
        <v>15</v>
      </c>
      <c r="NM8" s="280">
        <v>1935.7</v>
      </c>
      <c r="NN8" s="280">
        <v>1908.6</v>
      </c>
      <c r="NO8" s="280">
        <v>1530.5</v>
      </c>
      <c r="NP8" s="280">
        <v>1878</v>
      </c>
      <c r="NQ8" s="280">
        <v>1909.8</v>
      </c>
      <c r="NR8" s="280">
        <v>1953.4</v>
      </c>
      <c r="NS8" s="280">
        <v>1606.2</v>
      </c>
      <c r="NT8" s="280">
        <v>1979.4</v>
      </c>
      <c r="NU8" s="280">
        <v>2077.3000000000002</v>
      </c>
      <c r="NV8" s="280">
        <v>2065.8000000000002</v>
      </c>
      <c r="NW8" s="2" t="s">
        <v>15</v>
      </c>
      <c r="NX8" s="280">
        <v>2312.9</v>
      </c>
      <c r="NY8" s="280">
        <v>2387.1999999999998</v>
      </c>
      <c r="NZ8" s="280">
        <v>2448.1</v>
      </c>
      <c r="OA8" s="280">
        <v>2434.6</v>
      </c>
      <c r="OB8" s="280">
        <v>2387.9</v>
      </c>
      <c r="OC8" s="280">
        <v>2418.6999999999998</v>
      </c>
      <c r="OD8" s="280">
        <v>2541.5</v>
      </c>
      <c r="OE8" s="280">
        <v>2479.6999999999998</v>
      </c>
      <c r="OF8" s="280">
        <v>2461.6999999999998</v>
      </c>
      <c r="OG8" s="280">
        <v>2490.5</v>
      </c>
      <c r="OH8" s="191" t="s">
        <v>15</v>
      </c>
      <c r="OI8" s="192">
        <v>11.1</v>
      </c>
      <c r="OJ8" s="192">
        <v>11.6</v>
      </c>
      <c r="OK8" s="192">
        <v>11.7</v>
      </c>
      <c r="OL8" s="192">
        <v>10.9</v>
      </c>
      <c r="OM8" s="192">
        <v>10.3</v>
      </c>
      <c r="ON8" s="192">
        <v>10.6</v>
      </c>
      <c r="OO8" s="192">
        <v>10.7</v>
      </c>
      <c r="OP8" s="192">
        <v>10</v>
      </c>
      <c r="OQ8" s="192">
        <v>9.6</v>
      </c>
      <c r="OR8" s="192">
        <v>9.8000000000000007</v>
      </c>
      <c r="OS8" s="134" t="s">
        <v>15</v>
      </c>
      <c r="OT8" s="340">
        <v>0.7</v>
      </c>
      <c r="OU8" s="340">
        <v>0.3</v>
      </c>
      <c r="OV8" s="340">
        <v>0.3</v>
      </c>
      <c r="OW8" s="340">
        <v>0.8</v>
      </c>
      <c r="OX8" s="340">
        <v>0.7</v>
      </c>
      <c r="OY8" s="340">
        <v>0.7</v>
      </c>
      <c r="OZ8" s="340">
        <v>0.7</v>
      </c>
      <c r="PA8" s="340">
        <v>0.7</v>
      </c>
      <c r="PB8" s="340">
        <v>0.4</v>
      </c>
      <c r="PC8" s="340">
        <v>0.4</v>
      </c>
      <c r="PE8" s="185">
        <f>E8-'[1]Data-temp_employment'!F8</f>
        <v>9.9999999999997868E-2</v>
      </c>
      <c r="PF8" s="185">
        <f>F8-'[1]Data-temp_employment'!G8</f>
        <v>0.30000000000000071</v>
      </c>
      <c r="PG8" s="185">
        <f>O8-'[1]Data-temp_employment'!P8</f>
        <v>598.40000000000146</v>
      </c>
      <c r="PH8" s="185">
        <f>P8-'[1]Data-temp_employment'!Q8</f>
        <v>451.59999999999854</v>
      </c>
      <c r="PI8" s="185">
        <f>AD8-'[1]Data-temp_employment'!AE8</f>
        <v>33.600000000000136</v>
      </c>
      <c r="PJ8" s="185">
        <f>AE8-'[1]Data-temp_employment'!AF8</f>
        <v>51.100000000000136</v>
      </c>
      <c r="PK8" s="185">
        <f>BR8-'[1]Data-temp_employment'!BS8</f>
        <v>97.599999999999909</v>
      </c>
      <c r="PL8" s="185">
        <f>BS8-'[1]Data-temp_employment'!BT8</f>
        <v>2.8999999999998636</v>
      </c>
      <c r="PM8" s="185">
        <f>CC8-'[1]Data-temp_employment'!CD8</f>
        <v>-13.600000000000364</v>
      </c>
      <c r="PN8" s="185">
        <f>CD8-'[1]Data-temp_employment'!CE8</f>
        <v>-13.099999999999909</v>
      </c>
      <c r="PO8" s="185">
        <f>CR8-'[1]Data-temp_employment'!CS8</f>
        <v>267.10000000000036</v>
      </c>
      <c r="PP8" s="185">
        <f>CS8-'[1]Data-temp_employment'!CT8</f>
        <v>358.69999999999982</v>
      </c>
      <c r="PQ8" s="185">
        <f>DC8-'[1]Data-temp_employment'!DD8</f>
        <v>318.00000000000091</v>
      </c>
      <c r="PR8" s="185">
        <f>DD8-'[1]Data-temp_employment'!DE8</f>
        <v>420.5</v>
      </c>
      <c r="PS8" s="185">
        <f>DN8-'[1]Data-temp_employment'!DO8</f>
        <v>307.30000000000018</v>
      </c>
      <c r="PT8" s="185">
        <f>DO8-'[1]Data-temp_employment'!DP8</f>
        <v>291.90000000000055</v>
      </c>
      <c r="PU8" s="185">
        <f>EF8-'[1]Data-temp_employment'!EG8</f>
        <v>14.099999999999994</v>
      </c>
      <c r="PV8" s="185">
        <f>EG8-'[1]Data-temp_employment'!EH8</f>
        <v>25.199999999999989</v>
      </c>
      <c r="PW8" s="185">
        <f>EU8-'[1]Data-temp_employment'!EV8</f>
        <v>174.59999999999991</v>
      </c>
      <c r="PX8" s="185">
        <f>EV8-'[1]Data-temp_employment'!EW8</f>
        <v>105.10000000000036</v>
      </c>
      <c r="PY8" s="185">
        <f>FF8-'[1]Data-temp_employment'!FG8</f>
        <v>43.700000000000273</v>
      </c>
      <c r="PZ8" s="185">
        <f>FG8-'[1]Data-temp_employment'!FH8</f>
        <v>117</v>
      </c>
      <c r="QA8" s="185">
        <f>FQ8-'[1]Data-temp_employment'!FR8</f>
        <v>170.70000000000005</v>
      </c>
      <c r="QB8" s="185">
        <f>FR8-'[1]Data-temp_employment'!FS8</f>
        <v>134.60000000000014</v>
      </c>
      <c r="QC8" s="185">
        <f>GB8-'[1]Data-temp_employment'!GC8</f>
        <v>147.19999999999982</v>
      </c>
      <c r="QD8" s="185">
        <f>GC8-'[1]Data-temp_employment'!GD8</f>
        <v>222</v>
      </c>
      <c r="QE8" s="185">
        <f>GM8-'[1]Data-temp_employment'!GN8</f>
        <v>-2.6000000000000227</v>
      </c>
      <c r="QF8" s="185">
        <f>GN8-'[1]Data-temp_employment'!GO8</f>
        <v>24.899999999999977</v>
      </c>
      <c r="QG8" s="185">
        <f>GX8-'[1]Data-temp_employment'!GY8</f>
        <v>89.599999999999909</v>
      </c>
      <c r="QH8" s="185">
        <f>GY8-'[1]Data-temp_employment'!GZ8</f>
        <v>71</v>
      </c>
      <c r="QI8" s="185">
        <f>HI8-'[1]Data-temp_employment'!HJ8</f>
        <v>121.60000000000014</v>
      </c>
      <c r="QJ8" s="185">
        <f>HJ8-'[1]Data-temp_employment'!HK8</f>
        <v>143.09999999999991</v>
      </c>
      <c r="QK8" s="185">
        <f>HT8-'[1]Data-temp_employment'!HU8</f>
        <v>137.69999999999982</v>
      </c>
      <c r="QL8" s="185">
        <f>HU8-'[1]Data-temp_employment'!HV8</f>
        <v>244.69999999999982</v>
      </c>
      <c r="QM8" s="185">
        <f>IE8-'[1]Data-temp_employment'!IF8</f>
        <v>21</v>
      </c>
      <c r="QN8" s="185">
        <f>IF8-'[1]Data-temp_employment'!IG8</f>
        <v>3.7000000000000171</v>
      </c>
      <c r="QO8" s="185">
        <f>JA8-'[1]Data-temp_employment'!JB8</f>
        <v>10.399999999999977</v>
      </c>
      <c r="QP8" s="185">
        <f>JB8-'[1]Data-temp_employment'!JC8</f>
        <v>-20.100000000000023</v>
      </c>
      <c r="QQ8" s="185">
        <f>JH8-'[1]Data-temp_employment'!JI8</f>
        <v>13.899999999999636</v>
      </c>
      <c r="QR8" s="185">
        <f>JI8-'[1]Data-temp_employment'!JJ8</f>
        <v>29</v>
      </c>
      <c r="QS8" s="185">
        <f>JS8-'[1]Data-temp_employment'!JT8</f>
        <v>37.200000000000045</v>
      </c>
      <c r="QT8" s="185">
        <f>JT8-'[1]Data-temp_employment'!JU8</f>
        <v>10.599999999999909</v>
      </c>
      <c r="QU8" s="185">
        <f>KD8-'[1]Data-temp_employment'!KE8</f>
        <v>89.400000000000091</v>
      </c>
      <c r="QV8" s="185">
        <f>KE8-'[1]Data-temp_employment'!KF8</f>
        <v>48.699999999999818</v>
      </c>
      <c r="QW8" s="185">
        <f>KO8-'[1]Data-temp_employment'!KP8</f>
        <v>62.5</v>
      </c>
      <c r="QX8" s="185">
        <f>KP8-'[1]Data-temp_employment'!KQ8</f>
        <v>89.100000000000023</v>
      </c>
      <c r="QY8" s="185">
        <f>LD8-'[1]Data-temp_employment'!LE8</f>
        <v>85.299999999999955</v>
      </c>
      <c r="QZ8" s="185">
        <f>LE8-'[1]Data-temp_employment'!LF8</f>
        <v>176.39999999999986</v>
      </c>
      <c r="RA8" s="185">
        <f>LK8-'[1]Data-temp_employment'!LL8</f>
        <v>36.899999999999977</v>
      </c>
      <c r="RB8" s="185">
        <f>LL8-'[1]Data-temp_employment'!LM8</f>
        <v>26.300000000000011</v>
      </c>
      <c r="RC8" s="185">
        <f>LV8-'[1]Data-temp_employment'!LW8</f>
        <v>28.900000000000006</v>
      </c>
      <c r="RD8" s="185">
        <f>LW8-'[1]Data-temp_employment'!LX8</f>
        <v>31.899999999999977</v>
      </c>
      <c r="RE8" s="185">
        <f>MK8-'[1]Data-temp_employment'!ML8</f>
        <v>28.399999999999977</v>
      </c>
      <c r="RF8" s="185">
        <f>ML8-'[1]Data-temp_employment'!MM8</f>
        <v>53</v>
      </c>
      <c r="RG8" s="185">
        <f>MV8-'[1]Data-temp_employment'!MW8</f>
        <v>31.100000000000136</v>
      </c>
      <c r="RH8" s="185">
        <f>MW8-'[1]Data-temp_employment'!MX8</f>
        <v>18.899999999999864</v>
      </c>
      <c r="RI8" s="185">
        <f>NG8-'[1]Data-temp_employment'!NH8</f>
        <v>27.5</v>
      </c>
      <c r="RJ8" s="185">
        <f>NH8-'[1]Data-temp_employment'!NI8</f>
        <v>13.799999999999955</v>
      </c>
      <c r="RK8" s="185">
        <f>NR8-'[1]Data-temp_employment'!NS8</f>
        <v>45.800000000000182</v>
      </c>
      <c r="RL8" s="185">
        <f>NS8-'[1]Data-temp_employment'!NT8</f>
        <v>76.200000000000045</v>
      </c>
      <c r="RM8" s="185">
        <f>OC8-'[1]Data-temp_employment'!OD8</f>
        <v>33.899999999999636</v>
      </c>
      <c r="RN8" s="185">
        <f>OD8-'[1]Data-temp_employment'!OE8</f>
        <v>95.5</v>
      </c>
      <c r="RO8" s="185">
        <f>OU8-'[1]Data-temp_employment'!OV8</f>
        <v>-0.10000000000000003</v>
      </c>
      <c r="RP8" s="185">
        <f>OV8-'[1]Data-temp_employment'!OW8</f>
        <v>0</v>
      </c>
    </row>
    <row r="9" spans="1:484">
      <c r="A9">
        <v>6</v>
      </c>
      <c r="B9" s="128" t="s">
        <v>16</v>
      </c>
      <c r="C9" s="332">
        <v>15.1</v>
      </c>
      <c r="D9" s="332">
        <v>15.9</v>
      </c>
      <c r="E9" s="332">
        <v>16.3</v>
      </c>
      <c r="F9" s="332">
        <v>16</v>
      </c>
      <c r="G9" s="332">
        <v>15.5</v>
      </c>
      <c r="H9" s="332">
        <v>16.3</v>
      </c>
      <c r="I9" s="332">
        <v>16.8</v>
      </c>
      <c r="J9" s="332">
        <v>16.399999999999999</v>
      </c>
      <c r="K9" s="332">
        <v>15.9</v>
      </c>
      <c r="L9" s="332">
        <v>16.600000000000001</v>
      </c>
      <c r="M9" s="127" t="s">
        <v>16</v>
      </c>
      <c r="N9" s="332">
        <v>17979.2</v>
      </c>
      <c r="O9" s="332">
        <v>19084</v>
      </c>
      <c r="P9" s="332">
        <v>19716.2</v>
      </c>
      <c r="Q9" s="332">
        <v>19415.599999999999</v>
      </c>
      <c r="R9" s="332">
        <v>18697</v>
      </c>
      <c r="S9" s="332">
        <v>19960.7</v>
      </c>
      <c r="T9" s="332">
        <v>20776.400000000001</v>
      </c>
      <c r="U9" s="332">
        <v>20310.599999999999</v>
      </c>
      <c r="V9" s="332">
        <v>19516.2</v>
      </c>
      <c r="W9" s="332">
        <v>20578.099999999999</v>
      </c>
      <c r="X9" s="120" t="s">
        <v>16</v>
      </c>
      <c r="Y9" s="332">
        <v>927.3</v>
      </c>
      <c r="Z9" s="332">
        <v>1039.7</v>
      </c>
      <c r="AA9" s="332">
        <v>1068.5999999999999</v>
      </c>
      <c r="AB9" s="332">
        <v>1019.1</v>
      </c>
      <c r="AC9" s="332">
        <v>1007.7</v>
      </c>
      <c r="AD9" s="332">
        <v>1072.5</v>
      </c>
      <c r="AE9" s="332">
        <v>1120.2</v>
      </c>
      <c r="AF9" s="332">
        <v>1074.3</v>
      </c>
      <c r="AG9" s="332">
        <v>981.8</v>
      </c>
      <c r="AH9" s="332">
        <v>1087.5999999999999</v>
      </c>
      <c r="AI9" s="119" t="s">
        <v>16</v>
      </c>
      <c r="AJ9" s="332">
        <v>1726.3</v>
      </c>
      <c r="AK9" s="332">
        <v>1953.3</v>
      </c>
      <c r="AL9" s="332">
        <v>2709.2</v>
      </c>
      <c r="AM9" s="332">
        <v>2103.6999999999998</v>
      </c>
      <c r="AN9" s="332">
        <v>1820.3</v>
      </c>
      <c r="AO9" s="332">
        <v>2108.1</v>
      </c>
      <c r="AP9" s="332">
        <v>2926</v>
      </c>
      <c r="AQ9" s="332">
        <v>2246</v>
      </c>
      <c r="AR9" s="332">
        <v>1915</v>
      </c>
      <c r="AS9" s="332">
        <v>2202.1999999999998</v>
      </c>
      <c r="AT9" s="119" t="s">
        <v>16</v>
      </c>
      <c r="AU9" s="332">
        <v>2682.7</v>
      </c>
      <c r="AV9" s="332">
        <v>3104</v>
      </c>
      <c r="AW9" s="332">
        <v>3230.5</v>
      </c>
      <c r="AX9" s="332">
        <v>2859</v>
      </c>
      <c r="AY9" s="332">
        <v>2709.7</v>
      </c>
      <c r="AZ9" s="332">
        <v>3223.5</v>
      </c>
      <c r="BA9" s="332">
        <v>3533</v>
      </c>
      <c r="BB9" s="332">
        <v>3137.5</v>
      </c>
      <c r="BC9" s="332">
        <v>2967.1</v>
      </c>
      <c r="BD9" s="332">
        <v>3384.8</v>
      </c>
      <c r="BE9" s="119" t="s">
        <v>16</v>
      </c>
      <c r="BF9" s="280">
        <v>4673.3</v>
      </c>
      <c r="BG9" s="280">
        <v>4753</v>
      </c>
      <c r="BH9" s="280">
        <v>4498</v>
      </c>
      <c r="BI9" s="280">
        <v>4778.3999999999996</v>
      </c>
      <c r="BJ9" s="280">
        <v>4775.7</v>
      </c>
      <c r="BK9" s="280">
        <v>5059.8</v>
      </c>
      <c r="BL9" s="280">
        <v>4780.6000000000004</v>
      </c>
      <c r="BM9" s="280">
        <v>5120.2</v>
      </c>
      <c r="BN9" s="280">
        <v>5051.3</v>
      </c>
      <c r="BO9" s="280">
        <v>5315.1</v>
      </c>
      <c r="BP9" s="6" t="s">
        <v>16</v>
      </c>
      <c r="BQ9" s="7">
        <v>1685.5</v>
      </c>
      <c r="BR9" s="7">
        <v>1722.6999999999998</v>
      </c>
      <c r="BS9" s="7">
        <v>1701.1</v>
      </c>
      <c r="BT9" s="7">
        <v>1791.9</v>
      </c>
      <c r="BU9" s="7">
        <v>1709.7</v>
      </c>
      <c r="BV9" s="7">
        <v>1741.7</v>
      </c>
      <c r="BW9" s="7">
        <v>1769.7</v>
      </c>
      <c r="BX9" s="7">
        <v>1748.9</v>
      </c>
      <c r="BY9" s="7">
        <v>1695.6</v>
      </c>
      <c r="BZ9" s="7">
        <v>1726.8000000000002</v>
      </c>
      <c r="CA9" s="6" t="s">
        <v>16</v>
      </c>
      <c r="CB9" s="7">
        <v>2917.9</v>
      </c>
      <c r="CC9" s="7">
        <v>2867.2</v>
      </c>
      <c r="CD9" s="7">
        <v>2916.7</v>
      </c>
      <c r="CE9" s="7">
        <v>3136.7</v>
      </c>
      <c r="CF9" s="7">
        <v>2971</v>
      </c>
      <c r="CG9" s="7">
        <v>2942</v>
      </c>
      <c r="CH9" s="7">
        <v>2967.3999999999996</v>
      </c>
      <c r="CI9" s="7">
        <v>3102.8999999999996</v>
      </c>
      <c r="CJ9" s="7">
        <v>3089.5</v>
      </c>
      <c r="CK9" s="7">
        <v>2983.2</v>
      </c>
      <c r="CL9" s="129" t="s">
        <v>16</v>
      </c>
      <c r="CM9" s="280">
        <v>5387.4</v>
      </c>
      <c r="CN9" s="280">
        <v>5768.1</v>
      </c>
      <c r="CO9" s="280">
        <v>5988.5</v>
      </c>
      <c r="CP9" s="280">
        <v>5915</v>
      </c>
      <c r="CQ9" s="280">
        <v>5556.1</v>
      </c>
      <c r="CR9" s="280">
        <v>6031.1</v>
      </c>
      <c r="CS9" s="280">
        <v>6339.4</v>
      </c>
      <c r="CT9" s="280">
        <v>6105.5</v>
      </c>
      <c r="CU9" s="280">
        <v>5841.1</v>
      </c>
      <c r="CV9" s="280">
        <v>6240.7</v>
      </c>
      <c r="CW9" s="130" t="s">
        <v>16</v>
      </c>
      <c r="CX9" s="280">
        <v>7407.4</v>
      </c>
      <c r="CY9" s="280">
        <v>7973.1</v>
      </c>
      <c r="CZ9" s="280">
        <v>8309.7999999999993</v>
      </c>
      <c r="DA9" s="280">
        <v>8025.9</v>
      </c>
      <c r="DB9" s="280">
        <v>7729.2</v>
      </c>
      <c r="DC9" s="280">
        <v>8278.9</v>
      </c>
      <c r="DD9" s="280">
        <v>8719.4</v>
      </c>
      <c r="DE9" s="280">
        <v>8397.2999999999993</v>
      </c>
      <c r="DF9" s="280">
        <v>7998.2</v>
      </c>
      <c r="DG9" s="280">
        <v>8440.4</v>
      </c>
      <c r="DH9" s="131" t="s">
        <v>16</v>
      </c>
      <c r="DI9" s="280">
        <v>5136.3</v>
      </c>
      <c r="DJ9" s="280">
        <v>5292.6</v>
      </c>
      <c r="DK9" s="280">
        <v>5365.8</v>
      </c>
      <c r="DL9" s="280">
        <v>5424.4</v>
      </c>
      <c r="DM9" s="280">
        <v>5352.7</v>
      </c>
      <c r="DN9" s="280">
        <v>5597.4</v>
      </c>
      <c r="DO9" s="280">
        <v>5653.4</v>
      </c>
      <c r="DP9" s="280">
        <v>5740.6</v>
      </c>
      <c r="DQ9" s="280">
        <v>5613.5</v>
      </c>
      <c r="DR9" s="280">
        <v>5843.1</v>
      </c>
      <c r="DS9" s="132" t="s">
        <v>16</v>
      </c>
      <c r="DT9" s="280">
        <v>48.1</v>
      </c>
      <c r="DU9" s="280">
        <v>50.3</v>
      </c>
      <c r="DV9" s="280">
        <v>52.2</v>
      </c>
      <c r="DW9" s="280">
        <v>50.2</v>
      </c>
      <c r="DX9" s="280">
        <v>59</v>
      </c>
      <c r="DY9" s="280">
        <v>53.4</v>
      </c>
      <c r="DZ9" s="280">
        <v>64.2</v>
      </c>
      <c r="EA9" s="280">
        <v>67.099999999999994</v>
      </c>
      <c r="EB9" s="280">
        <v>63.4</v>
      </c>
      <c r="EC9" s="280">
        <v>53.9</v>
      </c>
      <c r="ED9" s="2" t="s">
        <v>16</v>
      </c>
      <c r="EE9" s="280">
        <v>198.7</v>
      </c>
      <c r="EF9" s="280">
        <v>209.8</v>
      </c>
      <c r="EG9" s="280">
        <v>216.9</v>
      </c>
      <c r="EH9" s="280">
        <v>213.9</v>
      </c>
      <c r="EI9" s="280">
        <v>193.9</v>
      </c>
      <c r="EJ9" s="280">
        <v>193.4</v>
      </c>
      <c r="EK9" s="280">
        <v>220.6</v>
      </c>
      <c r="EL9" s="280">
        <v>211</v>
      </c>
      <c r="EM9" s="280">
        <v>187.3</v>
      </c>
      <c r="EN9" s="280">
        <v>174.9</v>
      </c>
      <c r="EO9" s="2" t="s">
        <v>16</v>
      </c>
      <c r="EP9" s="280">
        <v>2888.1</v>
      </c>
      <c r="EQ9" s="280">
        <v>2925.9</v>
      </c>
      <c r="ER9" s="280">
        <v>2754.6</v>
      </c>
      <c r="ES9" s="280">
        <v>3018.2</v>
      </c>
      <c r="ET9" s="280">
        <v>2998.1</v>
      </c>
      <c r="EU9" s="280">
        <v>3098.8</v>
      </c>
      <c r="EV9" s="280">
        <v>2855.7</v>
      </c>
      <c r="EW9" s="280">
        <v>3145.7</v>
      </c>
      <c r="EX9" s="280">
        <v>3154.7</v>
      </c>
      <c r="EY9" s="280">
        <v>3215.2</v>
      </c>
      <c r="EZ9" s="2" t="s">
        <v>16</v>
      </c>
      <c r="FA9" s="280">
        <v>2639</v>
      </c>
      <c r="FB9" s="280">
        <v>2705.2</v>
      </c>
      <c r="FC9" s="280">
        <v>2652.9</v>
      </c>
      <c r="FD9" s="280">
        <v>2698.5</v>
      </c>
      <c r="FE9" s="280">
        <v>2732</v>
      </c>
      <c r="FF9" s="280">
        <v>2748.1</v>
      </c>
      <c r="FG9" s="280">
        <v>2769.9</v>
      </c>
      <c r="FH9" s="280">
        <v>2872.6</v>
      </c>
      <c r="FI9" s="280">
        <v>2799.7</v>
      </c>
      <c r="FJ9" s="280">
        <v>2834.4</v>
      </c>
      <c r="FK9" s="2" t="s">
        <v>16</v>
      </c>
      <c r="FL9" s="280">
        <v>1792.2</v>
      </c>
      <c r="FM9" s="280">
        <v>1859.2</v>
      </c>
      <c r="FN9" s="280">
        <v>1983.3</v>
      </c>
      <c r="FO9" s="280">
        <v>1938.3</v>
      </c>
      <c r="FP9" s="280">
        <v>1866.7</v>
      </c>
      <c r="FQ9" s="280">
        <v>2027.3</v>
      </c>
      <c r="FR9" s="280">
        <v>2117.6</v>
      </c>
      <c r="FS9" s="280">
        <v>2022.1</v>
      </c>
      <c r="FT9" s="280">
        <v>1970.5</v>
      </c>
      <c r="FU9" s="280">
        <v>2094</v>
      </c>
      <c r="FV9" s="2" t="s">
        <v>16</v>
      </c>
      <c r="FW9" s="280">
        <v>3591.5</v>
      </c>
      <c r="FX9" s="280">
        <v>4059.2</v>
      </c>
      <c r="FY9" s="280">
        <v>4356.2</v>
      </c>
      <c r="FZ9" s="280">
        <v>3934.9</v>
      </c>
      <c r="GA9" s="280">
        <v>3765.5</v>
      </c>
      <c r="GB9" s="280">
        <v>4193.8</v>
      </c>
      <c r="GC9" s="280">
        <v>4566</v>
      </c>
      <c r="GD9" s="280">
        <v>4067.9</v>
      </c>
      <c r="GE9" s="280">
        <v>3902</v>
      </c>
      <c r="GF9" s="280">
        <v>4212.6000000000004</v>
      </c>
      <c r="GG9" s="2" t="s">
        <v>16</v>
      </c>
      <c r="GH9" s="280">
        <v>324.3</v>
      </c>
      <c r="GI9" s="280">
        <v>371</v>
      </c>
      <c r="GJ9" s="280">
        <v>367.7</v>
      </c>
      <c r="GK9" s="280">
        <v>319.2</v>
      </c>
      <c r="GL9" s="280">
        <v>324.8</v>
      </c>
      <c r="GM9" s="280">
        <v>367.5</v>
      </c>
      <c r="GN9" s="280">
        <v>393</v>
      </c>
      <c r="GO9" s="280">
        <v>333.1</v>
      </c>
      <c r="GP9" s="280">
        <v>312.8</v>
      </c>
      <c r="GQ9" s="280">
        <v>389.6</v>
      </c>
      <c r="GR9" s="2" t="s">
        <v>16</v>
      </c>
      <c r="GS9" s="280">
        <v>2151.9</v>
      </c>
      <c r="GT9" s="280">
        <v>2212.3000000000002</v>
      </c>
      <c r="GU9" s="280">
        <v>2304</v>
      </c>
      <c r="GV9" s="280">
        <v>2369.1999999999998</v>
      </c>
      <c r="GW9" s="280">
        <v>2172.4</v>
      </c>
      <c r="GX9" s="280">
        <v>2301.1999999999998</v>
      </c>
      <c r="GY9" s="280">
        <v>2374.6</v>
      </c>
      <c r="GZ9" s="280">
        <v>2411.6999999999998</v>
      </c>
      <c r="HA9" s="280">
        <v>2268.8000000000002</v>
      </c>
      <c r="HB9" s="280">
        <v>2398.8000000000002</v>
      </c>
      <c r="HC9" s="2" t="s">
        <v>16</v>
      </c>
      <c r="HD9" s="280">
        <v>1247.9000000000001</v>
      </c>
      <c r="HE9" s="280">
        <v>1335.8</v>
      </c>
      <c r="HF9" s="280">
        <v>1446.8</v>
      </c>
      <c r="HG9" s="280">
        <v>1406.5</v>
      </c>
      <c r="HH9" s="280">
        <v>1298.5</v>
      </c>
      <c r="HI9" s="280">
        <v>1457.5</v>
      </c>
      <c r="HJ9" s="280">
        <v>1590.4</v>
      </c>
      <c r="HK9" s="280">
        <v>1535.8</v>
      </c>
      <c r="HL9" s="280">
        <v>1470.1</v>
      </c>
      <c r="HM9" s="280">
        <v>1555.8</v>
      </c>
      <c r="HN9" s="279" t="s">
        <v>16</v>
      </c>
      <c r="HO9" s="280">
        <v>2943.9</v>
      </c>
      <c r="HP9" s="280">
        <v>3218.1</v>
      </c>
      <c r="HQ9" s="280">
        <v>3444.7</v>
      </c>
      <c r="HR9" s="280">
        <v>3295</v>
      </c>
      <c r="HS9" s="280">
        <v>3133.9</v>
      </c>
      <c r="HT9" s="280">
        <v>3356.4</v>
      </c>
      <c r="HU9" s="280">
        <v>3683.3</v>
      </c>
      <c r="HV9" s="280">
        <v>3482.8</v>
      </c>
      <c r="HW9" s="280">
        <v>3229.3</v>
      </c>
      <c r="HX9" s="280">
        <v>3496.8</v>
      </c>
      <c r="HY9" s="2" t="s">
        <v>16</v>
      </c>
      <c r="HZ9" s="280">
        <v>153.4</v>
      </c>
      <c r="IA9" s="280">
        <v>143.5</v>
      </c>
      <c r="IB9" s="280">
        <v>137.6</v>
      </c>
      <c r="IC9" s="280">
        <v>171.2</v>
      </c>
      <c r="ID9" s="280">
        <v>164.3</v>
      </c>
      <c r="IE9" s="280">
        <v>164.6</v>
      </c>
      <c r="IF9" s="280">
        <v>140.9</v>
      </c>
      <c r="IG9" s="280">
        <v>169.1</v>
      </c>
      <c r="IH9" s="280">
        <v>175.7</v>
      </c>
      <c r="II9" s="280">
        <v>152.80000000000001</v>
      </c>
      <c r="IJ9" s="2" t="s">
        <v>16</v>
      </c>
      <c r="IK9" s="280">
        <v>48.5</v>
      </c>
      <c r="IL9" s="280">
        <v>44.1</v>
      </c>
      <c r="IM9" s="280">
        <v>51.5</v>
      </c>
      <c r="IN9" s="280">
        <v>50.6</v>
      </c>
      <c r="IO9" s="280">
        <v>46.9</v>
      </c>
      <c r="IP9" s="280">
        <v>52.1</v>
      </c>
      <c r="IQ9" s="280">
        <v>64.400000000000006</v>
      </c>
      <c r="IR9" s="280">
        <v>58.7</v>
      </c>
      <c r="IS9" s="280">
        <v>45.4</v>
      </c>
      <c r="IT9" s="280">
        <v>53.1</v>
      </c>
      <c r="IU9" s="2" t="s">
        <v>16</v>
      </c>
      <c r="IV9" s="280">
        <v>722.1</v>
      </c>
      <c r="IW9" s="280">
        <v>773.8</v>
      </c>
      <c r="IX9" s="280">
        <v>801.2</v>
      </c>
      <c r="IY9" s="280">
        <v>792.2</v>
      </c>
      <c r="IZ9" s="280">
        <v>731</v>
      </c>
      <c r="JA9" s="280">
        <v>785.7</v>
      </c>
      <c r="JB9" s="280">
        <v>781.2</v>
      </c>
      <c r="JC9" s="280">
        <v>808</v>
      </c>
      <c r="JD9" s="280">
        <v>740.9</v>
      </c>
      <c r="JE9" s="280">
        <v>818.9</v>
      </c>
      <c r="JF9" s="2" t="s">
        <v>16</v>
      </c>
      <c r="JG9" s="280">
        <v>2344.5</v>
      </c>
      <c r="JH9" s="280">
        <v>2459.6999999999998</v>
      </c>
      <c r="JI9" s="280">
        <v>2626.9</v>
      </c>
      <c r="JJ9" s="280">
        <v>2654.2</v>
      </c>
      <c r="JK9" s="280">
        <v>2533.9</v>
      </c>
      <c r="JL9" s="280">
        <v>2611.9</v>
      </c>
      <c r="JM9" s="280">
        <v>2767.6</v>
      </c>
      <c r="JN9" s="280">
        <v>2751</v>
      </c>
      <c r="JO9" s="280">
        <v>2614.4</v>
      </c>
      <c r="JP9" s="280">
        <v>2792.2</v>
      </c>
      <c r="JQ9" s="2" t="s">
        <v>16</v>
      </c>
      <c r="JR9" s="280">
        <v>1053.0999999999999</v>
      </c>
      <c r="JS9" s="280">
        <v>1172.9000000000001</v>
      </c>
      <c r="JT9" s="280">
        <v>1176.2</v>
      </c>
      <c r="JU9" s="280">
        <v>1185.8</v>
      </c>
      <c r="JV9" s="280">
        <v>1115.5</v>
      </c>
      <c r="JW9" s="280">
        <v>1241.5</v>
      </c>
      <c r="JX9" s="280">
        <v>1235.5</v>
      </c>
      <c r="JY9" s="280">
        <v>1245.4000000000001</v>
      </c>
      <c r="JZ9" s="280">
        <v>1164.5999999999999</v>
      </c>
      <c r="KA9" s="280">
        <v>1270.4000000000001</v>
      </c>
      <c r="KB9" s="2" t="s">
        <v>16</v>
      </c>
      <c r="KC9" s="280">
        <v>2264.4</v>
      </c>
      <c r="KD9" s="280">
        <v>2344</v>
      </c>
      <c r="KE9" s="280">
        <v>2511</v>
      </c>
      <c r="KF9" s="280">
        <v>2522.1999999999998</v>
      </c>
      <c r="KG9" s="280">
        <v>2388.8000000000002</v>
      </c>
      <c r="KH9" s="280">
        <v>2469.6999999999998</v>
      </c>
      <c r="KI9" s="280">
        <v>2706.9</v>
      </c>
      <c r="KJ9" s="280">
        <v>2631.2</v>
      </c>
      <c r="KK9" s="280">
        <v>2525.3000000000002</v>
      </c>
      <c r="KL9" s="280">
        <v>2599.5</v>
      </c>
      <c r="KM9" s="2" t="s">
        <v>16</v>
      </c>
      <c r="KN9" s="280">
        <v>773.4</v>
      </c>
      <c r="KO9" s="280">
        <v>787.8</v>
      </c>
      <c r="KP9" s="280">
        <v>840.1</v>
      </c>
      <c r="KQ9" s="280">
        <v>822.6</v>
      </c>
      <c r="KR9" s="280">
        <v>771</v>
      </c>
      <c r="KS9" s="280">
        <v>836.8</v>
      </c>
      <c r="KT9" s="280">
        <v>910.3</v>
      </c>
      <c r="KU9" s="280">
        <v>927.1</v>
      </c>
      <c r="KV9" s="280">
        <v>874.8</v>
      </c>
      <c r="KW9" s="280">
        <v>852.1</v>
      </c>
      <c r="KX9" s="2" t="s">
        <v>16</v>
      </c>
      <c r="KY9" s="280">
        <v>1335.2</v>
      </c>
      <c r="KZ9" s="280">
        <v>1713.2</v>
      </c>
      <c r="LA9" s="280">
        <v>1947.3</v>
      </c>
      <c r="LB9" s="280">
        <v>1477.3</v>
      </c>
      <c r="LC9" s="280">
        <v>1367.5</v>
      </c>
      <c r="LD9" s="280">
        <v>1792.4</v>
      </c>
      <c r="LE9" s="280">
        <v>2117.6999999999998</v>
      </c>
      <c r="LF9" s="280">
        <v>1582.2</v>
      </c>
      <c r="LG9" s="280">
        <v>1470.2</v>
      </c>
      <c r="LH9" s="280">
        <v>1857.8</v>
      </c>
      <c r="LI9" s="2" t="s">
        <v>16</v>
      </c>
      <c r="LJ9" s="280">
        <v>399.2</v>
      </c>
      <c r="LK9" s="280">
        <v>411.9</v>
      </c>
      <c r="LL9" s="280">
        <v>413.2</v>
      </c>
      <c r="LM9" s="280">
        <v>424</v>
      </c>
      <c r="LN9" s="280">
        <v>419</v>
      </c>
      <c r="LO9" s="280">
        <v>438</v>
      </c>
      <c r="LP9" s="280">
        <v>448.1</v>
      </c>
      <c r="LQ9" s="280">
        <v>433.8</v>
      </c>
      <c r="LR9" s="280">
        <v>439.1</v>
      </c>
      <c r="LS9" s="280">
        <v>424.5</v>
      </c>
      <c r="LT9" s="2" t="s">
        <v>16</v>
      </c>
      <c r="LU9" s="280">
        <v>242.8</v>
      </c>
      <c r="LV9" s="280">
        <v>276.10000000000002</v>
      </c>
      <c r="LW9" s="280">
        <v>296.2</v>
      </c>
      <c r="LX9" s="280">
        <v>273.8</v>
      </c>
      <c r="LY9" s="280">
        <v>252.2</v>
      </c>
      <c r="LZ9" s="280">
        <v>293.60000000000002</v>
      </c>
      <c r="MA9" s="280">
        <v>266.89999999999998</v>
      </c>
      <c r="MB9" s="280">
        <v>253.7</v>
      </c>
      <c r="MC9" s="280">
        <v>265.7</v>
      </c>
      <c r="MD9" s="280">
        <v>265.5</v>
      </c>
      <c r="ME9" s="2" t="s">
        <v>16</v>
      </c>
      <c r="MF9" s="280">
        <v>687.9</v>
      </c>
      <c r="MG9" s="280">
        <v>727.1</v>
      </c>
      <c r="MH9" s="280">
        <v>735.3</v>
      </c>
      <c r="MI9" s="280">
        <v>752.1</v>
      </c>
      <c r="MJ9" s="280">
        <v>689.9</v>
      </c>
      <c r="MK9" s="280">
        <v>753.6</v>
      </c>
      <c r="ML9" s="280">
        <v>786.7</v>
      </c>
      <c r="MM9" s="280">
        <v>740.3</v>
      </c>
      <c r="MN9" s="280">
        <v>707.3</v>
      </c>
      <c r="MO9" s="280">
        <v>744.6</v>
      </c>
      <c r="MP9" s="2" t="s">
        <v>16</v>
      </c>
      <c r="MQ9" s="280">
        <v>947.4</v>
      </c>
      <c r="MR9" s="280">
        <v>1034.8</v>
      </c>
      <c r="MS9" s="280">
        <v>1132.5999999999999</v>
      </c>
      <c r="MT9" s="280">
        <v>1052.4000000000001</v>
      </c>
      <c r="MU9" s="280">
        <v>989.7</v>
      </c>
      <c r="MV9" s="280">
        <v>1063.9000000000001</v>
      </c>
      <c r="MW9" s="280">
        <v>1149</v>
      </c>
      <c r="MX9" s="280">
        <v>1065.5</v>
      </c>
      <c r="MY9" s="280">
        <v>1006.2</v>
      </c>
      <c r="MZ9" s="280">
        <v>1117.4000000000001</v>
      </c>
      <c r="NA9" s="2" t="s">
        <v>16</v>
      </c>
      <c r="NB9" s="280">
        <v>1195.2</v>
      </c>
      <c r="NC9" s="280">
        <v>1207.3</v>
      </c>
      <c r="ND9" s="280">
        <v>1247.5999999999999</v>
      </c>
      <c r="NE9" s="280">
        <v>1239</v>
      </c>
      <c r="NF9" s="280">
        <v>1211.5999999999999</v>
      </c>
      <c r="NG9" s="280">
        <v>1236.5</v>
      </c>
      <c r="NH9" s="280">
        <v>1261.0999999999999</v>
      </c>
      <c r="NI9" s="280">
        <v>1322.2</v>
      </c>
      <c r="NJ9" s="280">
        <v>1228</v>
      </c>
      <c r="NK9" s="280">
        <v>1223.5</v>
      </c>
      <c r="NL9" s="2" t="s">
        <v>16</v>
      </c>
      <c r="NM9" s="280">
        <v>1934.3</v>
      </c>
      <c r="NN9" s="280">
        <v>1907.2</v>
      </c>
      <c r="NO9" s="280">
        <v>1529.8</v>
      </c>
      <c r="NP9" s="280">
        <v>1876.6</v>
      </c>
      <c r="NQ9" s="280">
        <v>1908.3</v>
      </c>
      <c r="NR9" s="280">
        <v>1951.6</v>
      </c>
      <c r="NS9" s="280">
        <v>1605</v>
      </c>
      <c r="NT9" s="280">
        <v>1978.5</v>
      </c>
      <c r="NU9" s="280">
        <v>2074</v>
      </c>
      <c r="NV9" s="280">
        <v>2064.1999999999998</v>
      </c>
      <c r="NW9" s="2" t="s">
        <v>16</v>
      </c>
      <c r="NX9" s="280">
        <v>2312</v>
      </c>
      <c r="NY9" s="280">
        <v>2385.1999999999998</v>
      </c>
      <c r="NZ9" s="280">
        <v>2446.3000000000002</v>
      </c>
      <c r="OA9" s="280">
        <v>2433.6999999999998</v>
      </c>
      <c r="OB9" s="280">
        <v>2387.1999999999998</v>
      </c>
      <c r="OC9" s="280">
        <v>2417.6999999999998</v>
      </c>
      <c r="OD9" s="280">
        <v>2541.3000000000002</v>
      </c>
      <c r="OE9" s="280">
        <v>2478.5</v>
      </c>
      <c r="OF9" s="280">
        <v>2460.5</v>
      </c>
      <c r="OG9" s="280">
        <v>2489.6999999999998</v>
      </c>
      <c r="OH9" s="191" t="s">
        <v>16</v>
      </c>
      <c r="OI9" s="192">
        <v>11.1</v>
      </c>
      <c r="OJ9" s="192">
        <v>11.6</v>
      </c>
      <c r="OK9" s="192">
        <v>11.7</v>
      </c>
      <c r="OL9" s="192">
        <v>10.9</v>
      </c>
      <c r="OM9" s="192">
        <v>10.3</v>
      </c>
      <c r="ON9" s="192">
        <v>10.6</v>
      </c>
      <c r="OO9" s="192">
        <v>10.7</v>
      </c>
      <c r="OP9" s="192">
        <v>10</v>
      </c>
      <c r="OQ9" s="192">
        <v>9.6</v>
      </c>
      <c r="OR9" s="192">
        <v>9.8000000000000007</v>
      </c>
      <c r="OS9" s="134" t="s">
        <v>16</v>
      </c>
      <c r="OT9" s="340">
        <v>0.7</v>
      </c>
      <c r="OU9" s="340">
        <v>0.3</v>
      </c>
      <c r="OV9" s="340">
        <v>0.3</v>
      </c>
      <c r="OW9" s="340">
        <v>0.8</v>
      </c>
      <c r="OX9" s="340">
        <v>0.7</v>
      </c>
      <c r="OY9" s="340">
        <v>0.7</v>
      </c>
      <c r="OZ9" s="340">
        <v>0.7</v>
      </c>
      <c r="PA9" s="340">
        <v>0.6</v>
      </c>
      <c r="PB9" s="340">
        <v>0.4</v>
      </c>
      <c r="PC9" s="340">
        <v>0.4</v>
      </c>
      <c r="PE9" s="185">
        <f>E9-'[1]Data-temp_employment'!F9</f>
        <v>0.10000000000000142</v>
      </c>
      <c r="PF9" s="185">
        <f>F9-'[1]Data-temp_employment'!G9</f>
        <v>0.30000000000000071</v>
      </c>
      <c r="PG9" s="185">
        <f>O9-'[1]Data-temp_employment'!P9</f>
        <v>597.5</v>
      </c>
      <c r="PH9" s="185">
        <f>P9-'[1]Data-temp_employment'!Q9</f>
        <v>454.40000000000146</v>
      </c>
      <c r="PI9" s="185">
        <f>AD9-'[1]Data-temp_employment'!AE9</f>
        <v>33.299999999999955</v>
      </c>
      <c r="PJ9" s="185">
        <f>AE9-'[1]Data-temp_employment'!AF9</f>
        <v>52.299999999999955</v>
      </c>
      <c r="PK9" s="185">
        <f>BR9-'[1]Data-temp_employment'!BS9</f>
        <v>95.499999999999773</v>
      </c>
      <c r="PL9" s="185">
        <f>BS9-'[1]Data-temp_employment'!BT9</f>
        <v>2.5999999999999091</v>
      </c>
      <c r="PM9" s="185">
        <f>CC9-'[1]Data-temp_employment'!CD9</f>
        <v>-15.100000000000364</v>
      </c>
      <c r="PN9" s="185">
        <f>CD9-'[1]Data-temp_employment'!CE9</f>
        <v>-14.5</v>
      </c>
      <c r="PO9" s="185">
        <f>CR9-'[1]Data-temp_employment'!CS9</f>
        <v>267.80000000000018</v>
      </c>
      <c r="PP9" s="185">
        <f>CS9-'[1]Data-temp_employment'!CT9</f>
        <v>358.79999999999927</v>
      </c>
      <c r="PQ9" s="185">
        <f>DC9-'[1]Data-temp_employment'!DD9</f>
        <v>321.09999999999945</v>
      </c>
      <c r="PR9" s="185">
        <f>DD9-'[1]Data-temp_employment'!DE9</f>
        <v>423.29999999999927</v>
      </c>
      <c r="PS9" s="185">
        <f>DN9-'[1]Data-temp_employment'!DO9</f>
        <v>310</v>
      </c>
      <c r="PT9" s="185">
        <f>DO9-'[1]Data-temp_employment'!DP9</f>
        <v>291.69999999999982</v>
      </c>
      <c r="PU9" s="185">
        <f>EF9-'[1]Data-temp_employment'!EG9</f>
        <v>13.800000000000011</v>
      </c>
      <c r="PV9" s="185">
        <f>EG9-'[1]Data-temp_employment'!EH9</f>
        <v>24.5</v>
      </c>
      <c r="PW9" s="185">
        <f>EU9-'[1]Data-temp_employment'!EV9</f>
        <v>174.90000000000009</v>
      </c>
      <c r="PX9" s="185">
        <f>EV9-'[1]Data-temp_employment'!EW9</f>
        <v>103.89999999999964</v>
      </c>
      <c r="PY9" s="185">
        <f>FF9-'[1]Data-temp_employment'!FG9</f>
        <v>44.799999999999727</v>
      </c>
      <c r="PZ9" s="185">
        <f>FG9-'[1]Data-temp_employment'!FH9</f>
        <v>118.20000000000027</v>
      </c>
      <c r="QA9" s="185">
        <f>FQ9-'[1]Data-temp_employment'!FR9</f>
        <v>170.70000000000005</v>
      </c>
      <c r="QB9" s="185">
        <f>FR9-'[1]Data-temp_employment'!FS9</f>
        <v>136</v>
      </c>
      <c r="QC9" s="185">
        <f>GB9-'[1]Data-temp_employment'!GC9</f>
        <v>147.90000000000009</v>
      </c>
      <c r="QD9" s="185">
        <f>GC9-'[1]Data-temp_employment'!GD9</f>
        <v>222.39999999999964</v>
      </c>
      <c r="QE9" s="185">
        <f>GM9-'[1]Data-temp_employment'!GN9</f>
        <v>-2.8999999999999773</v>
      </c>
      <c r="QF9" s="185">
        <f>GN9-'[1]Data-temp_employment'!GO9</f>
        <v>25.600000000000023</v>
      </c>
      <c r="QG9" s="185">
        <f>GX9-'[1]Data-temp_employment'!GY9</f>
        <v>89.399999999999636</v>
      </c>
      <c r="QH9" s="185">
        <f>GY9-'[1]Data-temp_employment'!GZ9</f>
        <v>71.599999999999909</v>
      </c>
      <c r="QI9" s="185">
        <f>HI9-'[1]Data-temp_employment'!HJ9</f>
        <v>122.40000000000009</v>
      </c>
      <c r="QJ9" s="185">
        <f>HJ9-'[1]Data-temp_employment'!HK9</f>
        <v>144.20000000000005</v>
      </c>
      <c r="QK9" s="185">
        <f>HT9-'[1]Data-temp_employment'!HU9</f>
        <v>141.70000000000027</v>
      </c>
      <c r="QL9" s="185">
        <f>HU9-'[1]Data-temp_employment'!HV9</f>
        <v>242.70000000000027</v>
      </c>
      <c r="QM9" s="185">
        <f>IE9-'[1]Data-temp_employment'!IF9</f>
        <v>21.199999999999989</v>
      </c>
      <c r="QN9" s="185">
        <f>IF9-'[1]Data-temp_employment'!IG9</f>
        <v>3.2000000000000171</v>
      </c>
      <c r="QO9" s="185">
        <f>JA9-'[1]Data-temp_employment'!JB9</f>
        <v>12.100000000000023</v>
      </c>
      <c r="QP9" s="185">
        <f>JB9-'[1]Data-temp_employment'!JC9</f>
        <v>-19.5</v>
      </c>
      <c r="QQ9" s="185">
        <f>JH9-'[1]Data-temp_employment'!JI9</f>
        <v>13.699999999999818</v>
      </c>
      <c r="QR9" s="185">
        <f>JI9-'[1]Data-temp_employment'!JJ9</f>
        <v>29.099999999999909</v>
      </c>
      <c r="QS9" s="185">
        <f>JS9-'[1]Data-temp_employment'!JT9</f>
        <v>40.800000000000182</v>
      </c>
      <c r="QT9" s="185">
        <f>JT9-'[1]Data-temp_employment'!JU9</f>
        <v>11.200000000000045</v>
      </c>
      <c r="QU9" s="185">
        <f>KD9-'[1]Data-temp_employment'!KE9</f>
        <v>87.599999999999909</v>
      </c>
      <c r="QV9" s="185">
        <f>KE9-'[1]Data-temp_employment'!KF9</f>
        <v>50.199999999999818</v>
      </c>
      <c r="QW9" s="185">
        <f>KO9-'[1]Data-temp_employment'!KP9</f>
        <v>62.399999999999977</v>
      </c>
      <c r="QX9" s="185">
        <f>KP9-'[1]Data-temp_employment'!KQ9</f>
        <v>89.700000000000045</v>
      </c>
      <c r="QY9" s="185">
        <f>LD9-'[1]Data-temp_employment'!LE9</f>
        <v>84.800000000000182</v>
      </c>
      <c r="QZ9" s="185">
        <f>LE9-'[1]Data-temp_employment'!LF9</f>
        <v>175.09999999999991</v>
      </c>
      <c r="RA9" s="185">
        <f>LK9-'[1]Data-temp_employment'!LL9</f>
        <v>36.899999999999977</v>
      </c>
      <c r="RB9" s="185">
        <f>LL9-'[1]Data-temp_employment'!LM9</f>
        <v>26.599999999999966</v>
      </c>
      <c r="RC9" s="185">
        <f>LV9-'[1]Data-temp_employment'!LW9</f>
        <v>30.100000000000023</v>
      </c>
      <c r="RD9" s="185">
        <f>LW9-'[1]Data-temp_employment'!LX9</f>
        <v>32.399999999999977</v>
      </c>
      <c r="RE9" s="185">
        <f>MK9-'[1]Data-temp_employment'!ML9</f>
        <v>27.899999999999977</v>
      </c>
      <c r="RF9" s="185">
        <f>ML9-'[1]Data-temp_employment'!MM9</f>
        <v>53.200000000000045</v>
      </c>
      <c r="RG9" s="185">
        <f>MV9-'[1]Data-temp_employment'!MW9</f>
        <v>32.100000000000136</v>
      </c>
      <c r="RH9" s="185">
        <f>MW9-'[1]Data-temp_employment'!MX9</f>
        <v>18.900000000000091</v>
      </c>
      <c r="RI9" s="185">
        <f>NG9-'[1]Data-temp_employment'!NH9</f>
        <v>28.299999999999955</v>
      </c>
      <c r="RJ9" s="185">
        <f>NH9-'[1]Data-temp_employment'!NI9</f>
        <v>13</v>
      </c>
      <c r="RK9" s="185">
        <f>NR9-'[1]Data-temp_employment'!NS9</f>
        <v>45.399999999999864</v>
      </c>
      <c r="RL9" s="185">
        <f>NS9-'[1]Data-temp_employment'!NT9</f>
        <v>75.700000000000045</v>
      </c>
      <c r="RM9" s="185">
        <f>OC9-'[1]Data-temp_employment'!OD9</f>
        <v>34.899999999999636</v>
      </c>
      <c r="RN9" s="185">
        <f>OD9-'[1]Data-temp_employment'!OE9</f>
        <v>97.100000000000364</v>
      </c>
      <c r="RO9" s="185">
        <f>OU9-'[1]Data-temp_employment'!OV9</f>
        <v>0.3</v>
      </c>
      <c r="RP9" s="185">
        <f>OV9-'[1]Data-temp_employment'!OW9</f>
        <v>0.3</v>
      </c>
    </row>
    <row r="10" spans="1:484">
      <c r="A10">
        <v>7</v>
      </c>
      <c r="B10" s="135" t="s">
        <v>35</v>
      </c>
      <c r="C10" s="332">
        <v>8.9</v>
      </c>
      <c r="D10" s="332">
        <v>8.6</v>
      </c>
      <c r="E10" s="332">
        <v>9.6</v>
      </c>
      <c r="F10" s="332">
        <v>8.9</v>
      </c>
      <c r="G10" s="332">
        <v>9</v>
      </c>
      <c r="H10" s="332">
        <v>9</v>
      </c>
      <c r="I10" s="332">
        <v>9.8000000000000007</v>
      </c>
      <c r="J10" s="332">
        <v>8.8000000000000007</v>
      </c>
      <c r="K10" s="332">
        <v>8.6999999999999993</v>
      </c>
      <c r="L10" s="332">
        <v>8.8000000000000007</v>
      </c>
      <c r="M10" s="127" t="s">
        <v>35</v>
      </c>
      <c r="N10" s="332">
        <v>317.5</v>
      </c>
      <c r="O10" s="332">
        <v>313.5</v>
      </c>
      <c r="P10" s="332">
        <v>357.3</v>
      </c>
      <c r="Q10" s="332">
        <v>326</v>
      </c>
      <c r="R10" s="332">
        <v>327.8</v>
      </c>
      <c r="S10" s="332">
        <v>336.2</v>
      </c>
      <c r="T10" s="332">
        <v>368.8</v>
      </c>
      <c r="U10" s="332">
        <v>329.9</v>
      </c>
      <c r="V10" s="332">
        <v>322.60000000000002</v>
      </c>
      <c r="W10" s="332">
        <v>331.1</v>
      </c>
      <c r="X10" s="135" t="s">
        <v>35</v>
      </c>
      <c r="Y10" s="336"/>
      <c r="Z10" s="336"/>
      <c r="AA10" s="336"/>
      <c r="AB10" s="336"/>
      <c r="AC10" s="336"/>
      <c r="AD10" s="336"/>
      <c r="AE10" s="336"/>
      <c r="AF10" s="336"/>
      <c r="AG10" s="336"/>
      <c r="AH10" s="336"/>
      <c r="AI10" s="119" t="s">
        <v>35</v>
      </c>
      <c r="AJ10" s="332">
        <v>27.4</v>
      </c>
      <c r="AK10" s="332">
        <v>26.7</v>
      </c>
      <c r="AL10" s="332">
        <v>67.400000000000006</v>
      </c>
      <c r="AM10" s="332">
        <v>27.4</v>
      </c>
      <c r="AN10" s="332">
        <v>26.7</v>
      </c>
      <c r="AO10" s="332">
        <v>28.7</v>
      </c>
      <c r="AP10" s="332">
        <v>69.099999999999994</v>
      </c>
      <c r="AQ10" s="332">
        <v>28.5</v>
      </c>
      <c r="AR10" s="332">
        <v>25.3</v>
      </c>
      <c r="AS10" s="332">
        <v>25.3</v>
      </c>
      <c r="AT10" s="119" t="s">
        <v>35</v>
      </c>
      <c r="AU10" s="332">
        <v>52</v>
      </c>
      <c r="AV10" s="332">
        <v>45.4</v>
      </c>
      <c r="AW10" s="332">
        <v>47.3</v>
      </c>
      <c r="AX10" s="332">
        <v>42.9</v>
      </c>
      <c r="AY10" s="332">
        <v>53.8</v>
      </c>
      <c r="AZ10" s="332">
        <v>48.7</v>
      </c>
      <c r="BA10" s="332">
        <v>43.8</v>
      </c>
      <c r="BB10" s="332">
        <v>44</v>
      </c>
      <c r="BC10" s="332">
        <v>54.3</v>
      </c>
      <c r="BD10" s="332">
        <v>53.7</v>
      </c>
      <c r="BE10" s="119" t="s">
        <v>35</v>
      </c>
      <c r="BF10" s="280">
        <v>69.5</v>
      </c>
      <c r="BG10" s="280">
        <v>78.7</v>
      </c>
      <c r="BH10" s="280">
        <v>76.599999999999994</v>
      </c>
      <c r="BI10" s="280">
        <v>80.3</v>
      </c>
      <c r="BJ10" s="280">
        <v>82.2</v>
      </c>
      <c r="BK10" s="280">
        <v>92.5</v>
      </c>
      <c r="BL10" s="280">
        <v>86.9</v>
      </c>
      <c r="BM10" s="280">
        <v>88</v>
      </c>
      <c r="BN10" s="280">
        <v>76.5</v>
      </c>
      <c r="BO10" s="280">
        <v>79.5</v>
      </c>
      <c r="BP10" s="6" t="s">
        <v>35</v>
      </c>
      <c r="BQ10" s="7">
        <v>25.2</v>
      </c>
      <c r="BR10" s="7">
        <v>28.2</v>
      </c>
      <c r="BS10" s="7">
        <v>25.7</v>
      </c>
      <c r="BT10" s="7">
        <v>30.9</v>
      </c>
      <c r="BU10" s="7">
        <v>29</v>
      </c>
      <c r="BV10" s="7">
        <v>35.1</v>
      </c>
      <c r="BW10" s="7">
        <v>31.3</v>
      </c>
      <c r="BX10" s="7">
        <v>29.700000000000003</v>
      </c>
      <c r="BY10" s="7">
        <v>30.9</v>
      </c>
      <c r="BZ10" s="7">
        <v>31.3</v>
      </c>
      <c r="CA10" s="6" t="s">
        <v>35</v>
      </c>
      <c r="CB10" s="7">
        <v>143.30000000000001</v>
      </c>
      <c r="CC10" s="7">
        <v>133.19999999999999</v>
      </c>
      <c r="CD10" s="7">
        <v>138.9</v>
      </c>
      <c r="CE10" s="7">
        <v>143.60000000000002</v>
      </c>
      <c r="CF10" s="7">
        <v>135.30000000000001</v>
      </c>
      <c r="CG10" s="7">
        <v>130.5</v>
      </c>
      <c r="CH10" s="7">
        <v>135.69999999999999</v>
      </c>
      <c r="CI10" s="7">
        <v>138.89999999999998</v>
      </c>
      <c r="CJ10" s="7">
        <v>135.1</v>
      </c>
      <c r="CK10" s="7">
        <v>140.69999999999999</v>
      </c>
      <c r="CL10" s="129" t="s">
        <v>35</v>
      </c>
      <c r="CM10" s="280">
        <v>116.2</v>
      </c>
      <c r="CN10" s="280">
        <v>110.7</v>
      </c>
      <c r="CO10" s="280">
        <v>132</v>
      </c>
      <c r="CP10" s="280">
        <v>113.6</v>
      </c>
      <c r="CQ10" s="280">
        <v>109.3</v>
      </c>
      <c r="CR10" s="280">
        <v>106.1</v>
      </c>
      <c r="CS10" s="280">
        <v>129.19999999999999</v>
      </c>
      <c r="CT10" s="280">
        <v>108.4</v>
      </c>
      <c r="CU10" s="280">
        <v>107.9</v>
      </c>
      <c r="CV10" s="280">
        <v>108.6</v>
      </c>
      <c r="CW10" s="130" t="s">
        <v>35</v>
      </c>
      <c r="CX10" s="280">
        <v>98.3</v>
      </c>
      <c r="CY10" s="280">
        <v>98.7</v>
      </c>
      <c r="CZ10" s="280">
        <v>114</v>
      </c>
      <c r="DA10" s="280">
        <v>105.5</v>
      </c>
      <c r="DB10" s="280">
        <v>105.3</v>
      </c>
      <c r="DC10" s="280">
        <v>112.9</v>
      </c>
      <c r="DD10" s="280">
        <v>121.5</v>
      </c>
      <c r="DE10" s="280">
        <v>107.1</v>
      </c>
      <c r="DF10" s="280">
        <v>105.9</v>
      </c>
      <c r="DG10" s="280">
        <v>106.8</v>
      </c>
      <c r="DH10" s="131" t="s">
        <v>35</v>
      </c>
      <c r="DI10" s="280">
        <v>102.9</v>
      </c>
      <c r="DJ10" s="280">
        <v>104.1</v>
      </c>
      <c r="DK10" s="280">
        <v>111.3</v>
      </c>
      <c r="DL10" s="280">
        <v>106.9</v>
      </c>
      <c r="DM10" s="280">
        <v>113.2</v>
      </c>
      <c r="DN10" s="280">
        <v>117.3</v>
      </c>
      <c r="DO10" s="280">
        <v>118.2</v>
      </c>
      <c r="DP10" s="280">
        <v>114.4</v>
      </c>
      <c r="DQ10" s="280">
        <v>108.9</v>
      </c>
      <c r="DR10" s="280">
        <v>115.8</v>
      </c>
      <c r="DS10" s="132" t="s">
        <v>35</v>
      </c>
      <c r="DT10" s="281"/>
      <c r="DU10" s="281"/>
      <c r="DV10" s="281"/>
      <c r="DW10" s="281"/>
      <c r="DX10" s="281"/>
      <c r="DY10" s="281"/>
      <c r="DZ10" s="281"/>
      <c r="EA10" s="281"/>
      <c r="EB10" s="281"/>
      <c r="EC10" s="281"/>
      <c r="ED10" s="2" t="s">
        <v>35</v>
      </c>
      <c r="EE10" s="280">
        <v>6.6</v>
      </c>
      <c r="EF10" s="280">
        <v>6</v>
      </c>
      <c r="EG10" s="280">
        <v>6.5</v>
      </c>
      <c r="EH10" s="280">
        <v>7.2</v>
      </c>
      <c r="EI10" s="280">
        <v>7.1</v>
      </c>
      <c r="EJ10" s="280">
        <v>7.8</v>
      </c>
      <c r="EK10" s="280">
        <v>7.3</v>
      </c>
      <c r="EL10" s="280">
        <v>6.4</v>
      </c>
      <c r="EM10" s="280">
        <v>6</v>
      </c>
      <c r="EN10" s="280">
        <v>5.5</v>
      </c>
      <c r="EO10" s="2" t="s">
        <v>35</v>
      </c>
      <c r="EP10" s="280">
        <v>73.3</v>
      </c>
      <c r="EQ10" s="280">
        <v>71.7</v>
      </c>
      <c r="ER10" s="280">
        <v>70.599999999999994</v>
      </c>
      <c r="ES10" s="280">
        <v>73.400000000000006</v>
      </c>
      <c r="ET10" s="280">
        <v>76.2</v>
      </c>
      <c r="EU10" s="280">
        <v>85.5</v>
      </c>
      <c r="EV10" s="280">
        <v>74.3</v>
      </c>
      <c r="EW10" s="280">
        <v>77.400000000000006</v>
      </c>
      <c r="EX10" s="280">
        <v>87.4</v>
      </c>
      <c r="EY10" s="280">
        <v>95.6</v>
      </c>
      <c r="EZ10" s="2" t="s">
        <v>35</v>
      </c>
      <c r="FA10" s="280">
        <v>59.4</v>
      </c>
      <c r="FB10" s="280">
        <v>58.2</v>
      </c>
      <c r="FC10" s="280">
        <v>61.4</v>
      </c>
      <c r="FD10" s="280">
        <v>58.5</v>
      </c>
      <c r="FE10" s="280">
        <v>62.9</v>
      </c>
      <c r="FF10" s="280">
        <v>58.2</v>
      </c>
      <c r="FG10" s="280">
        <v>58</v>
      </c>
      <c r="FH10" s="280">
        <v>59.3</v>
      </c>
      <c r="FI10" s="280">
        <v>52.6</v>
      </c>
      <c r="FJ10" s="280">
        <v>52.5</v>
      </c>
      <c r="FK10" s="2" t="s">
        <v>35</v>
      </c>
      <c r="FL10" s="280">
        <v>21.7</v>
      </c>
      <c r="FM10" s="280">
        <v>23.3</v>
      </c>
      <c r="FN10" s="280">
        <v>33.4</v>
      </c>
      <c r="FO10" s="280">
        <v>24.9</v>
      </c>
      <c r="FP10" s="280">
        <v>27.1</v>
      </c>
      <c r="FQ10" s="280">
        <v>24.3</v>
      </c>
      <c r="FR10" s="280">
        <v>33.6</v>
      </c>
      <c r="FS10" s="280">
        <v>25.2</v>
      </c>
      <c r="FT10" s="280">
        <v>23</v>
      </c>
      <c r="FU10" s="280">
        <v>20.399999999999999</v>
      </c>
      <c r="FV10" s="2" t="s">
        <v>35</v>
      </c>
      <c r="FW10" s="280">
        <v>67.400000000000006</v>
      </c>
      <c r="FX10" s="280">
        <v>64.900000000000006</v>
      </c>
      <c r="FY10" s="280">
        <v>81</v>
      </c>
      <c r="FZ10" s="280">
        <v>70.3</v>
      </c>
      <c r="GA10" s="280">
        <v>74</v>
      </c>
      <c r="GB10" s="280">
        <v>74.2</v>
      </c>
      <c r="GC10" s="280">
        <v>83.6</v>
      </c>
      <c r="GD10" s="280">
        <v>66.099999999999994</v>
      </c>
      <c r="GE10" s="280">
        <v>67.3</v>
      </c>
      <c r="GF10" s="280">
        <v>70.2</v>
      </c>
      <c r="GG10" s="2" t="s">
        <v>35</v>
      </c>
      <c r="GH10" s="281"/>
      <c r="GI10" s="280">
        <v>4.2</v>
      </c>
      <c r="GJ10" s="280">
        <v>7</v>
      </c>
      <c r="GK10" s="281"/>
      <c r="GL10" s="281"/>
      <c r="GM10" s="280">
        <v>4.8</v>
      </c>
      <c r="GN10" s="280">
        <v>7.2</v>
      </c>
      <c r="GO10" s="280">
        <v>5.4</v>
      </c>
      <c r="GP10" s="281"/>
      <c r="GQ10" s="280">
        <v>5.8</v>
      </c>
      <c r="GR10" s="2" t="s">
        <v>35</v>
      </c>
      <c r="GS10" s="280">
        <v>55.1</v>
      </c>
      <c r="GT10" s="280">
        <v>56</v>
      </c>
      <c r="GU10" s="280">
        <v>57.1</v>
      </c>
      <c r="GV10" s="280">
        <v>60.9</v>
      </c>
      <c r="GW10" s="280">
        <v>51.6</v>
      </c>
      <c r="GX10" s="280">
        <v>52</v>
      </c>
      <c r="GY10" s="280">
        <v>64.099999999999994</v>
      </c>
      <c r="GZ10" s="280">
        <v>59.9</v>
      </c>
      <c r="HA10" s="280">
        <v>51</v>
      </c>
      <c r="HB10" s="280">
        <v>50.8</v>
      </c>
      <c r="HC10" s="2" t="s">
        <v>35</v>
      </c>
      <c r="HD10" s="280">
        <v>10.9</v>
      </c>
      <c r="HE10" s="280">
        <v>8.6999999999999993</v>
      </c>
      <c r="HF10" s="280">
        <v>10.1</v>
      </c>
      <c r="HG10" s="280">
        <v>9.6999999999999993</v>
      </c>
      <c r="HH10" s="280">
        <v>9.1</v>
      </c>
      <c r="HI10" s="280">
        <v>10.1</v>
      </c>
      <c r="HJ10" s="280">
        <v>9.6999999999999993</v>
      </c>
      <c r="HK10" s="280">
        <v>9.6</v>
      </c>
      <c r="HL10" s="280">
        <v>11.3</v>
      </c>
      <c r="HM10" s="280">
        <v>10.4</v>
      </c>
      <c r="HN10" s="279" t="s">
        <v>35</v>
      </c>
      <c r="HO10" s="280">
        <v>20</v>
      </c>
      <c r="HP10" s="280">
        <v>20</v>
      </c>
      <c r="HQ10" s="280">
        <v>29.5</v>
      </c>
      <c r="HR10" s="280">
        <v>17.600000000000001</v>
      </c>
      <c r="HS10" s="280">
        <v>17</v>
      </c>
      <c r="HT10" s="280">
        <v>18.5</v>
      </c>
      <c r="HU10" s="280">
        <v>29</v>
      </c>
      <c r="HV10" s="280">
        <v>18.7</v>
      </c>
      <c r="HW10" s="280">
        <v>18.8</v>
      </c>
      <c r="HX10" s="280">
        <v>18.8</v>
      </c>
      <c r="HY10" s="2" t="s">
        <v>35</v>
      </c>
      <c r="HZ10" s="281"/>
      <c r="IA10" s="281"/>
      <c r="IB10" s="281"/>
      <c r="IC10" s="281"/>
      <c r="ID10" s="281"/>
      <c r="IE10" s="281"/>
      <c r="IF10" s="281"/>
      <c r="IG10" s="281"/>
      <c r="IH10" s="281"/>
      <c r="II10" s="281"/>
      <c r="IJ10" s="2" t="s">
        <v>35</v>
      </c>
      <c r="IK10" s="281"/>
      <c r="IL10" s="281"/>
      <c r="IM10" s="281"/>
      <c r="IN10" s="281"/>
      <c r="IO10" s="281"/>
      <c r="IP10" s="281"/>
      <c r="IQ10" s="281"/>
      <c r="IR10" s="281"/>
      <c r="IS10" s="281"/>
      <c r="IT10" s="281"/>
      <c r="IU10" s="2" t="s">
        <v>35</v>
      </c>
      <c r="IV10" s="281"/>
      <c r="IW10" s="281"/>
      <c r="IX10" s="280"/>
      <c r="IY10" s="281"/>
      <c r="IZ10" s="281"/>
      <c r="JA10" s="281"/>
      <c r="JB10" s="281"/>
      <c r="JC10" s="281"/>
      <c r="JD10" s="281"/>
      <c r="JE10" s="281"/>
      <c r="JF10" s="2" t="s">
        <v>35</v>
      </c>
      <c r="JG10" s="280">
        <v>41.4</v>
      </c>
      <c r="JH10" s="280">
        <v>35.5</v>
      </c>
      <c r="JI10" s="280">
        <v>45.7</v>
      </c>
      <c r="JJ10" s="280">
        <v>38.799999999999997</v>
      </c>
      <c r="JK10" s="280">
        <v>37</v>
      </c>
      <c r="JL10" s="280">
        <v>40.6</v>
      </c>
      <c r="JM10" s="280">
        <v>50.4</v>
      </c>
      <c r="JN10" s="280">
        <v>44.9</v>
      </c>
      <c r="JO10" s="280">
        <v>44</v>
      </c>
      <c r="JP10" s="280">
        <v>41</v>
      </c>
      <c r="JQ10" s="2" t="s">
        <v>35</v>
      </c>
      <c r="JR10" s="280">
        <v>29.9</v>
      </c>
      <c r="JS10" s="280">
        <v>34.299999999999997</v>
      </c>
      <c r="JT10" s="280">
        <v>36.6</v>
      </c>
      <c r="JU10" s="280">
        <v>37</v>
      </c>
      <c r="JV10" s="280">
        <v>27.1</v>
      </c>
      <c r="JW10" s="280">
        <v>29.4</v>
      </c>
      <c r="JX10" s="280">
        <v>34.9</v>
      </c>
      <c r="JY10" s="280">
        <v>28.4</v>
      </c>
      <c r="JZ10" s="280">
        <v>22</v>
      </c>
      <c r="KA10" s="280">
        <v>27</v>
      </c>
      <c r="KB10" s="2" t="s">
        <v>35</v>
      </c>
      <c r="KC10" s="280">
        <v>38.700000000000003</v>
      </c>
      <c r="KD10" s="280">
        <v>37.200000000000003</v>
      </c>
      <c r="KE10" s="280">
        <v>43.6</v>
      </c>
      <c r="KF10" s="280">
        <v>43.1</v>
      </c>
      <c r="KG10" s="280">
        <v>41.9</v>
      </c>
      <c r="KH10" s="280">
        <v>38.4</v>
      </c>
      <c r="KI10" s="280">
        <v>43.1</v>
      </c>
      <c r="KJ10" s="280">
        <v>40.9</v>
      </c>
      <c r="KK10" s="280">
        <v>38.1</v>
      </c>
      <c r="KL10" s="280">
        <v>37.5</v>
      </c>
      <c r="KM10" s="2" t="s">
        <v>35</v>
      </c>
      <c r="KN10" s="280">
        <v>11.2</v>
      </c>
      <c r="KO10" s="280">
        <v>11.6</v>
      </c>
      <c r="KP10" s="280">
        <v>13.7</v>
      </c>
      <c r="KQ10" s="280">
        <v>11.2</v>
      </c>
      <c r="KR10" s="280">
        <v>9.1999999999999993</v>
      </c>
      <c r="KS10" s="280">
        <v>8.8000000000000007</v>
      </c>
      <c r="KT10" s="280">
        <v>8.3000000000000007</v>
      </c>
      <c r="KU10" s="280">
        <v>10</v>
      </c>
      <c r="KV10" s="280">
        <v>11.2</v>
      </c>
      <c r="KW10" s="280">
        <v>10.5</v>
      </c>
      <c r="KX10" s="2" t="s">
        <v>35</v>
      </c>
      <c r="KY10" s="280">
        <v>32.1</v>
      </c>
      <c r="KZ10" s="280">
        <v>26.4</v>
      </c>
      <c r="LA10" s="280">
        <v>43.6</v>
      </c>
      <c r="LB10" s="280">
        <v>27.2</v>
      </c>
      <c r="LC10" s="280">
        <v>38.9</v>
      </c>
      <c r="LD10" s="280">
        <v>35.1</v>
      </c>
      <c r="LE10" s="280">
        <v>46.7</v>
      </c>
      <c r="LF10" s="280">
        <v>31.1</v>
      </c>
      <c r="LG10" s="280">
        <v>32</v>
      </c>
      <c r="LH10" s="280">
        <v>28</v>
      </c>
      <c r="LI10" s="2" t="s">
        <v>35</v>
      </c>
      <c r="LJ10" s="280">
        <v>5.4</v>
      </c>
      <c r="LK10" s="280">
        <v>4.9000000000000004</v>
      </c>
      <c r="LL10" s="280">
        <v>5.3</v>
      </c>
      <c r="LM10" s="280">
        <v>6.3</v>
      </c>
      <c r="LN10" s="280">
        <v>6.8</v>
      </c>
      <c r="LO10" s="280">
        <v>5.4</v>
      </c>
      <c r="LP10" s="280">
        <v>6.7</v>
      </c>
      <c r="LQ10" s="280">
        <v>5</v>
      </c>
      <c r="LR10" s="280">
        <v>7.1</v>
      </c>
      <c r="LS10" s="280">
        <v>7.3</v>
      </c>
      <c r="LT10" s="2" t="s">
        <v>35</v>
      </c>
      <c r="LU10" s="280">
        <v>4.8</v>
      </c>
      <c r="LV10" s="281"/>
      <c r="LW10" s="280">
        <v>7.3</v>
      </c>
      <c r="LX10" s="280">
        <v>4.8</v>
      </c>
      <c r="LY10" s="280">
        <v>5</v>
      </c>
      <c r="LZ10" s="281"/>
      <c r="MA10" s="280">
        <v>5.7</v>
      </c>
      <c r="MB10" s="280">
        <v>6.2</v>
      </c>
      <c r="MC10" s="280">
        <v>5.7</v>
      </c>
      <c r="MD10" s="280">
        <v>5.5</v>
      </c>
      <c r="ME10" s="2" t="s">
        <v>35</v>
      </c>
      <c r="MF10" s="280">
        <v>10.9</v>
      </c>
      <c r="MG10" s="280">
        <v>13.4</v>
      </c>
      <c r="MH10" s="280">
        <v>14.1</v>
      </c>
      <c r="MI10" s="280">
        <v>13.5</v>
      </c>
      <c r="MJ10" s="280">
        <v>12.9</v>
      </c>
      <c r="MK10" s="280">
        <v>15</v>
      </c>
      <c r="ML10" s="280">
        <v>17.2</v>
      </c>
      <c r="MM10" s="280">
        <v>12.4</v>
      </c>
      <c r="MN10" s="280">
        <v>10.1</v>
      </c>
      <c r="MO10" s="280">
        <v>10.8</v>
      </c>
      <c r="MP10" s="2" t="s">
        <v>35</v>
      </c>
      <c r="MQ10" s="280">
        <v>5.6</v>
      </c>
      <c r="MR10" s="280">
        <v>7.5</v>
      </c>
      <c r="MS10" s="280">
        <v>9.5</v>
      </c>
      <c r="MT10" s="280">
        <v>7.6</v>
      </c>
      <c r="MU10" s="280">
        <v>9.6999999999999993</v>
      </c>
      <c r="MV10" s="280">
        <v>11.2</v>
      </c>
      <c r="MW10" s="280">
        <v>12.6</v>
      </c>
      <c r="MX10" s="280">
        <v>7.5</v>
      </c>
      <c r="MY10" s="280">
        <v>7.2</v>
      </c>
      <c r="MZ10" s="280">
        <v>11.7</v>
      </c>
      <c r="NA10" s="2" t="s">
        <v>35</v>
      </c>
      <c r="NB10" s="280">
        <v>19.8</v>
      </c>
      <c r="NC10" s="280">
        <v>22.6</v>
      </c>
      <c r="ND10" s="280">
        <v>28.1</v>
      </c>
      <c r="NE10" s="280">
        <v>22.6</v>
      </c>
      <c r="NF10" s="280">
        <v>18.2</v>
      </c>
      <c r="NG10" s="280">
        <v>19.8</v>
      </c>
      <c r="NH10" s="280">
        <v>21.1</v>
      </c>
      <c r="NI10" s="280">
        <v>17.399999999999999</v>
      </c>
      <c r="NJ10" s="280">
        <v>20.100000000000001</v>
      </c>
      <c r="NK10" s="280">
        <v>22.6</v>
      </c>
      <c r="NL10" s="2" t="s">
        <v>35</v>
      </c>
      <c r="NM10" s="280">
        <v>53.1</v>
      </c>
      <c r="NN10" s="280">
        <v>47.2</v>
      </c>
      <c r="NO10" s="280">
        <v>43.5</v>
      </c>
      <c r="NP10" s="280">
        <v>48.6</v>
      </c>
      <c r="NQ10" s="280">
        <v>56.1</v>
      </c>
      <c r="NR10" s="280">
        <v>59</v>
      </c>
      <c r="NS10" s="280">
        <v>50.6</v>
      </c>
      <c r="NT10" s="280">
        <v>61.1</v>
      </c>
      <c r="NU10" s="280">
        <v>59</v>
      </c>
      <c r="NV10" s="280">
        <v>60.3</v>
      </c>
      <c r="NW10" s="2" t="s">
        <v>35</v>
      </c>
      <c r="NX10" s="280">
        <v>33.200000000000003</v>
      </c>
      <c r="NY10" s="280">
        <v>36.6</v>
      </c>
      <c r="NZ10" s="280">
        <v>35.4</v>
      </c>
      <c r="OA10" s="280">
        <v>38.299999999999997</v>
      </c>
      <c r="OB10" s="280">
        <v>36.299999999999997</v>
      </c>
      <c r="OC10" s="280">
        <v>36.5</v>
      </c>
      <c r="OD10" s="280">
        <v>37.1</v>
      </c>
      <c r="OE10" s="280">
        <v>34.299999999999997</v>
      </c>
      <c r="OF10" s="280">
        <v>36.6</v>
      </c>
      <c r="OG10" s="280">
        <v>39.200000000000003</v>
      </c>
      <c r="OH10" s="191" t="s">
        <v>35</v>
      </c>
      <c r="OI10" s="192">
        <v>5.6</v>
      </c>
      <c r="OJ10" s="192">
        <v>5.6</v>
      </c>
      <c r="OK10" s="192">
        <v>5.8</v>
      </c>
      <c r="OL10" s="192">
        <v>5.8</v>
      </c>
      <c r="OM10" s="192">
        <v>5.6</v>
      </c>
      <c r="ON10" s="192">
        <v>5.7</v>
      </c>
      <c r="OO10" s="192">
        <v>6.3</v>
      </c>
      <c r="OP10" s="192">
        <v>6.1</v>
      </c>
      <c r="OQ10" s="192">
        <v>6.1</v>
      </c>
      <c r="OR10" s="192">
        <v>5.6</v>
      </c>
      <c r="OS10" s="2" t="s">
        <v>35</v>
      </c>
      <c r="OT10" s="340">
        <v>0.9</v>
      </c>
      <c r="OU10" s="340">
        <v>0.2</v>
      </c>
      <c r="OV10" s="340">
        <v>0.4</v>
      </c>
      <c r="OW10" s="340">
        <v>1.1000000000000001</v>
      </c>
      <c r="OX10" s="340">
        <v>0.6</v>
      </c>
      <c r="OY10" s="340">
        <v>0.6</v>
      </c>
      <c r="OZ10" s="340">
        <v>0.8</v>
      </c>
      <c r="PA10" s="340">
        <v>0.8</v>
      </c>
      <c r="PB10" s="340">
        <v>0.9</v>
      </c>
      <c r="PC10" s="340">
        <v>0.3</v>
      </c>
      <c r="PE10" s="185">
        <f>E10-'[1]Data-temp_employment'!F10</f>
        <v>-9.9999999999999645E-2</v>
      </c>
      <c r="PF10" s="185">
        <f>F10-'[1]Data-temp_employment'!G10</f>
        <v>-9.9999999999999645E-2</v>
      </c>
      <c r="PG10" s="185">
        <f>O10-'[1]Data-temp_employment'!P10</f>
        <v>-3.1000000000000227</v>
      </c>
      <c r="PH10" s="185">
        <f>P10-'[1]Data-temp_employment'!Q10</f>
        <v>6</v>
      </c>
      <c r="PI10" s="185">
        <f>AD10-'[1]Data-temp_employment'!AE10</f>
        <v>0</v>
      </c>
      <c r="PJ10" s="185">
        <f>AE10-'[1]Data-temp_employment'!AF10</f>
        <v>0</v>
      </c>
      <c r="PK10" s="185">
        <f>BR10-'[1]Data-temp_employment'!BS10</f>
        <v>6.0999999999999979</v>
      </c>
      <c r="PL10" s="185">
        <f>BS10-'[1]Data-temp_employment'!BT10</f>
        <v>2.0999999999999979</v>
      </c>
      <c r="PM10" s="185">
        <f>CC10-'[1]Data-temp_employment'!CD10</f>
        <v>-7</v>
      </c>
      <c r="PN10" s="185">
        <f>CD10-'[1]Data-temp_employment'!CE10</f>
        <v>-4.9000000000000057</v>
      </c>
      <c r="PO10" s="185">
        <f>CR10-'[1]Data-temp_employment'!CS10</f>
        <v>-4.6000000000000085</v>
      </c>
      <c r="PP10" s="185">
        <f>CS10-'[1]Data-temp_employment'!CT10</f>
        <v>-2.8000000000000114</v>
      </c>
      <c r="PQ10" s="185">
        <f>DC10-'[1]Data-temp_employment'!DD10</f>
        <v>14.200000000000003</v>
      </c>
      <c r="PR10" s="185">
        <f>DD10-'[1]Data-temp_employment'!DE10</f>
        <v>7.5</v>
      </c>
      <c r="PS10" s="185">
        <f>DN10-'[1]Data-temp_employment'!DO10</f>
        <v>13.200000000000003</v>
      </c>
      <c r="PT10" s="185">
        <f>DO10-'[1]Data-temp_employment'!DP10</f>
        <v>6.9000000000000057</v>
      </c>
      <c r="PU10" s="185">
        <f>EF10-'[1]Data-temp_employment'!EG10</f>
        <v>1.7000000000000002</v>
      </c>
      <c r="PV10" s="185">
        <f>EG10-'[1]Data-temp_employment'!EH10</f>
        <v>0.59999999999999964</v>
      </c>
      <c r="PW10" s="185">
        <f>EU10-'[1]Data-temp_employment'!EV10</f>
        <v>13.799999999999997</v>
      </c>
      <c r="PX10" s="185">
        <f>EV10-'[1]Data-temp_employment'!EW10</f>
        <v>3.7000000000000028</v>
      </c>
      <c r="PY10" s="185">
        <f>FF10-'[1]Data-temp_employment'!FG10</f>
        <v>0</v>
      </c>
      <c r="PZ10" s="185">
        <f>FG10-'[1]Data-temp_employment'!FH10</f>
        <v>-3.3999999999999986</v>
      </c>
      <c r="QA10" s="185">
        <f>FQ10-'[1]Data-temp_employment'!FR10</f>
        <v>1</v>
      </c>
      <c r="QB10" s="185">
        <f>FR10-'[1]Data-temp_employment'!FS10</f>
        <v>0.20000000000000284</v>
      </c>
      <c r="QC10" s="185">
        <f>GB10-'[1]Data-temp_employment'!GC10</f>
        <v>9.2999999999999972</v>
      </c>
      <c r="QD10" s="185">
        <f>GC10-'[1]Data-temp_employment'!GD10</f>
        <v>2.5999999999999943</v>
      </c>
      <c r="QE10" s="193">
        <f>GM10-'[1]Data-temp_employment'!GN10</f>
        <v>0.59999999999999964</v>
      </c>
      <c r="QF10" s="193">
        <f>GN10-'[1]Data-temp_employment'!GO10</f>
        <v>0.20000000000000018</v>
      </c>
      <c r="QG10" s="185">
        <f>GX10-'[1]Data-temp_employment'!GY10</f>
        <v>-4</v>
      </c>
      <c r="QH10" s="185">
        <f>GY10-'[1]Data-temp_employment'!GZ10</f>
        <v>6.9999999999999929</v>
      </c>
      <c r="QI10" s="185">
        <f>HI10-'[1]Data-temp_employment'!HJ10</f>
        <v>1.4000000000000004</v>
      </c>
      <c r="QJ10" s="185">
        <f>HJ10-'[1]Data-temp_employment'!HK10</f>
        <v>-0.40000000000000036</v>
      </c>
      <c r="QK10" s="185">
        <f>HT10-'[1]Data-temp_employment'!HU10</f>
        <v>-1.5</v>
      </c>
      <c r="QL10" s="185">
        <f>HU10-'[1]Data-temp_employment'!HV10</f>
        <v>-0.5</v>
      </c>
      <c r="QM10" s="185">
        <f>IE10-'[1]Data-temp_employment'!IF10</f>
        <v>0</v>
      </c>
      <c r="QN10" s="185">
        <f>IF10-'[1]Data-temp_employment'!IG10</f>
        <v>0</v>
      </c>
      <c r="QO10" s="185">
        <f>JA10-'[1]Data-temp_employment'!JB10</f>
        <v>0</v>
      </c>
      <c r="QP10" s="185">
        <f>JB10-'[1]Data-temp_employment'!JC10</f>
        <v>-4.0999999999999996</v>
      </c>
      <c r="QQ10" s="185">
        <f>JH10-'[1]Data-temp_employment'!JI10</f>
        <v>-3.8999999999999986</v>
      </c>
      <c r="QR10" s="185">
        <f>JI10-'[1]Data-temp_employment'!JJ10</f>
        <v>-5</v>
      </c>
      <c r="QS10" s="185">
        <f>JS10-'[1]Data-temp_employment'!JT10</f>
        <v>-1.1000000000000014</v>
      </c>
      <c r="QT10" s="185">
        <f>JT10-'[1]Data-temp_employment'!JU10</f>
        <v>-4.2999999999999972</v>
      </c>
      <c r="QU10" s="185">
        <f>KD10-'[1]Data-temp_employment'!KE10</f>
        <v>-1.7999999999999972</v>
      </c>
      <c r="QV10" s="185">
        <f>KE10-'[1]Data-temp_employment'!KF10</f>
        <v>-2.1999999999999957</v>
      </c>
      <c r="QW10" s="185">
        <f>KO10-'[1]Data-temp_employment'!KP10</f>
        <v>2.6999999999999993</v>
      </c>
      <c r="QX10" s="185">
        <f>KP10-'[1]Data-temp_employment'!KQ10</f>
        <v>3.7999999999999989</v>
      </c>
      <c r="QY10" s="185">
        <f>LD10-'[1]Data-temp_employment'!LE10</f>
        <v>8.7000000000000028</v>
      </c>
      <c r="QZ10" s="185">
        <f>LE10-'[1]Data-temp_employment'!LF10</f>
        <v>3.1000000000000014</v>
      </c>
      <c r="RA10" s="185">
        <f>LK10-'[1]Data-temp_employment'!LL10</f>
        <v>-0.69999999999999929</v>
      </c>
      <c r="RB10" s="185">
        <f>LL10-'[1]Data-temp_employment'!LM10</f>
        <v>5.3</v>
      </c>
      <c r="RC10" s="185">
        <f>LV10-'[1]Data-temp_employment'!LW10</f>
        <v>-5.8</v>
      </c>
      <c r="RD10" s="185">
        <f>LW10-'[1]Data-temp_employment'!LX10</f>
        <v>7.3</v>
      </c>
      <c r="RE10" s="185">
        <f>MK10-'[1]Data-temp_employment'!ML10</f>
        <v>1.5999999999999996</v>
      </c>
      <c r="RF10" s="185">
        <f>ML10-'[1]Data-temp_employment'!MM10</f>
        <v>3.0999999999999996</v>
      </c>
      <c r="RG10" s="185">
        <f>MV10-'[1]Data-temp_employment'!MW10</f>
        <v>3.6999999999999993</v>
      </c>
      <c r="RH10" s="185">
        <f>MW10-'[1]Data-temp_employment'!MX10</f>
        <v>3.0999999999999996</v>
      </c>
      <c r="RI10" s="185">
        <f>NG10-'[1]Data-temp_employment'!NH10</f>
        <v>-2.8000000000000007</v>
      </c>
      <c r="RJ10" s="185">
        <f>NH10-'[1]Data-temp_employment'!NI10</f>
        <v>-7</v>
      </c>
      <c r="RK10" s="185">
        <f>NR10-'[1]Data-temp_employment'!NS10</f>
        <v>11.799999999999997</v>
      </c>
      <c r="RL10" s="185">
        <f>NS10-'[1]Data-temp_employment'!NT10</f>
        <v>7.1000000000000014</v>
      </c>
      <c r="RM10" s="185">
        <f>OC10-'[1]Data-temp_employment'!OD10</f>
        <v>-0.10000000000000142</v>
      </c>
      <c r="RN10" s="185">
        <f>OD10-'[1]Data-temp_employment'!OE10</f>
        <v>1.7000000000000028</v>
      </c>
      <c r="RO10" s="185">
        <f>OT10-'[1]Data-temp_employment'!OV10</f>
        <v>0.7</v>
      </c>
      <c r="RP10" s="185">
        <f>OU10-'[1]Data-temp_employment'!OW10</f>
        <v>-9.9999999999999978E-2</v>
      </c>
    </row>
    <row r="11" spans="1:484">
      <c r="A11" s="204">
        <v>8</v>
      </c>
      <c r="B11" s="128" t="s">
        <v>17</v>
      </c>
      <c r="C11" s="332">
        <v>8.9</v>
      </c>
      <c r="D11" s="332">
        <v>9.1999999999999993</v>
      </c>
      <c r="E11" s="332">
        <v>8.9</v>
      </c>
      <c r="F11" s="332">
        <v>9.6</v>
      </c>
      <c r="G11" s="332">
        <v>9.3000000000000007</v>
      </c>
      <c r="H11" s="332">
        <v>9.6999999999999993</v>
      </c>
      <c r="I11" s="332">
        <v>11.8</v>
      </c>
      <c r="J11" s="332">
        <v>10.7</v>
      </c>
      <c r="K11" s="332">
        <v>10.1</v>
      </c>
      <c r="L11" s="332">
        <v>10.4</v>
      </c>
      <c r="M11" s="127" t="s">
        <v>17</v>
      </c>
      <c r="N11" s="332">
        <v>341</v>
      </c>
      <c r="O11" s="332">
        <v>356</v>
      </c>
      <c r="P11" s="332">
        <v>345.2</v>
      </c>
      <c r="Q11" s="332">
        <v>381.8</v>
      </c>
      <c r="R11" s="332">
        <v>361.9</v>
      </c>
      <c r="S11" s="332">
        <v>383.8</v>
      </c>
      <c r="T11" s="332">
        <v>465.6</v>
      </c>
      <c r="U11" s="332">
        <v>432.2</v>
      </c>
      <c r="V11" s="332">
        <v>407.5</v>
      </c>
      <c r="W11" s="332">
        <v>418.5</v>
      </c>
      <c r="X11" s="120" t="s">
        <v>17</v>
      </c>
      <c r="Y11" s="332">
        <v>93.6</v>
      </c>
      <c r="Z11" s="332">
        <v>91.7</v>
      </c>
      <c r="AA11" s="332">
        <v>92</v>
      </c>
      <c r="AB11" s="332">
        <v>90</v>
      </c>
      <c r="AC11" s="332">
        <v>79.3</v>
      </c>
      <c r="AD11" s="332">
        <v>79.3</v>
      </c>
      <c r="AE11" s="332">
        <v>130.4</v>
      </c>
      <c r="AF11" s="332">
        <v>92</v>
      </c>
      <c r="AG11" s="332">
        <v>95.3</v>
      </c>
      <c r="AH11" s="332">
        <v>101.2</v>
      </c>
      <c r="AI11" s="119" t="s">
        <v>17</v>
      </c>
      <c r="AJ11" s="332">
        <v>34.9</v>
      </c>
      <c r="AK11" s="332">
        <v>37.1</v>
      </c>
      <c r="AL11" s="332">
        <v>53.6</v>
      </c>
      <c r="AM11" s="332">
        <v>50.5</v>
      </c>
      <c r="AN11" s="332">
        <v>45.4</v>
      </c>
      <c r="AO11" s="332">
        <v>52.3</v>
      </c>
      <c r="AP11" s="332">
        <v>73.8</v>
      </c>
      <c r="AQ11" s="332">
        <v>60.1</v>
      </c>
      <c r="AR11" s="332">
        <v>57.2</v>
      </c>
      <c r="AS11" s="332">
        <v>55</v>
      </c>
      <c r="AT11" s="119" t="s">
        <v>17</v>
      </c>
      <c r="AU11" s="332">
        <v>47.3</v>
      </c>
      <c r="AV11" s="332">
        <v>66.5</v>
      </c>
      <c r="AW11" s="332">
        <v>55</v>
      </c>
      <c r="AX11" s="332">
        <v>64</v>
      </c>
      <c r="AY11" s="332">
        <v>56.7</v>
      </c>
      <c r="AZ11" s="332">
        <v>66.2</v>
      </c>
      <c r="BA11" s="332">
        <v>69.7</v>
      </c>
      <c r="BB11" s="332">
        <v>66.5</v>
      </c>
      <c r="BC11" s="332">
        <v>62.9</v>
      </c>
      <c r="BD11" s="332">
        <v>71</v>
      </c>
      <c r="BE11" s="119" t="s">
        <v>17</v>
      </c>
      <c r="BF11" s="280">
        <v>106.7</v>
      </c>
      <c r="BG11" s="280">
        <v>104.5</v>
      </c>
      <c r="BH11" s="280">
        <v>94.1</v>
      </c>
      <c r="BI11" s="280">
        <v>111.6</v>
      </c>
      <c r="BJ11" s="280">
        <v>110.1</v>
      </c>
      <c r="BK11" s="280">
        <v>116.4</v>
      </c>
      <c r="BL11" s="280">
        <v>119.1</v>
      </c>
      <c r="BM11" s="280">
        <v>136.19999999999999</v>
      </c>
      <c r="BN11" s="280">
        <v>120.6</v>
      </c>
      <c r="BO11" s="280">
        <v>122.4</v>
      </c>
      <c r="BP11" s="6" t="s">
        <v>17</v>
      </c>
      <c r="BQ11" s="7">
        <v>27.799999999999997</v>
      </c>
      <c r="BR11" s="7">
        <v>19.8</v>
      </c>
      <c r="BS11" s="7">
        <v>20.3</v>
      </c>
      <c r="BT11" s="7">
        <v>23.5</v>
      </c>
      <c r="BU11" s="7">
        <v>27.400000000000002</v>
      </c>
      <c r="BV11" s="7">
        <v>25.400000000000002</v>
      </c>
      <c r="BW11" s="7">
        <v>26.7</v>
      </c>
      <c r="BX11" s="7">
        <v>30.4</v>
      </c>
      <c r="BY11" s="7">
        <v>33.5</v>
      </c>
      <c r="BZ11" s="7">
        <v>27.1</v>
      </c>
      <c r="CA11" s="6" t="s">
        <v>17</v>
      </c>
      <c r="CB11" s="7">
        <v>30.5</v>
      </c>
      <c r="CC11" s="7">
        <v>36.5</v>
      </c>
      <c r="CD11" s="7">
        <v>30.3</v>
      </c>
      <c r="CE11" s="7">
        <v>42.1</v>
      </c>
      <c r="CF11" s="7">
        <v>43</v>
      </c>
      <c r="CG11" s="7">
        <v>44.099999999999994</v>
      </c>
      <c r="CH11" s="7">
        <v>45.9</v>
      </c>
      <c r="CI11" s="7">
        <v>47.1</v>
      </c>
      <c r="CJ11" s="7">
        <v>38.1</v>
      </c>
      <c r="CK11" s="7">
        <v>41.8</v>
      </c>
      <c r="CL11" s="129" t="s">
        <v>17</v>
      </c>
      <c r="CM11" s="280">
        <v>77.3</v>
      </c>
      <c r="CN11" s="280">
        <v>85.2</v>
      </c>
      <c r="CO11" s="280">
        <v>75.8</v>
      </c>
      <c r="CP11" s="280">
        <v>79.099999999999994</v>
      </c>
      <c r="CQ11" s="280">
        <v>75.7</v>
      </c>
      <c r="CR11" s="280">
        <v>90.7</v>
      </c>
      <c r="CS11" s="280">
        <v>110.8</v>
      </c>
      <c r="CT11" s="280">
        <v>92.7</v>
      </c>
      <c r="CU11" s="280">
        <v>92.8</v>
      </c>
      <c r="CV11" s="280">
        <v>106.3</v>
      </c>
      <c r="CW11" s="130" t="s">
        <v>17</v>
      </c>
      <c r="CX11" s="280">
        <v>129.19999999999999</v>
      </c>
      <c r="CY11" s="280">
        <v>141.80000000000001</v>
      </c>
      <c r="CZ11" s="280">
        <v>141.69999999999999</v>
      </c>
      <c r="DA11" s="280">
        <v>153</v>
      </c>
      <c r="DB11" s="280">
        <v>135.4</v>
      </c>
      <c r="DC11" s="280">
        <v>141.30000000000001</v>
      </c>
      <c r="DD11" s="280">
        <v>174.2</v>
      </c>
      <c r="DE11" s="280">
        <v>159.6</v>
      </c>
      <c r="DF11" s="280">
        <v>149.6</v>
      </c>
      <c r="DG11" s="280">
        <v>141.6</v>
      </c>
      <c r="DH11" s="131" t="s">
        <v>17</v>
      </c>
      <c r="DI11" s="280">
        <v>134.4</v>
      </c>
      <c r="DJ11" s="280">
        <v>129.1</v>
      </c>
      <c r="DK11" s="280">
        <v>127.7</v>
      </c>
      <c r="DL11" s="280">
        <v>149.69999999999999</v>
      </c>
      <c r="DM11" s="280">
        <v>150.80000000000001</v>
      </c>
      <c r="DN11" s="280">
        <v>151.69999999999999</v>
      </c>
      <c r="DO11" s="280">
        <v>180.6</v>
      </c>
      <c r="DP11" s="280">
        <v>180</v>
      </c>
      <c r="DQ11" s="280">
        <v>165.1</v>
      </c>
      <c r="DR11" s="280">
        <v>170.6</v>
      </c>
      <c r="DS11" s="132" t="s">
        <v>17</v>
      </c>
      <c r="DT11" s="281"/>
      <c r="DU11" s="281"/>
      <c r="DV11" s="281"/>
      <c r="DW11" s="281"/>
      <c r="DX11" s="281"/>
      <c r="DY11" s="281"/>
      <c r="DZ11" s="281"/>
      <c r="EA11" s="281"/>
      <c r="EB11" s="281"/>
      <c r="EC11" s="281"/>
      <c r="ED11" s="2" t="s">
        <v>17</v>
      </c>
      <c r="EE11" s="280">
        <v>8</v>
      </c>
      <c r="EF11" s="280">
        <v>6.8</v>
      </c>
      <c r="EG11" s="281"/>
      <c r="EH11" s="280">
        <v>7.3</v>
      </c>
      <c r="EI11" s="280">
        <v>8.1</v>
      </c>
      <c r="EJ11" s="280">
        <v>5.8</v>
      </c>
      <c r="EK11" s="280">
        <v>11.1</v>
      </c>
      <c r="EL11" s="280">
        <v>8.4</v>
      </c>
      <c r="EM11" s="280">
        <v>9.1</v>
      </c>
      <c r="EN11" s="280">
        <v>5.0999999999999996</v>
      </c>
      <c r="EO11" s="2" t="s">
        <v>17</v>
      </c>
      <c r="EP11" s="280">
        <v>83.6</v>
      </c>
      <c r="EQ11" s="280">
        <v>83.8</v>
      </c>
      <c r="ER11" s="280">
        <v>80.3</v>
      </c>
      <c r="ES11" s="280">
        <v>95.3</v>
      </c>
      <c r="ET11" s="280">
        <v>94.9</v>
      </c>
      <c r="EU11" s="280">
        <v>96.9</v>
      </c>
      <c r="EV11" s="280">
        <v>97.3</v>
      </c>
      <c r="EW11" s="280">
        <v>116.7</v>
      </c>
      <c r="EX11" s="280">
        <v>108.6</v>
      </c>
      <c r="EY11" s="280">
        <v>110.6</v>
      </c>
      <c r="EZ11" s="2" t="s">
        <v>17</v>
      </c>
      <c r="FA11" s="280">
        <v>24.5</v>
      </c>
      <c r="FB11" s="280">
        <v>25.7</v>
      </c>
      <c r="FC11" s="280">
        <v>29.3</v>
      </c>
      <c r="FD11" s="280">
        <v>31.5</v>
      </c>
      <c r="FE11" s="280">
        <v>34.5</v>
      </c>
      <c r="FF11" s="280">
        <v>32.299999999999997</v>
      </c>
      <c r="FG11" s="280">
        <v>46</v>
      </c>
      <c r="FH11" s="280">
        <v>31.7</v>
      </c>
      <c r="FI11" s="280">
        <v>24.9</v>
      </c>
      <c r="FJ11" s="280">
        <v>31.3</v>
      </c>
      <c r="FK11" s="2" t="s">
        <v>17</v>
      </c>
      <c r="FL11" s="280">
        <v>31.2</v>
      </c>
      <c r="FM11" s="280">
        <v>29.5</v>
      </c>
      <c r="FN11" s="280">
        <v>32.799999999999997</v>
      </c>
      <c r="FO11" s="280">
        <v>32.200000000000003</v>
      </c>
      <c r="FP11" s="280">
        <v>33.299999999999997</v>
      </c>
      <c r="FQ11" s="280">
        <v>36</v>
      </c>
      <c r="FR11" s="280">
        <v>43.7</v>
      </c>
      <c r="FS11" s="280">
        <v>46</v>
      </c>
      <c r="FT11" s="280">
        <v>47.4</v>
      </c>
      <c r="FU11" s="280">
        <v>40.6</v>
      </c>
      <c r="FV11" s="2" t="s">
        <v>17</v>
      </c>
      <c r="FW11" s="280">
        <v>71.599999999999994</v>
      </c>
      <c r="FX11" s="280">
        <v>78.5</v>
      </c>
      <c r="FY11" s="280">
        <v>72.5</v>
      </c>
      <c r="FZ11" s="280">
        <v>70.099999999999994</v>
      </c>
      <c r="GA11" s="280">
        <v>70</v>
      </c>
      <c r="GB11" s="280">
        <v>80.5</v>
      </c>
      <c r="GC11" s="280">
        <v>93.2</v>
      </c>
      <c r="GD11" s="280">
        <v>92.2</v>
      </c>
      <c r="GE11" s="280">
        <v>88.8</v>
      </c>
      <c r="GF11" s="280">
        <v>86.1</v>
      </c>
      <c r="GG11" s="2" t="s">
        <v>17</v>
      </c>
      <c r="GH11" s="281"/>
      <c r="GI11" s="281"/>
      <c r="GJ11" s="281"/>
      <c r="GK11" s="281"/>
      <c r="GL11" s="281"/>
      <c r="GM11" s="281"/>
      <c r="GN11" s="281"/>
      <c r="GO11" s="281"/>
      <c r="GP11" s="281"/>
      <c r="GQ11" s="280"/>
      <c r="GR11" s="2" t="s">
        <v>17</v>
      </c>
      <c r="GS11" s="280">
        <v>26.9</v>
      </c>
      <c r="GT11" s="280">
        <v>31.5</v>
      </c>
      <c r="GU11" s="280">
        <v>31.4</v>
      </c>
      <c r="GV11" s="280">
        <v>39.200000000000003</v>
      </c>
      <c r="GW11" s="280">
        <v>33.9</v>
      </c>
      <c r="GX11" s="280">
        <v>32.9</v>
      </c>
      <c r="GY11" s="280">
        <v>46.5</v>
      </c>
      <c r="GZ11" s="280">
        <v>40.9</v>
      </c>
      <c r="HA11" s="280">
        <v>33.4</v>
      </c>
      <c r="HB11" s="280">
        <v>34.6</v>
      </c>
      <c r="HC11" s="2" t="s">
        <v>17</v>
      </c>
      <c r="HD11" s="280">
        <v>28.7</v>
      </c>
      <c r="HE11" s="280">
        <v>31.6</v>
      </c>
      <c r="HF11" s="280">
        <v>27.8</v>
      </c>
      <c r="HG11" s="280">
        <v>35.299999999999997</v>
      </c>
      <c r="HH11" s="280">
        <v>27.4</v>
      </c>
      <c r="HI11" s="280">
        <v>30.1</v>
      </c>
      <c r="HJ11" s="280">
        <v>34</v>
      </c>
      <c r="HK11" s="280">
        <v>29.1</v>
      </c>
      <c r="HL11" s="280">
        <v>34.9</v>
      </c>
      <c r="HM11" s="280">
        <v>39.200000000000003</v>
      </c>
      <c r="HN11" s="279" t="s">
        <v>17</v>
      </c>
      <c r="HO11" s="280">
        <v>65.3</v>
      </c>
      <c r="HP11" s="280">
        <v>66</v>
      </c>
      <c r="HQ11" s="280">
        <v>62</v>
      </c>
      <c r="HR11" s="280">
        <v>69.2</v>
      </c>
      <c r="HS11" s="280">
        <v>55.8</v>
      </c>
      <c r="HT11" s="280">
        <v>62.7</v>
      </c>
      <c r="HU11" s="280">
        <v>89.3</v>
      </c>
      <c r="HV11" s="280">
        <v>63.3</v>
      </c>
      <c r="HW11" s="280">
        <v>58.8</v>
      </c>
      <c r="HX11" s="280">
        <v>63.9</v>
      </c>
      <c r="HY11" s="2" t="s">
        <v>17</v>
      </c>
      <c r="HZ11" s="281"/>
      <c r="IA11" s="281"/>
      <c r="IB11" s="281"/>
      <c r="IC11" s="281"/>
      <c r="ID11" s="281"/>
      <c r="IE11" s="281"/>
      <c r="IF11" s="281"/>
      <c r="IG11" s="281"/>
      <c r="IH11" s="281"/>
      <c r="II11" s="281"/>
      <c r="IJ11" s="2" t="s">
        <v>17</v>
      </c>
      <c r="IK11" s="281"/>
      <c r="IL11" s="281"/>
      <c r="IM11" s="281"/>
      <c r="IN11" s="281"/>
      <c r="IO11" s="281"/>
      <c r="IP11" s="281"/>
      <c r="IQ11" s="281"/>
      <c r="IR11" s="281"/>
      <c r="IS11" s="281"/>
      <c r="IT11" s="281"/>
      <c r="IU11" s="2" t="s">
        <v>17</v>
      </c>
      <c r="IV11" s="281"/>
      <c r="IW11" s="281"/>
      <c r="IX11" s="281"/>
      <c r="IY11" s="281"/>
      <c r="IZ11" s="281"/>
      <c r="JA11" s="280"/>
      <c r="JB11" s="281"/>
      <c r="JC11" s="281"/>
      <c r="JD11" s="281"/>
      <c r="JE11" s="281"/>
      <c r="JF11" s="2" t="s">
        <v>17</v>
      </c>
      <c r="JG11" s="280">
        <v>34.200000000000003</v>
      </c>
      <c r="JH11" s="280">
        <v>42.8</v>
      </c>
      <c r="JI11" s="280">
        <v>35.700000000000003</v>
      </c>
      <c r="JJ11" s="280">
        <v>45.2</v>
      </c>
      <c r="JK11" s="280">
        <v>37.700000000000003</v>
      </c>
      <c r="JL11" s="280">
        <v>37.799999999999997</v>
      </c>
      <c r="JM11" s="280">
        <v>48</v>
      </c>
      <c r="JN11" s="280">
        <v>51.3</v>
      </c>
      <c r="JO11" s="280">
        <v>53.8</v>
      </c>
      <c r="JP11" s="280">
        <v>49.5</v>
      </c>
      <c r="JQ11" s="2" t="s">
        <v>17</v>
      </c>
      <c r="JR11" s="280">
        <v>13.4</v>
      </c>
      <c r="JS11" s="280">
        <v>13.2</v>
      </c>
      <c r="JT11" s="280">
        <v>15.3</v>
      </c>
      <c r="JU11" s="280">
        <v>16.3</v>
      </c>
      <c r="JV11" s="280">
        <v>19.3</v>
      </c>
      <c r="JW11" s="280">
        <v>14.8</v>
      </c>
      <c r="JX11" s="280">
        <v>16.3</v>
      </c>
      <c r="JY11" s="280">
        <v>15.4</v>
      </c>
      <c r="JZ11" s="280">
        <v>11.5</v>
      </c>
      <c r="KA11" s="280">
        <v>18.2</v>
      </c>
      <c r="KB11" s="2" t="s">
        <v>17</v>
      </c>
      <c r="KC11" s="280">
        <v>49.6</v>
      </c>
      <c r="KD11" s="280">
        <v>53.4</v>
      </c>
      <c r="KE11" s="280">
        <v>47.3</v>
      </c>
      <c r="KF11" s="280">
        <v>54</v>
      </c>
      <c r="KG11" s="280">
        <v>50.9</v>
      </c>
      <c r="KH11" s="280">
        <v>57.7</v>
      </c>
      <c r="KI11" s="280">
        <v>75.3</v>
      </c>
      <c r="KJ11" s="280">
        <v>59.4</v>
      </c>
      <c r="KK11" s="280">
        <v>54</v>
      </c>
      <c r="KL11" s="280">
        <v>62.8</v>
      </c>
      <c r="KM11" s="2" t="s">
        <v>17</v>
      </c>
      <c r="KN11" s="280">
        <v>18.7</v>
      </c>
      <c r="KO11" s="280">
        <v>15.2</v>
      </c>
      <c r="KP11" s="280">
        <v>17.399999999999999</v>
      </c>
      <c r="KQ11" s="280">
        <v>14.8</v>
      </c>
      <c r="KR11" s="280">
        <v>17.399999999999999</v>
      </c>
      <c r="KS11" s="280">
        <v>15.5</v>
      </c>
      <c r="KT11" s="280">
        <v>20.5</v>
      </c>
      <c r="KU11" s="280">
        <v>20.9</v>
      </c>
      <c r="KV11" s="280">
        <v>25.2</v>
      </c>
      <c r="KW11" s="280">
        <v>17.3</v>
      </c>
      <c r="KX11" s="2" t="s">
        <v>17</v>
      </c>
      <c r="KY11" s="280">
        <v>29.5</v>
      </c>
      <c r="KZ11" s="280">
        <v>23.3</v>
      </c>
      <c r="LA11" s="280">
        <v>20.399999999999999</v>
      </c>
      <c r="LB11" s="280">
        <v>19.7</v>
      </c>
      <c r="LC11" s="280">
        <v>19.2</v>
      </c>
      <c r="LD11" s="280">
        <v>23.9</v>
      </c>
      <c r="LE11" s="280">
        <v>25.9</v>
      </c>
      <c r="LF11" s="280">
        <v>28.9</v>
      </c>
      <c r="LG11" s="280">
        <v>29.4</v>
      </c>
      <c r="LH11" s="280">
        <v>31.8</v>
      </c>
      <c r="LI11" s="2" t="s">
        <v>17</v>
      </c>
      <c r="LJ11" s="280">
        <v>5.8</v>
      </c>
      <c r="LK11" s="280">
        <v>7</v>
      </c>
      <c r="LL11" s="280">
        <v>6.7</v>
      </c>
      <c r="LM11" s="280">
        <v>8.6999999999999993</v>
      </c>
      <c r="LN11" s="280">
        <v>10.4</v>
      </c>
      <c r="LO11" s="280">
        <v>9.6</v>
      </c>
      <c r="LP11" s="280">
        <v>8.4</v>
      </c>
      <c r="LQ11" s="280">
        <v>9.9</v>
      </c>
      <c r="LR11" s="280">
        <v>10.1</v>
      </c>
      <c r="LS11" s="280">
        <v>7.7</v>
      </c>
      <c r="LT11" s="2" t="s">
        <v>17</v>
      </c>
      <c r="LU11" s="281"/>
      <c r="LV11" s="281"/>
      <c r="LW11" s="281"/>
      <c r="LX11" s="281"/>
      <c r="LY11" s="281"/>
      <c r="LZ11" s="281"/>
      <c r="MA11" s="281"/>
      <c r="MB11" s="281"/>
      <c r="MC11" s="281"/>
      <c r="MD11" s="281"/>
      <c r="ME11" s="2" t="s">
        <v>17</v>
      </c>
      <c r="MF11" s="280">
        <v>9</v>
      </c>
      <c r="MG11" s="280">
        <v>10.5</v>
      </c>
      <c r="MH11" s="280">
        <v>6.6</v>
      </c>
      <c r="MI11" s="280">
        <v>12.5</v>
      </c>
      <c r="MJ11" s="280">
        <v>7.1</v>
      </c>
      <c r="MK11" s="280">
        <v>9.1</v>
      </c>
      <c r="ML11" s="280">
        <v>16.399999999999999</v>
      </c>
      <c r="MM11" s="280">
        <v>10.6</v>
      </c>
      <c r="MN11" s="280">
        <v>12.2</v>
      </c>
      <c r="MO11" s="280">
        <v>14.3</v>
      </c>
      <c r="MP11" s="2" t="s">
        <v>17</v>
      </c>
      <c r="MQ11" s="280">
        <v>24.8</v>
      </c>
      <c r="MR11" s="280">
        <v>29.4</v>
      </c>
      <c r="MS11" s="280">
        <v>34.6</v>
      </c>
      <c r="MT11" s="280">
        <v>32.4</v>
      </c>
      <c r="MU11" s="280">
        <v>30.7</v>
      </c>
      <c r="MV11" s="280">
        <v>30.8</v>
      </c>
      <c r="MW11" s="280">
        <v>35.700000000000003</v>
      </c>
      <c r="MX11" s="280">
        <v>31.7</v>
      </c>
      <c r="MY11" s="280">
        <v>26.2</v>
      </c>
      <c r="MZ11" s="280">
        <v>31.8</v>
      </c>
      <c r="NA11" s="2" t="s">
        <v>17</v>
      </c>
      <c r="NB11" s="280">
        <v>21.3</v>
      </c>
      <c r="NC11" s="280">
        <v>17.2</v>
      </c>
      <c r="ND11" s="280">
        <v>23.1</v>
      </c>
      <c r="NE11" s="280">
        <v>19.3</v>
      </c>
      <c r="NF11" s="280">
        <v>22.3</v>
      </c>
      <c r="NG11" s="280">
        <v>25.1</v>
      </c>
      <c r="NH11" s="280">
        <v>32.9</v>
      </c>
      <c r="NI11" s="280">
        <v>22</v>
      </c>
      <c r="NJ11" s="280">
        <v>21.1</v>
      </c>
      <c r="NK11" s="280">
        <v>19.8</v>
      </c>
      <c r="NL11" s="2" t="s">
        <v>17</v>
      </c>
      <c r="NM11" s="280">
        <v>66.8</v>
      </c>
      <c r="NN11" s="280">
        <v>79</v>
      </c>
      <c r="NO11" s="280">
        <v>60.6</v>
      </c>
      <c r="NP11" s="280">
        <v>75.2</v>
      </c>
      <c r="NQ11" s="280">
        <v>66.599999999999994</v>
      </c>
      <c r="NR11" s="280">
        <v>68.900000000000006</v>
      </c>
      <c r="NS11" s="280">
        <v>76.3</v>
      </c>
      <c r="NT11" s="280">
        <v>88.5</v>
      </c>
      <c r="NU11" s="280">
        <v>87.7</v>
      </c>
      <c r="NV11" s="280">
        <v>91.8</v>
      </c>
      <c r="NW11" s="2" t="s">
        <v>17</v>
      </c>
      <c r="NX11" s="280">
        <v>43.1</v>
      </c>
      <c r="NY11" s="280">
        <v>34</v>
      </c>
      <c r="NZ11" s="280">
        <v>44.1</v>
      </c>
      <c r="OA11" s="280">
        <v>51.4</v>
      </c>
      <c r="OB11" s="280">
        <v>47.6</v>
      </c>
      <c r="OC11" s="280">
        <v>53</v>
      </c>
      <c r="OD11" s="280">
        <v>68.900000000000006</v>
      </c>
      <c r="OE11" s="280">
        <v>54.5</v>
      </c>
      <c r="OF11" s="280">
        <v>44</v>
      </c>
      <c r="OG11" s="280">
        <v>39.4</v>
      </c>
      <c r="OH11" s="191" t="s">
        <v>17</v>
      </c>
      <c r="OI11" s="192">
        <v>8.6999999999999993</v>
      </c>
      <c r="OJ11" s="192">
        <v>8.6</v>
      </c>
      <c r="OK11" s="192">
        <v>8.8000000000000007</v>
      </c>
      <c r="OL11" s="192">
        <v>8.4</v>
      </c>
      <c r="OM11" s="192">
        <v>8.1999999999999993</v>
      </c>
      <c r="ON11" s="192">
        <v>8.6999999999999993</v>
      </c>
      <c r="OO11" s="192">
        <v>8.3000000000000007</v>
      </c>
      <c r="OP11" s="192">
        <v>7.9</v>
      </c>
      <c r="OQ11" s="192">
        <v>7.9</v>
      </c>
      <c r="OR11" s="192">
        <v>7.2</v>
      </c>
      <c r="OS11" s="2" t="s">
        <v>17</v>
      </c>
      <c r="OT11" s="340">
        <v>0.2</v>
      </c>
      <c r="OU11" s="340">
        <v>0.7</v>
      </c>
      <c r="OV11" s="340">
        <v>0.2</v>
      </c>
      <c r="OW11" s="340">
        <v>0.3</v>
      </c>
      <c r="OX11" s="340">
        <v>0.7</v>
      </c>
      <c r="OY11" s="340">
        <v>0.4</v>
      </c>
      <c r="OZ11" s="340">
        <v>0.2</v>
      </c>
      <c r="PA11" s="340">
        <v>0.7</v>
      </c>
      <c r="PB11" s="340">
        <v>0.3</v>
      </c>
      <c r="PC11" s="340">
        <v>0.3</v>
      </c>
      <c r="PE11" s="185">
        <f>E11-'[1]Data-temp_employment'!F11</f>
        <v>-9.9999999999999645E-2</v>
      </c>
      <c r="PF11" s="185">
        <f>F11-'[1]Data-temp_employment'!G11</f>
        <v>0.90000000000000036</v>
      </c>
      <c r="PG11" s="185">
        <f>O11-'[1]Data-temp_employment'!P11</f>
        <v>16.5</v>
      </c>
      <c r="PH11" s="185">
        <f>P11-'[1]Data-temp_employment'!Q11</f>
        <v>-4.6999999999999886</v>
      </c>
      <c r="PI11" s="185">
        <f>AD11-'[1]Data-temp_employment'!AE11</f>
        <v>-12.400000000000006</v>
      </c>
      <c r="PJ11" s="185">
        <f>AE11-'[1]Data-temp_employment'!AF11</f>
        <v>38.400000000000006</v>
      </c>
      <c r="PK11" s="185">
        <f>BR11-'[1]Data-temp_employment'!BS11</f>
        <v>-6.8999999999999986</v>
      </c>
      <c r="PL11" s="185">
        <f>BS11-'[1]Data-temp_employment'!BT11</f>
        <v>-2.3000000000000007</v>
      </c>
      <c r="PM11" s="185">
        <f>CC11-'[1]Data-temp_employment'!CD11</f>
        <v>1.5</v>
      </c>
      <c r="PN11" s="185">
        <f>CD11-'[1]Data-temp_employment'!CE11</f>
        <v>-5.4000000000000021</v>
      </c>
      <c r="PO11" s="185">
        <f>CR11-'[1]Data-temp_employment'!CS11</f>
        <v>5.5</v>
      </c>
      <c r="PP11" s="185">
        <f>CS11-'[1]Data-temp_employment'!CT11</f>
        <v>35</v>
      </c>
      <c r="PQ11" s="185">
        <f>DC11-'[1]Data-temp_employment'!DD11</f>
        <v>-0.5</v>
      </c>
      <c r="PR11" s="185">
        <f>DD11-'[1]Data-temp_employment'!DE11</f>
        <v>32.5</v>
      </c>
      <c r="PS11" s="185">
        <f>DN11-'[1]Data-temp_employment'!DO11</f>
        <v>22.599999999999994</v>
      </c>
      <c r="PT11" s="185">
        <f>DO11-'[1]Data-temp_employment'!DP11</f>
        <v>52.899999999999991</v>
      </c>
      <c r="PU11" s="185">
        <f>EF11-'[1]Data-temp_employment'!EG11</f>
        <v>9.9999999999999645E-2</v>
      </c>
      <c r="PV11" s="185">
        <f>EG11-'[1]Data-temp_employment'!EH11</f>
        <v>-5.8</v>
      </c>
      <c r="PW11" s="185">
        <f>EU11-'[1]Data-temp_employment'!EV11</f>
        <v>13.100000000000009</v>
      </c>
      <c r="PX11" s="185">
        <f>EV11-'[1]Data-temp_employment'!EW11</f>
        <v>17</v>
      </c>
      <c r="PY11" s="185">
        <f>FF11-'[1]Data-temp_employment'!FG11</f>
        <v>6.5999999999999979</v>
      </c>
      <c r="PZ11" s="185">
        <f>FG11-'[1]Data-temp_employment'!FH11</f>
        <v>16.7</v>
      </c>
      <c r="QA11" s="185">
        <f>FQ11-'[1]Data-temp_employment'!FR11</f>
        <v>6.5</v>
      </c>
      <c r="QB11" s="185">
        <f>FR11-'[1]Data-temp_employment'!FS11</f>
        <v>10.900000000000006</v>
      </c>
      <c r="QC11" s="185">
        <f>GB11-'[1]Data-temp_employment'!GC11</f>
        <v>2</v>
      </c>
      <c r="QD11" s="185">
        <f>GC11-'[1]Data-temp_employment'!GD11</f>
        <v>20.700000000000003</v>
      </c>
      <c r="QE11" s="185">
        <f>GM11-'[1]Data-temp_employment'!GN11</f>
        <v>0</v>
      </c>
      <c r="QF11" s="185">
        <f>GN11-'[1]Data-temp_employment'!GO11</f>
        <v>0</v>
      </c>
      <c r="QG11" s="185">
        <f>GX11-'[1]Data-temp_employment'!GY11</f>
        <v>1.3999999999999986</v>
      </c>
      <c r="QH11" s="185">
        <f>GY11-'[1]Data-temp_employment'!GZ11</f>
        <v>15.100000000000001</v>
      </c>
      <c r="QI11" s="185">
        <f>HI11-'[1]Data-temp_employment'!HJ11</f>
        <v>-1.5</v>
      </c>
      <c r="QJ11" s="185">
        <f>HJ11-'[1]Data-temp_employment'!HK11</f>
        <v>6.1999999999999993</v>
      </c>
      <c r="QK11" s="185">
        <f>HT11-'[1]Data-temp_employment'!HU11</f>
        <v>-3.2999999999999972</v>
      </c>
      <c r="QL11" s="185">
        <f>HU11-'[1]Data-temp_employment'!HV11</f>
        <v>27.299999999999997</v>
      </c>
      <c r="QM11" s="185">
        <f>IE11-'[1]Data-temp_employment'!IF11</f>
        <v>0</v>
      </c>
      <c r="QN11" s="185">
        <f>IF11-'[1]Data-temp_employment'!IG11</f>
        <v>0</v>
      </c>
      <c r="QO11" s="185">
        <f>JA11-'[1]Data-temp_employment'!JB11</f>
        <v>0</v>
      </c>
      <c r="QP11" s="185">
        <f>JB11-'[1]Data-temp_employment'!JC11</f>
        <v>0</v>
      </c>
      <c r="QQ11" s="185">
        <f>JH11-'[1]Data-temp_employment'!JI11</f>
        <v>5.7999999999999972</v>
      </c>
      <c r="QR11" s="185">
        <f>JI11-'[1]Data-temp_employment'!JJ11</f>
        <v>-6.5</v>
      </c>
      <c r="QS11" s="185">
        <f>JS11-'[1]Data-temp_employment'!JT11</f>
        <v>-3.4000000000000021</v>
      </c>
      <c r="QT11" s="185">
        <f>JT11-'[1]Data-temp_employment'!JU11</f>
        <v>2.8000000000000007</v>
      </c>
      <c r="QU11" s="185">
        <f>KD11-'[1]Data-temp_employment'!KE11</f>
        <v>11.199999999999996</v>
      </c>
      <c r="QV11" s="185">
        <f>KE11-'[1]Data-temp_employment'!KF11</f>
        <v>-7</v>
      </c>
      <c r="QW11" s="185">
        <f>KO11-'[1]Data-temp_employment'!KP11</f>
        <v>-2.1000000000000014</v>
      </c>
      <c r="QX11" s="185">
        <f>KP11-'[1]Data-temp_employment'!KQ11</f>
        <v>8.7999999999999989</v>
      </c>
      <c r="QY11" s="185">
        <f>LD11-'[1]Data-temp_employment'!LE11</f>
        <v>0.59999999999999787</v>
      </c>
      <c r="QZ11" s="185">
        <f>LE11-'[1]Data-temp_employment'!LF11</f>
        <v>5.5</v>
      </c>
      <c r="RA11" s="185">
        <f>LK11-'[1]Data-temp_employment'!LL11</f>
        <v>7</v>
      </c>
      <c r="RB11" s="185">
        <f>LL11-'[1]Data-temp_employment'!LM11</f>
        <v>1</v>
      </c>
      <c r="RC11" s="185">
        <f>LV11-'[1]Data-temp_employment'!LW11</f>
        <v>0</v>
      </c>
      <c r="RD11" s="185">
        <f>LW11-'[1]Data-temp_employment'!LX11</f>
        <v>-5.6</v>
      </c>
      <c r="RE11" s="185">
        <f>MK11-'[1]Data-temp_employment'!ML11</f>
        <v>-1.4000000000000004</v>
      </c>
      <c r="RF11" s="185">
        <f>ML11-'[1]Data-temp_employment'!MM11</f>
        <v>9.7999999999999989</v>
      </c>
      <c r="RG11" s="185">
        <f>MV11-'[1]Data-temp_employment'!MW11</f>
        <v>1.4000000000000021</v>
      </c>
      <c r="RH11" s="185">
        <f>MW11-'[1]Data-temp_employment'!MX11</f>
        <v>1.1000000000000014</v>
      </c>
      <c r="RI11" s="185">
        <f>NG11-'[1]Data-temp_employment'!NH11</f>
        <v>7.9000000000000021</v>
      </c>
      <c r="RJ11" s="185">
        <f>NH11-'[1]Data-temp_employment'!NI11</f>
        <v>9.7999999999999972</v>
      </c>
      <c r="RK11" s="185">
        <f>NR11-'[1]Data-temp_employment'!NS11</f>
        <v>-10.099999999999994</v>
      </c>
      <c r="RL11" s="185">
        <f>NS11-'[1]Data-temp_employment'!NT11</f>
        <v>15.699999999999996</v>
      </c>
      <c r="RM11" s="185">
        <f>OC11-'[1]Data-temp_employment'!OD11</f>
        <v>19</v>
      </c>
      <c r="RN11" s="185">
        <f>OD11-'[1]Data-temp_employment'!OE11</f>
        <v>24.800000000000004</v>
      </c>
      <c r="RO11" s="185">
        <f>OT11-'[1]Data-temp_employment'!OV11</f>
        <v>-0.39999999999999997</v>
      </c>
      <c r="RP11" s="185">
        <f>OU11-'[1]Data-temp_employment'!OW11</f>
        <v>0.6</v>
      </c>
    </row>
    <row r="12" spans="1:484">
      <c r="A12">
        <v>9</v>
      </c>
      <c r="B12" s="128" t="s">
        <v>18</v>
      </c>
      <c r="C12" s="332">
        <v>3.2</v>
      </c>
      <c r="D12" s="332">
        <v>4.4000000000000004</v>
      </c>
      <c r="E12" s="332">
        <v>5.0999999999999996</v>
      </c>
      <c r="F12" s="332">
        <v>3.5</v>
      </c>
      <c r="G12" s="332">
        <v>3.4</v>
      </c>
      <c r="H12" s="332">
        <v>5</v>
      </c>
      <c r="I12" s="332">
        <v>5.3</v>
      </c>
      <c r="J12" s="332">
        <v>3.9</v>
      </c>
      <c r="K12" s="332">
        <v>3.5</v>
      </c>
      <c r="L12" s="332">
        <v>4.2</v>
      </c>
      <c r="M12" s="127" t="s">
        <v>18</v>
      </c>
      <c r="N12" s="332">
        <v>82.4</v>
      </c>
      <c r="O12" s="332">
        <v>115.4</v>
      </c>
      <c r="P12" s="332">
        <v>136.4</v>
      </c>
      <c r="Q12" s="332">
        <v>92.3</v>
      </c>
      <c r="R12" s="332">
        <v>89.8</v>
      </c>
      <c r="S12" s="332">
        <v>136</v>
      </c>
      <c r="T12" s="332">
        <v>147.4</v>
      </c>
      <c r="U12" s="332">
        <v>105.9</v>
      </c>
      <c r="V12" s="332">
        <v>94.5</v>
      </c>
      <c r="W12" s="332">
        <v>114.4</v>
      </c>
      <c r="X12" s="120" t="s">
        <v>18</v>
      </c>
      <c r="Y12" s="336"/>
      <c r="Z12" s="332">
        <v>12.8</v>
      </c>
      <c r="AA12" s="332">
        <v>10.5</v>
      </c>
      <c r="AB12" s="332">
        <v>7.7</v>
      </c>
      <c r="AC12" s="332">
        <v>6</v>
      </c>
      <c r="AD12" s="332">
        <v>15.2</v>
      </c>
      <c r="AE12" s="332">
        <v>12.4</v>
      </c>
      <c r="AF12" s="332">
        <v>7.3</v>
      </c>
      <c r="AG12" s="332">
        <v>5.6</v>
      </c>
      <c r="AH12" s="332">
        <v>9.3000000000000007</v>
      </c>
      <c r="AI12" s="119" t="s">
        <v>18</v>
      </c>
      <c r="AJ12" s="332">
        <v>8.6</v>
      </c>
      <c r="AK12" s="332">
        <v>6.8</v>
      </c>
      <c r="AL12" s="332">
        <v>14.6</v>
      </c>
      <c r="AM12" s="332">
        <v>6.9</v>
      </c>
      <c r="AN12" s="332">
        <v>8.1999999999999993</v>
      </c>
      <c r="AO12" s="332">
        <v>11.9</v>
      </c>
      <c r="AP12" s="332">
        <v>18.2</v>
      </c>
      <c r="AQ12" s="332">
        <v>6.1</v>
      </c>
      <c r="AR12" s="332">
        <v>5.2</v>
      </c>
      <c r="AS12" s="332">
        <v>6.5</v>
      </c>
      <c r="AT12" s="119" t="s">
        <v>18</v>
      </c>
      <c r="AU12" s="332">
        <v>34.5</v>
      </c>
      <c r="AV12" s="332">
        <v>51.5</v>
      </c>
      <c r="AW12" s="332">
        <v>59.1</v>
      </c>
      <c r="AX12" s="332">
        <v>37</v>
      </c>
      <c r="AY12" s="332">
        <v>33.9</v>
      </c>
      <c r="AZ12" s="332">
        <v>50.9</v>
      </c>
      <c r="BA12" s="332">
        <v>60.4</v>
      </c>
      <c r="BB12" s="332">
        <v>41.4</v>
      </c>
      <c r="BC12" s="332">
        <v>33.299999999999997</v>
      </c>
      <c r="BD12" s="332">
        <v>46.4</v>
      </c>
      <c r="BE12" s="119" t="s">
        <v>18</v>
      </c>
      <c r="BF12" s="280">
        <v>17.8</v>
      </c>
      <c r="BG12" s="280">
        <v>23.9</v>
      </c>
      <c r="BH12" s="280">
        <v>29.3</v>
      </c>
      <c r="BI12" s="280">
        <v>24.7</v>
      </c>
      <c r="BJ12" s="280">
        <v>25.5</v>
      </c>
      <c r="BK12" s="280">
        <v>30.7</v>
      </c>
      <c r="BL12" s="280">
        <v>28.9</v>
      </c>
      <c r="BM12" s="280">
        <v>25.9</v>
      </c>
      <c r="BN12" s="280">
        <v>26.7</v>
      </c>
      <c r="BO12" s="280">
        <v>29.6</v>
      </c>
      <c r="BP12" s="6" t="s">
        <v>18</v>
      </c>
      <c r="BQ12" s="7">
        <v>0</v>
      </c>
      <c r="BR12" s="7">
        <v>0</v>
      </c>
      <c r="BS12" s="7">
        <v>0</v>
      </c>
      <c r="BT12" s="7">
        <v>0</v>
      </c>
      <c r="BU12" s="7">
        <v>0</v>
      </c>
      <c r="BV12" s="7">
        <v>0</v>
      </c>
      <c r="BW12" s="7">
        <v>0</v>
      </c>
      <c r="BX12" s="7">
        <v>0</v>
      </c>
      <c r="BY12" s="7">
        <v>0</v>
      </c>
      <c r="BZ12" s="7">
        <v>0</v>
      </c>
      <c r="CA12" s="6" t="s">
        <v>18</v>
      </c>
      <c r="CB12" s="7"/>
      <c r="CC12" s="7"/>
      <c r="CD12" s="7"/>
      <c r="CE12" s="7"/>
      <c r="CF12" s="7"/>
      <c r="CG12" s="7"/>
      <c r="CH12" s="7"/>
      <c r="CI12" s="7"/>
      <c r="CJ12" s="7"/>
      <c r="CK12" s="7"/>
      <c r="CL12" s="129" t="s">
        <v>18</v>
      </c>
      <c r="CM12" s="280">
        <v>34.9</v>
      </c>
      <c r="CN12" s="280">
        <v>54.5</v>
      </c>
      <c r="CO12" s="280">
        <v>63.1</v>
      </c>
      <c r="CP12" s="280">
        <v>37.5</v>
      </c>
      <c r="CQ12" s="280">
        <v>35.9</v>
      </c>
      <c r="CR12" s="280">
        <v>64.3</v>
      </c>
      <c r="CS12" s="280">
        <v>66.2</v>
      </c>
      <c r="CT12" s="280">
        <v>46.7</v>
      </c>
      <c r="CU12" s="280">
        <v>44.4</v>
      </c>
      <c r="CV12" s="280">
        <v>54.8</v>
      </c>
      <c r="CW12" s="130" t="s">
        <v>18</v>
      </c>
      <c r="CX12" s="280">
        <v>37.4</v>
      </c>
      <c r="CY12" s="280">
        <v>50.4</v>
      </c>
      <c r="CZ12" s="280">
        <v>60.8</v>
      </c>
      <c r="DA12" s="280">
        <v>42.7</v>
      </c>
      <c r="DB12" s="280">
        <v>43.1</v>
      </c>
      <c r="DC12" s="280">
        <v>58.9</v>
      </c>
      <c r="DD12" s="280">
        <v>63.5</v>
      </c>
      <c r="DE12" s="280">
        <v>46.1</v>
      </c>
      <c r="DF12" s="280">
        <v>39</v>
      </c>
      <c r="DG12" s="280">
        <v>47.8</v>
      </c>
      <c r="DH12" s="131" t="s">
        <v>18</v>
      </c>
      <c r="DI12" s="280">
        <v>10</v>
      </c>
      <c r="DJ12" s="280">
        <v>10.5</v>
      </c>
      <c r="DK12" s="280">
        <v>12.6</v>
      </c>
      <c r="DL12" s="280">
        <v>12.1</v>
      </c>
      <c r="DM12" s="280">
        <v>10.8</v>
      </c>
      <c r="DN12" s="280">
        <v>12.7</v>
      </c>
      <c r="DO12" s="280">
        <v>17.600000000000001</v>
      </c>
      <c r="DP12" s="280">
        <v>13</v>
      </c>
      <c r="DQ12" s="280">
        <v>11.2</v>
      </c>
      <c r="DR12" s="280">
        <v>11.8</v>
      </c>
      <c r="DS12" s="132" t="s">
        <v>18</v>
      </c>
      <c r="DT12" s="281"/>
      <c r="DU12" s="281"/>
      <c r="DV12" s="281"/>
      <c r="DW12" s="281"/>
      <c r="DX12" s="281"/>
      <c r="DY12" s="281"/>
      <c r="DZ12" s="281"/>
      <c r="EA12" s="281"/>
      <c r="EB12" s="281"/>
      <c r="EC12" s="281"/>
      <c r="ED12" s="2" t="s">
        <v>18</v>
      </c>
      <c r="EE12" s="281"/>
      <c r="EF12" s="281"/>
      <c r="EG12" s="281"/>
      <c r="EH12" s="281"/>
      <c r="EI12" s="281"/>
      <c r="EJ12" s="281"/>
      <c r="EK12" s="281"/>
      <c r="EL12" s="281"/>
      <c r="EM12" s="281"/>
      <c r="EN12" s="281"/>
      <c r="EO12" s="2" t="s">
        <v>18</v>
      </c>
      <c r="EP12" s="281"/>
      <c r="EQ12" s="281"/>
      <c r="ER12" s="281"/>
      <c r="ES12" s="281"/>
      <c r="ET12" s="280">
        <v>6.5</v>
      </c>
      <c r="EU12" s="280">
        <v>6.3</v>
      </c>
      <c r="EV12" s="280">
        <v>6.1</v>
      </c>
      <c r="EW12" s="280">
        <v>6</v>
      </c>
      <c r="EX12" s="280">
        <v>5.8</v>
      </c>
      <c r="EY12" s="280">
        <v>5</v>
      </c>
      <c r="EZ12" s="2" t="s">
        <v>18</v>
      </c>
      <c r="FA12" s="281"/>
      <c r="FB12" s="281"/>
      <c r="FC12" s="281"/>
      <c r="FD12" s="280"/>
      <c r="FE12" s="281"/>
      <c r="FF12" s="281"/>
      <c r="FG12" s="280"/>
      <c r="FH12" s="281"/>
      <c r="FI12" s="281"/>
      <c r="FJ12" s="281"/>
      <c r="FK12" s="2" t="s">
        <v>18</v>
      </c>
      <c r="FL12" s="281"/>
      <c r="FM12" s="281"/>
      <c r="FN12" s="281"/>
      <c r="FO12" s="281"/>
      <c r="FP12" s="281"/>
      <c r="FQ12" s="281"/>
      <c r="FR12" s="280"/>
      <c r="FS12" s="281"/>
      <c r="FT12" s="281"/>
      <c r="FU12" s="281"/>
      <c r="FV12" s="2" t="s">
        <v>18</v>
      </c>
      <c r="FW12" s="280">
        <v>17.100000000000001</v>
      </c>
      <c r="FX12" s="280">
        <v>22.5</v>
      </c>
      <c r="FY12" s="280">
        <v>32.200000000000003</v>
      </c>
      <c r="FZ12" s="280">
        <v>20.9</v>
      </c>
      <c r="GA12" s="280">
        <v>20.8</v>
      </c>
      <c r="GB12" s="280">
        <v>31.6</v>
      </c>
      <c r="GC12" s="280">
        <v>39.5</v>
      </c>
      <c r="GD12" s="280">
        <v>22.1</v>
      </c>
      <c r="GE12" s="280">
        <v>17.2</v>
      </c>
      <c r="GF12" s="280">
        <v>27.4</v>
      </c>
      <c r="GG12" s="2" t="s">
        <v>18</v>
      </c>
      <c r="GH12" s="281"/>
      <c r="GI12" s="280">
        <v>14.5</v>
      </c>
      <c r="GJ12" s="280">
        <v>15.7</v>
      </c>
      <c r="GK12" s="281"/>
      <c r="GL12" s="280">
        <v>6.7</v>
      </c>
      <c r="GM12" s="280">
        <v>16.100000000000001</v>
      </c>
      <c r="GN12" s="280">
        <v>12.3</v>
      </c>
      <c r="GO12" s="280">
        <v>6.4</v>
      </c>
      <c r="GP12" s="280">
        <v>5.8</v>
      </c>
      <c r="GQ12" s="280">
        <v>11.6</v>
      </c>
      <c r="GR12" s="2" t="s">
        <v>18</v>
      </c>
      <c r="GS12" s="280">
        <v>8.5</v>
      </c>
      <c r="GT12" s="280">
        <v>10.5</v>
      </c>
      <c r="GU12" s="280">
        <v>10.7</v>
      </c>
      <c r="GV12" s="280">
        <v>9.1999999999999993</v>
      </c>
      <c r="GW12" s="280">
        <v>8.3000000000000007</v>
      </c>
      <c r="GX12" s="280">
        <v>11</v>
      </c>
      <c r="GY12" s="280">
        <v>12.3</v>
      </c>
      <c r="GZ12" s="280">
        <v>9.6999999999999993</v>
      </c>
      <c r="HA12" s="280">
        <v>8.6</v>
      </c>
      <c r="HB12" s="280">
        <v>9.1999999999999993</v>
      </c>
      <c r="HC12" s="2" t="s">
        <v>18</v>
      </c>
      <c r="HD12" s="281"/>
      <c r="HE12" s="281"/>
      <c r="HF12" s="280">
        <v>7.7</v>
      </c>
      <c r="HG12" s="280">
        <v>5.3</v>
      </c>
      <c r="HH12" s="281"/>
      <c r="HI12" s="281"/>
      <c r="HJ12" s="280">
        <v>5.5</v>
      </c>
      <c r="HK12" s="280">
        <v>4.9000000000000004</v>
      </c>
      <c r="HL12" s="280">
        <v>4.9000000000000004</v>
      </c>
      <c r="HM12" s="281"/>
      <c r="HN12" s="279" t="s">
        <v>18</v>
      </c>
      <c r="HO12" s="280">
        <v>35.9</v>
      </c>
      <c r="HP12" s="280">
        <v>48.6</v>
      </c>
      <c r="HQ12" s="280">
        <v>56.7</v>
      </c>
      <c r="HR12" s="280">
        <v>37.299999999999997</v>
      </c>
      <c r="HS12" s="280">
        <v>35</v>
      </c>
      <c r="HT12" s="280">
        <v>53.3</v>
      </c>
      <c r="HU12" s="280">
        <v>56.7</v>
      </c>
      <c r="HV12" s="280">
        <v>46</v>
      </c>
      <c r="HW12" s="280">
        <v>44.7</v>
      </c>
      <c r="HX12" s="280">
        <v>47.8</v>
      </c>
      <c r="HY12" s="2" t="s">
        <v>18</v>
      </c>
      <c r="HZ12" s="281"/>
      <c r="IA12" s="281"/>
      <c r="IB12" s="281"/>
      <c r="IC12" s="281"/>
      <c r="ID12" s="281"/>
      <c r="IE12" s="281"/>
      <c r="IF12" s="281"/>
      <c r="IG12" s="281"/>
      <c r="IH12" s="281"/>
      <c r="II12" s="281"/>
      <c r="IJ12" s="2" t="s">
        <v>18</v>
      </c>
      <c r="IK12" s="281"/>
      <c r="IL12" s="281"/>
      <c r="IM12" s="281"/>
      <c r="IN12" s="281"/>
      <c r="IO12" s="281"/>
      <c r="IP12" s="281"/>
      <c r="IQ12" s="281"/>
      <c r="IR12" s="281"/>
      <c r="IS12" s="281"/>
      <c r="IT12" s="281"/>
      <c r="IU12" s="2" t="s">
        <v>18</v>
      </c>
      <c r="IV12" s="280">
        <v>13.4</v>
      </c>
      <c r="IW12" s="280">
        <v>30.4</v>
      </c>
      <c r="IX12" s="280">
        <v>33.799999999999997</v>
      </c>
      <c r="IY12" s="280">
        <v>13.5</v>
      </c>
      <c r="IZ12" s="280">
        <v>11.9</v>
      </c>
      <c r="JA12" s="280">
        <v>36.9</v>
      </c>
      <c r="JB12" s="280">
        <v>36.299999999999997</v>
      </c>
      <c r="JC12" s="280">
        <v>18.600000000000001</v>
      </c>
      <c r="JD12" s="280">
        <v>14.1</v>
      </c>
      <c r="JE12" s="280">
        <v>29.7</v>
      </c>
      <c r="JF12" s="2" t="s">
        <v>18</v>
      </c>
      <c r="JG12" s="280">
        <v>6.8</v>
      </c>
      <c r="JH12" s="280">
        <v>7.2</v>
      </c>
      <c r="JI12" s="280">
        <v>8.8000000000000007</v>
      </c>
      <c r="JJ12" s="280">
        <v>5.5</v>
      </c>
      <c r="JK12" s="280">
        <v>8.4</v>
      </c>
      <c r="JL12" s="280">
        <v>8.1</v>
      </c>
      <c r="JM12" s="280">
        <v>6.8</v>
      </c>
      <c r="JN12" s="280">
        <v>9.3000000000000007</v>
      </c>
      <c r="JO12" s="280">
        <v>8.5</v>
      </c>
      <c r="JP12" s="280">
        <v>6.2</v>
      </c>
      <c r="JQ12" s="2" t="s">
        <v>18</v>
      </c>
      <c r="JR12" s="280">
        <v>15.1</v>
      </c>
      <c r="JS12" s="280">
        <v>18.8</v>
      </c>
      <c r="JT12" s="280">
        <v>19.8</v>
      </c>
      <c r="JU12" s="280">
        <v>16.100000000000001</v>
      </c>
      <c r="JV12" s="280">
        <v>14.6</v>
      </c>
      <c r="JW12" s="280">
        <v>21.8</v>
      </c>
      <c r="JX12" s="280">
        <v>20.8</v>
      </c>
      <c r="JY12" s="280">
        <v>19.7</v>
      </c>
      <c r="JZ12" s="280">
        <v>20.9</v>
      </c>
      <c r="KA12" s="280">
        <v>19.399999999999999</v>
      </c>
      <c r="KB12" s="2" t="s">
        <v>18</v>
      </c>
      <c r="KC12" s="280">
        <v>6.1</v>
      </c>
      <c r="KD12" s="280">
        <v>9.1999999999999993</v>
      </c>
      <c r="KE12" s="280">
        <v>9</v>
      </c>
      <c r="KF12" s="280">
        <v>8.1</v>
      </c>
      <c r="KG12" s="280">
        <v>6.4</v>
      </c>
      <c r="KH12" s="280">
        <v>7.2</v>
      </c>
      <c r="KI12" s="280">
        <v>10.5</v>
      </c>
      <c r="KJ12" s="280">
        <v>9</v>
      </c>
      <c r="KK12" s="280">
        <v>5.8</v>
      </c>
      <c r="KL12" s="280">
        <v>4.8</v>
      </c>
      <c r="KM12" s="2" t="s">
        <v>18</v>
      </c>
      <c r="KN12" s="281"/>
      <c r="KO12" s="281"/>
      <c r="KP12" s="281"/>
      <c r="KQ12" s="281"/>
      <c r="KR12" s="281"/>
      <c r="KS12" s="281"/>
      <c r="KT12" s="281"/>
      <c r="KU12" s="281"/>
      <c r="KV12" s="281"/>
      <c r="KW12" s="281"/>
      <c r="KX12" s="2" t="s">
        <v>18</v>
      </c>
      <c r="KY12" s="280">
        <v>8.1999999999999993</v>
      </c>
      <c r="KZ12" s="280">
        <v>13.6</v>
      </c>
      <c r="LA12" s="280">
        <v>26.8</v>
      </c>
      <c r="LB12" s="280">
        <v>9.5</v>
      </c>
      <c r="LC12" s="280">
        <v>5.8</v>
      </c>
      <c r="LD12" s="280">
        <v>17</v>
      </c>
      <c r="LE12" s="280">
        <v>26.9</v>
      </c>
      <c r="LF12" s="280">
        <v>10.3</v>
      </c>
      <c r="LG12" s="280">
        <v>7.5</v>
      </c>
      <c r="LH12" s="280">
        <v>17.3</v>
      </c>
      <c r="LI12" s="2" t="s">
        <v>18</v>
      </c>
      <c r="LJ12" s="281"/>
      <c r="LK12" s="281"/>
      <c r="LL12" s="281"/>
      <c r="LM12" s="281"/>
      <c r="LN12" s="281"/>
      <c r="LO12" s="281"/>
      <c r="LP12" s="281"/>
      <c r="LQ12" s="281"/>
      <c r="LR12" s="281"/>
      <c r="LS12" s="281"/>
      <c r="LT12" s="2" t="s">
        <v>18</v>
      </c>
      <c r="LU12" s="281"/>
      <c r="LV12" s="281"/>
      <c r="LW12" s="281"/>
      <c r="LX12" s="281"/>
      <c r="LY12" s="281"/>
      <c r="LZ12" s="281"/>
      <c r="MA12" s="281"/>
      <c r="MB12" s="281"/>
      <c r="MC12" s="281"/>
      <c r="MD12" s="281"/>
      <c r="ME12" s="2" t="s">
        <v>18</v>
      </c>
      <c r="MF12" s="281"/>
      <c r="MG12" s="281"/>
      <c r="MH12" s="281"/>
      <c r="MI12" s="281"/>
      <c r="MJ12" s="281"/>
      <c r="MK12" s="281"/>
      <c r="ML12" s="281"/>
      <c r="MM12" s="281"/>
      <c r="MN12" s="281"/>
      <c r="MO12" s="281"/>
      <c r="MP12" s="2" t="s">
        <v>18</v>
      </c>
      <c r="MQ12" s="280">
        <v>10.4</v>
      </c>
      <c r="MR12" s="280">
        <v>11.6</v>
      </c>
      <c r="MS12" s="280">
        <v>12.5</v>
      </c>
      <c r="MT12" s="280">
        <v>10.199999999999999</v>
      </c>
      <c r="MU12" s="280">
        <v>12.7</v>
      </c>
      <c r="MV12" s="280">
        <v>7</v>
      </c>
      <c r="MW12" s="280">
        <v>6.5</v>
      </c>
      <c r="MX12" s="280">
        <v>11.3</v>
      </c>
      <c r="MY12" s="280">
        <v>10.199999999999999</v>
      </c>
      <c r="MZ12" s="280">
        <v>7.3</v>
      </c>
      <c r="NA12" s="2" t="s">
        <v>18</v>
      </c>
      <c r="NB12" s="281"/>
      <c r="NC12" s="280">
        <v>6</v>
      </c>
      <c r="ND12" s="281"/>
      <c r="NE12" s="281"/>
      <c r="NF12" s="280">
        <v>5.9</v>
      </c>
      <c r="NG12" s="280">
        <v>6.1</v>
      </c>
      <c r="NH12" s="280">
        <v>7.1</v>
      </c>
      <c r="NI12" s="280">
        <v>6.1</v>
      </c>
      <c r="NJ12" s="281"/>
      <c r="NK12" s="280">
        <v>5</v>
      </c>
      <c r="NL12" s="2" t="s">
        <v>18</v>
      </c>
      <c r="NM12" s="281"/>
      <c r="NN12" s="281"/>
      <c r="NO12" s="281"/>
      <c r="NP12" s="281"/>
      <c r="NQ12" s="281"/>
      <c r="NR12" s="281"/>
      <c r="NS12" s="281"/>
      <c r="NT12" s="281"/>
      <c r="NU12" s="281"/>
      <c r="NV12" s="281"/>
      <c r="NW12" s="2" t="s">
        <v>18</v>
      </c>
      <c r="NX12" s="281"/>
      <c r="NY12" s="281"/>
      <c r="NZ12" s="281"/>
      <c r="OA12" s="280">
        <v>7</v>
      </c>
      <c r="OB12" s="280">
        <v>9.4</v>
      </c>
      <c r="OC12" s="280">
        <v>11.7</v>
      </c>
      <c r="OD12" s="280">
        <v>8.1999999999999993</v>
      </c>
      <c r="OE12" s="280">
        <v>8</v>
      </c>
      <c r="OF12" s="280">
        <v>8.1999999999999993</v>
      </c>
      <c r="OG12" s="280">
        <v>8.4</v>
      </c>
      <c r="OH12" s="191" t="s">
        <v>18</v>
      </c>
      <c r="OI12" s="192">
        <v>10.8</v>
      </c>
      <c r="OJ12" s="192">
        <v>10.6</v>
      </c>
      <c r="OK12" s="192">
        <v>10.6</v>
      </c>
      <c r="OL12" s="192">
        <v>9.9</v>
      </c>
      <c r="OM12" s="192">
        <v>8.3000000000000007</v>
      </c>
      <c r="ON12" s="192">
        <v>7.9</v>
      </c>
      <c r="OO12" s="192">
        <v>8.6</v>
      </c>
      <c r="OP12" s="192">
        <v>8.1</v>
      </c>
      <c r="OQ12" s="192">
        <v>7</v>
      </c>
      <c r="OR12" s="192">
        <v>6.7</v>
      </c>
      <c r="OS12" s="2" t="s">
        <v>18</v>
      </c>
      <c r="OT12" s="340">
        <v>1.1000000000000001</v>
      </c>
      <c r="OU12" s="340">
        <v>1</v>
      </c>
      <c r="OV12" s="340">
        <v>0.7</v>
      </c>
      <c r="OW12" s="340">
        <v>1.2</v>
      </c>
      <c r="OX12" s="340">
        <v>0.9</v>
      </c>
      <c r="OY12" s="340">
        <v>1</v>
      </c>
      <c r="OZ12" s="340">
        <v>0.9</v>
      </c>
      <c r="PA12" s="340">
        <v>0.7</v>
      </c>
      <c r="PB12" s="340">
        <v>0.9</v>
      </c>
      <c r="PC12" s="340">
        <v>0.8</v>
      </c>
      <c r="PE12" s="185">
        <f>E12-'[1]Data-temp_employment'!F12</f>
        <v>-0.60000000000000053</v>
      </c>
      <c r="PF12" s="185">
        <f>F12-'[1]Data-temp_employment'!G12</f>
        <v>-0.10000000000000009</v>
      </c>
      <c r="PG12" s="185">
        <f>O12-'[1]Data-temp_employment'!P12</f>
        <v>-3.3999999999999915</v>
      </c>
      <c r="PH12" s="185">
        <f>P12-'[1]Data-temp_employment'!Q12</f>
        <v>-17.199999999999989</v>
      </c>
      <c r="PI12" s="185">
        <f>AD12-'[1]Data-temp_employment'!AE12</f>
        <v>2.3999999999999986</v>
      </c>
      <c r="PJ12" s="185">
        <f>AE12-'[1]Data-temp_employment'!AF12</f>
        <v>1.9000000000000004</v>
      </c>
      <c r="PK12" s="185">
        <f>BR12-'[1]Data-temp_employment'!BS12</f>
        <v>0</v>
      </c>
      <c r="PL12" s="185">
        <f>BS12-'[1]Data-temp_employment'!BT12</f>
        <v>0</v>
      </c>
      <c r="PM12" s="185">
        <f>CC12-'[1]Data-temp_employment'!CD12</f>
        <v>0</v>
      </c>
      <c r="PN12" s="185">
        <f>CD12-'[1]Data-temp_employment'!CE12</f>
        <v>0</v>
      </c>
      <c r="PO12" s="185">
        <f>CR12-'[1]Data-temp_employment'!CS12</f>
        <v>9.7999999999999972</v>
      </c>
      <c r="PP12" s="185">
        <f>CS12-'[1]Data-temp_employment'!CT12</f>
        <v>3.1000000000000014</v>
      </c>
      <c r="PQ12" s="185">
        <f>DC12-'[1]Data-temp_employment'!DD12</f>
        <v>8.5</v>
      </c>
      <c r="PR12" s="185">
        <f>DD12-'[1]Data-temp_employment'!DE12</f>
        <v>2.7000000000000028</v>
      </c>
      <c r="PS12" s="185">
        <f>DN12-'[1]Data-temp_employment'!DO12</f>
        <v>2.1999999999999993</v>
      </c>
      <c r="PT12" s="185">
        <f>DO12-'[1]Data-temp_employment'!DP12</f>
        <v>5.0000000000000018</v>
      </c>
      <c r="PU12" s="185">
        <f>EF12-'[1]Data-temp_employment'!EG12</f>
        <v>0</v>
      </c>
      <c r="PV12" s="185">
        <f>EG12-'[1]Data-temp_employment'!EH12</f>
        <v>0</v>
      </c>
      <c r="PW12" s="185">
        <f>EU12-'[1]Data-temp_employment'!EV12</f>
        <v>6.3</v>
      </c>
      <c r="PX12" s="185">
        <f>EV12-'[1]Data-temp_employment'!EW12</f>
        <v>6.1</v>
      </c>
      <c r="PY12" s="185">
        <f>FF12-'[1]Data-temp_employment'!FG12</f>
        <v>0</v>
      </c>
      <c r="PZ12" s="185">
        <f>FG12-'[1]Data-temp_employment'!FH12</f>
        <v>0</v>
      </c>
      <c r="QA12" s="185">
        <f>FQ12-'[1]Data-temp_employment'!FR12</f>
        <v>0</v>
      </c>
      <c r="QB12" s="185">
        <f>FR12-'[1]Data-temp_employment'!FS12</f>
        <v>0</v>
      </c>
      <c r="QC12" s="185">
        <f>GB12-'[1]Data-temp_employment'!GC12</f>
        <v>9.1000000000000014</v>
      </c>
      <c r="QD12" s="185">
        <f>GC12-'[1]Data-temp_employment'!GD12</f>
        <v>7.2999999999999972</v>
      </c>
      <c r="QE12" s="185">
        <f>GM12-'[1]Data-temp_employment'!GN12</f>
        <v>1.6000000000000014</v>
      </c>
      <c r="QF12" s="185">
        <f>GN12-'[1]Data-temp_employment'!GO12</f>
        <v>-3.3999999999999986</v>
      </c>
      <c r="QG12" s="185">
        <f>GX12-'[1]Data-temp_employment'!GY12</f>
        <v>0.5</v>
      </c>
      <c r="QH12" s="185">
        <f>GY12-'[1]Data-temp_employment'!GZ12</f>
        <v>1.6000000000000014</v>
      </c>
      <c r="QI12" s="185">
        <f>HI12-'[1]Data-temp_employment'!HJ12</f>
        <v>0</v>
      </c>
      <c r="QJ12" s="185">
        <f>HJ12-'[1]Data-temp_employment'!HK12</f>
        <v>-2.2000000000000002</v>
      </c>
      <c r="QK12" s="185">
        <f>HT12-'[1]Data-temp_employment'!HU12</f>
        <v>4.6999999999999957</v>
      </c>
      <c r="QL12" s="185">
        <f>HU12-'[1]Data-temp_employment'!HV12</f>
        <v>0</v>
      </c>
      <c r="QM12" s="185">
        <f>IE12-'[1]Data-temp_employment'!IF12</f>
        <v>0</v>
      </c>
      <c r="QN12" s="185">
        <f>IF12-'[1]Data-temp_employment'!IG12</f>
        <v>0</v>
      </c>
      <c r="QO12" s="185">
        <f>JA12-'[1]Data-temp_employment'!JB12</f>
        <v>6.5</v>
      </c>
      <c r="QP12" s="185">
        <f>JB12-'[1]Data-temp_employment'!JC12</f>
        <v>2.5</v>
      </c>
      <c r="QQ12" s="185">
        <f>JH12-'[1]Data-temp_employment'!JI12</f>
        <v>-3.8999999999999995</v>
      </c>
      <c r="QR12" s="185">
        <f>JI12-'[1]Data-temp_employment'!JJ12</f>
        <v>-5.6999999999999993</v>
      </c>
      <c r="QS12" s="185">
        <f>JS12-'[1]Data-temp_employment'!JT12</f>
        <v>1.1000000000000014</v>
      </c>
      <c r="QT12" s="185">
        <f>JT12-'[1]Data-temp_employment'!JU12</f>
        <v>2.6999999999999993</v>
      </c>
      <c r="QU12" s="185">
        <f>KD12-'[1]Data-temp_employment'!KE12</f>
        <v>0.69999999999999929</v>
      </c>
      <c r="QV12" s="185">
        <f>KE12-'[1]Data-temp_employment'!KF12</f>
        <v>-1.5999999999999996</v>
      </c>
      <c r="QW12" s="185">
        <f>KO12-'[1]Data-temp_employment'!KP12</f>
        <v>0</v>
      </c>
      <c r="QX12" s="185">
        <f>KP12-'[1]Data-temp_employment'!KQ12</f>
        <v>0</v>
      </c>
      <c r="QY12" s="185">
        <f>LD12-'[1]Data-temp_employment'!LE12</f>
        <v>3.4000000000000004</v>
      </c>
      <c r="QZ12" s="185">
        <f>LE12-'[1]Data-temp_employment'!LF12</f>
        <v>9.9999999999997868E-2</v>
      </c>
      <c r="RA12" s="185">
        <f>LK12-'[1]Data-temp_employment'!LL12</f>
        <v>0</v>
      </c>
      <c r="RB12" s="185">
        <f>LL12-'[1]Data-temp_employment'!LM12</f>
        <v>0</v>
      </c>
      <c r="RC12" s="185">
        <f>LV12-'[1]Data-temp_employment'!LW12</f>
        <v>0</v>
      </c>
      <c r="RD12" s="185">
        <f>LW12-'[1]Data-temp_employment'!LX12</f>
        <v>0</v>
      </c>
      <c r="RE12" s="185">
        <f>MK12-'[1]Data-temp_employment'!ML12</f>
        <v>0</v>
      </c>
      <c r="RF12" s="185">
        <f>ML12-'[1]Data-temp_employment'!MM12</f>
        <v>0</v>
      </c>
      <c r="RG12" s="185">
        <f>MV12-'[1]Data-temp_employment'!MW12</f>
        <v>-4.5999999999999996</v>
      </c>
      <c r="RH12" s="185">
        <f>MW12-'[1]Data-temp_employment'!MX12</f>
        <v>-6</v>
      </c>
      <c r="RI12" s="193">
        <f>NG12-'[1]Data-temp_employment'!NH12</f>
        <v>9.9999999999999645E-2</v>
      </c>
      <c r="RJ12" s="185">
        <f>NH12-'[1]Data-temp_employment'!NI12</f>
        <v>7.1</v>
      </c>
      <c r="RK12" s="185">
        <f>NR12-'[1]Data-temp_employment'!NS12</f>
        <v>0</v>
      </c>
      <c r="RL12" s="185">
        <f>NS12-'[1]Data-temp_employment'!NT12</f>
        <v>0</v>
      </c>
      <c r="RM12" s="185">
        <f>OC12-'[1]Data-temp_employment'!OD12</f>
        <v>11.7</v>
      </c>
      <c r="RN12" s="185">
        <f>OD12-'[1]Data-temp_employment'!OE12</f>
        <v>8.1999999999999993</v>
      </c>
      <c r="RO12" s="185">
        <f>OT12-'[1]Data-temp_employment'!OV12</f>
        <v>0.30000000000000004</v>
      </c>
      <c r="RP12" s="185">
        <f>OU12-'[1]Data-temp_employment'!OW12</f>
        <v>9.9999999999999978E-2</v>
      </c>
    </row>
    <row r="13" spans="1:484">
      <c r="A13">
        <v>10</v>
      </c>
      <c r="B13" s="135" t="s">
        <v>26</v>
      </c>
      <c r="C13" s="332">
        <v>20.2</v>
      </c>
      <c r="D13" s="332">
        <v>23.3</v>
      </c>
      <c r="E13" s="332">
        <v>24.2</v>
      </c>
      <c r="F13" s="332">
        <v>20.8</v>
      </c>
      <c r="G13" s="332">
        <v>18.7</v>
      </c>
      <c r="H13" s="332">
        <v>21.5</v>
      </c>
      <c r="I13" s="332">
        <v>22.5</v>
      </c>
      <c r="J13" s="332">
        <v>19.899999999999999</v>
      </c>
      <c r="K13" s="332">
        <v>19.5</v>
      </c>
      <c r="L13" s="332">
        <v>20.3</v>
      </c>
      <c r="M13" s="127" t="s">
        <v>26</v>
      </c>
      <c r="N13" s="332">
        <v>266.60000000000002</v>
      </c>
      <c r="O13" s="332">
        <v>320.10000000000002</v>
      </c>
      <c r="P13" s="332">
        <v>338</v>
      </c>
      <c r="Q13" s="332">
        <v>281.89999999999998</v>
      </c>
      <c r="R13" s="332">
        <v>252.7</v>
      </c>
      <c r="S13" s="332">
        <v>305.10000000000002</v>
      </c>
      <c r="T13" s="332">
        <v>327.2</v>
      </c>
      <c r="U13" s="332">
        <v>282.5</v>
      </c>
      <c r="V13" s="332">
        <v>273.10000000000002</v>
      </c>
      <c r="W13" s="332">
        <v>294.60000000000002</v>
      </c>
      <c r="X13" s="120" t="s">
        <v>26</v>
      </c>
      <c r="Y13" s="332">
        <v>10</v>
      </c>
      <c r="Z13" s="332">
        <v>15.2</v>
      </c>
      <c r="AA13" s="332">
        <v>19.600000000000001</v>
      </c>
      <c r="AB13" s="332">
        <v>12.3</v>
      </c>
      <c r="AC13" s="332">
        <v>10.3</v>
      </c>
      <c r="AD13" s="332">
        <v>12</v>
      </c>
      <c r="AE13" s="332">
        <v>7.1</v>
      </c>
      <c r="AF13" s="332">
        <v>8.6999999999999993</v>
      </c>
      <c r="AG13" s="332">
        <v>6.7</v>
      </c>
      <c r="AH13" s="332">
        <v>7.2</v>
      </c>
      <c r="AI13" s="119" t="s">
        <v>26</v>
      </c>
      <c r="AJ13" s="332">
        <v>87.2</v>
      </c>
      <c r="AK13" s="332">
        <v>93.4</v>
      </c>
      <c r="AL13" s="332">
        <v>119.4</v>
      </c>
      <c r="AM13" s="332">
        <v>100.2</v>
      </c>
      <c r="AN13" s="332">
        <v>79.599999999999994</v>
      </c>
      <c r="AO13" s="332">
        <v>95.5</v>
      </c>
      <c r="AP13" s="332">
        <v>100</v>
      </c>
      <c r="AQ13" s="332">
        <v>91.6</v>
      </c>
      <c r="AR13" s="332">
        <v>90.2</v>
      </c>
      <c r="AS13" s="332">
        <v>90.2</v>
      </c>
      <c r="AT13" s="119" t="s">
        <v>26</v>
      </c>
      <c r="AU13" s="332">
        <v>46.4</v>
      </c>
      <c r="AV13" s="332">
        <v>75.099999999999994</v>
      </c>
      <c r="AW13" s="332">
        <v>83.4</v>
      </c>
      <c r="AX13" s="332">
        <v>59.3</v>
      </c>
      <c r="AY13" s="332">
        <v>58.4</v>
      </c>
      <c r="AZ13" s="332">
        <v>75.099999999999994</v>
      </c>
      <c r="BA13" s="332">
        <v>95.1</v>
      </c>
      <c r="BB13" s="332">
        <v>68.2</v>
      </c>
      <c r="BC13" s="332">
        <v>64.2</v>
      </c>
      <c r="BD13" s="332">
        <v>82.6</v>
      </c>
      <c r="BE13" s="119" t="s">
        <v>26</v>
      </c>
      <c r="BF13" s="280">
        <v>61.7</v>
      </c>
      <c r="BG13" s="280">
        <v>67.599999999999994</v>
      </c>
      <c r="BH13" s="280">
        <v>53.3</v>
      </c>
      <c r="BI13" s="280">
        <v>54.9</v>
      </c>
      <c r="BJ13" s="280">
        <v>54.7</v>
      </c>
      <c r="BK13" s="280">
        <v>61.3</v>
      </c>
      <c r="BL13" s="280">
        <v>62.9</v>
      </c>
      <c r="BM13" s="280">
        <v>59</v>
      </c>
      <c r="BN13" s="280">
        <v>55.9</v>
      </c>
      <c r="BO13" s="280">
        <v>56</v>
      </c>
      <c r="BP13" s="6" t="s">
        <v>26</v>
      </c>
      <c r="BQ13" s="7">
        <v>4.5</v>
      </c>
      <c r="BR13" s="7">
        <v>15.600000000000001</v>
      </c>
      <c r="BS13" s="7">
        <v>10</v>
      </c>
      <c r="BT13" s="7">
        <v>8.6</v>
      </c>
      <c r="BU13" s="7">
        <v>6.9</v>
      </c>
      <c r="BV13" s="7">
        <v>7.8</v>
      </c>
      <c r="BW13" s="7">
        <v>6.6</v>
      </c>
      <c r="BX13" s="7">
        <v>6.9</v>
      </c>
      <c r="BY13" s="7">
        <v>5.9</v>
      </c>
      <c r="BZ13" s="7">
        <v>5.8</v>
      </c>
      <c r="CA13" s="6" t="s">
        <v>26</v>
      </c>
      <c r="CB13" s="7">
        <v>48.1</v>
      </c>
      <c r="CC13" s="7">
        <v>47.9</v>
      </c>
      <c r="CD13" s="7">
        <v>42.2</v>
      </c>
      <c r="CE13" s="7">
        <v>41.1</v>
      </c>
      <c r="CF13" s="7">
        <v>36.4</v>
      </c>
      <c r="CG13" s="7">
        <v>42.9</v>
      </c>
      <c r="CH13" s="7">
        <v>47.6</v>
      </c>
      <c r="CI13" s="7">
        <v>38.1</v>
      </c>
      <c r="CJ13" s="7">
        <v>42.2</v>
      </c>
      <c r="CK13" s="7">
        <v>39.299999999999997</v>
      </c>
      <c r="CL13" s="129" t="s">
        <v>26</v>
      </c>
      <c r="CM13" s="280">
        <v>23.4</v>
      </c>
      <c r="CN13" s="280">
        <v>33.6</v>
      </c>
      <c r="CO13" s="280">
        <v>35.4</v>
      </c>
      <c r="CP13" s="280">
        <v>28.8</v>
      </c>
      <c r="CQ13" s="280">
        <v>23.4</v>
      </c>
      <c r="CR13" s="280">
        <v>32.5</v>
      </c>
      <c r="CS13" s="280">
        <v>33.4</v>
      </c>
      <c r="CT13" s="280">
        <v>25.4</v>
      </c>
      <c r="CU13" s="280">
        <v>20.7</v>
      </c>
      <c r="CV13" s="280">
        <v>28.2</v>
      </c>
      <c r="CW13" s="130" t="s">
        <v>26</v>
      </c>
      <c r="CX13" s="280">
        <v>181.9</v>
      </c>
      <c r="CY13" s="280">
        <v>210.1</v>
      </c>
      <c r="CZ13" s="280">
        <v>233.1</v>
      </c>
      <c r="DA13" s="280">
        <v>187.9</v>
      </c>
      <c r="DB13" s="280">
        <v>176.4</v>
      </c>
      <c r="DC13" s="280">
        <v>207.1</v>
      </c>
      <c r="DD13" s="280">
        <v>220.9</v>
      </c>
      <c r="DE13" s="280">
        <v>187.6</v>
      </c>
      <c r="DF13" s="280">
        <v>192.2</v>
      </c>
      <c r="DG13" s="280">
        <v>205.1</v>
      </c>
      <c r="DH13" s="131" t="s">
        <v>26</v>
      </c>
      <c r="DI13" s="280">
        <v>61.3</v>
      </c>
      <c r="DJ13" s="280">
        <v>76.400000000000006</v>
      </c>
      <c r="DK13" s="280">
        <v>69.5</v>
      </c>
      <c r="DL13" s="280">
        <v>65.3</v>
      </c>
      <c r="DM13" s="280">
        <v>52.9</v>
      </c>
      <c r="DN13" s="280">
        <v>65.400000000000006</v>
      </c>
      <c r="DO13" s="280">
        <v>72.900000000000006</v>
      </c>
      <c r="DP13" s="280">
        <v>69.5</v>
      </c>
      <c r="DQ13" s="280">
        <v>60.2</v>
      </c>
      <c r="DR13" s="280">
        <v>61.4</v>
      </c>
      <c r="DS13" s="158" t="s">
        <v>26</v>
      </c>
      <c r="DT13" s="281"/>
      <c r="DU13" s="281"/>
      <c r="DV13" s="281"/>
      <c r="DW13" s="281"/>
      <c r="DX13" s="281"/>
      <c r="DY13" s="281"/>
      <c r="DZ13" s="281"/>
      <c r="EA13" s="281"/>
      <c r="EB13" s="281"/>
      <c r="EC13" s="281"/>
      <c r="ED13" s="2" t="s">
        <v>26</v>
      </c>
      <c r="EE13" s="281"/>
      <c r="EF13" s="281"/>
      <c r="EG13" s="281"/>
      <c r="EH13" s="281"/>
      <c r="EI13" s="281"/>
      <c r="EJ13" s="281"/>
      <c r="EK13" s="281"/>
      <c r="EL13" s="281"/>
      <c r="EM13" s="281"/>
      <c r="EN13" s="281"/>
      <c r="EO13" s="2" t="s">
        <v>26</v>
      </c>
      <c r="EP13" s="280">
        <v>39.1</v>
      </c>
      <c r="EQ13" s="280">
        <v>44.9</v>
      </c>
      <c r="ER13" s="280">
        <v>34.799999999999997</v>
      </c>
      <c r="ES13" s="280">
        <v>40</v>
      </c>
      <c r="ET13" s="280">
        <v>28.7</v>
      </c>
      <c r="EU13" s="280">
        <v>35.200000000000003</v>
      </c>
      <c r="EV13" s="280">
        <v>39.700000000000003</v>
      </c>
      <c r="EW13" s="280">
        <v>35.799999999999997</v>
      </c>
      <c r="EX13" s="280">
        <v>27</v>
      </c>
      <c r="EY13" s="280">
        <v>28.1</v>
      </c>
      <c r="EZ13" s="2" t="s">
        <v>26</v>
      </c>
      <c r="FA13" s="280">
        <v>25.8</v>
      </c>
      <c r="FB13" s="280">
        <v>33.299999999999997</v>
      </c>
      <c r="FC13" s="280">
        <v>37.799999999999997</v>
      </c>
      <c r="FD13" s="280">
        <v>25.1</v>
      </c>
      <c r="FE13" s="280">
        <v>27.8</v>
      </c>
      <c r="FF13" s="280">
        <v>36.700000000000003</v>
      </c>
      <c r="FG13" s="280">
        <v>30.2</v>
      </c>
      <c r="FH13" s="280">
        <v>31.9</v>
      </c>
      <c r="FI13" s="280">
        <v>37.4</v>
      </c>
      <c r="FJ13" s="280">
        <v>32.799999999999997</v>
      </c>
      <c r="FK13" s="2" t="s">
        <v>26</v>
      </c>
      <c r="FL13" s="280">
        <v>21.2</v>
      </c>
      <c r="FM13" s="280">
        <v>29</v>
      </c>
      <c r="FN13" s="280">
        <v>27.7</v>
      </c>
      <c r="FO13" s="280">
        <v>25</v>
      </c>
      <c r="FP13" s="280">
        <v>28.8</v>
      </c>
      <c r="FQ13" s="280">
        <v>23.6</v>
      </c>
      <c r="FR13" s="280">
        <v>25.9</v>
      </c>
      <c r="FS13" s="280">
        <v>29.9</v>
      </c>
      <c r="FT13" s="280">
        <v>25.1</v>
      </c>
      <c r="FU13" s="280">
        <v>20.6</v>
      </c>
      <c r="FV13" s="2" t="s">
        <v>26</v>
      </c>
      <c r="FW13" s="280">
        <v>69.5</v>
      </c>
      <c r="FX13" s="280">
        <v>81.8</v>
      </c>
      <c r="FY13" s="280">
        <v>90.3</v>
      </c>
      <c r="FZ13" s="280">
        <v>69.599999999999994</v>
      </c>
      <c r="GA13" s="280">
        <v>63.5</v>
      </c>
      <c r="GB13" s="280">
        <v>85.3</v>
      </c>
      <c r="GC13" s="280">
        <v>96.9</v>
      </c>
      <c r="GD13" s="280">
        <v>73.599999999999994</v>
      </c>
      <c r="GE13" s="280">
        <v>75.099999999999994</v>
      </c>
      <c r="GF13" s="280">
        <v>95.2</v>
      </c>
      <c r="GG13" s="2" t="s">
        <v>26</v>
      </c>
      <c r="GH13" s="281"/>
      <c r="GI13" s="281"/>
      <c r="GJ13" s="281"/>
      <c r="GK13" s="281"/>
      <c r="GL13" s="281"/>
      <c r="GM13" s="281"/>
      <c r="GN13" s="281"/>
      <c r="GO13" s="281"/>
      <c r="GP13" s="281"/>
      <c r="GQ13" s="281"/>
      <c r="GR13" s="2" t="s">
        <v>26</v>
      </c>
      <c r="GS13" s="280">
        <v>42.9</v>
      </c>
      <c r="GT13" s="280">
        <v>41.1</v>
      </c>
      <c r="GU13" s="280">
        <v>46</v>
      </c>
      <c r="GV13" s="280">
        <v>40.6</v>
      </c>
      <c r="GW13" s="280">
        <v>30.9</v>
      </c>
      <c r="GX13" s="280">
        <v>37.200000000000003</v>
      </c>
      <c r="GY13" s="280">
        <v>36.6</v>
      </c>
      <c r="GZ13" s="280">
        <v>38.1</v>
      </c>
      <c r="HA13" s="280">
        <v>37.5</v>
      </c>
      <c r="HB13" s="280">
        <v>30.3</v>
      </c>
      <c r="HC13" s="2" t="s">
        <v>26</v>
      </c>
      <c r="HD13" s="280">
        <v>29.3</v>
      </c>
      <c r="HE13" s="280">
        <v>38.299999999999997</v>
      </c>
      <c r="HF13" s="280">
        <v>38</v>
      </c>
      <c r="HG13" s="280">
        <v>33.299999999999997</v>
      </c>
      <c r="HH13" s="280">
        <v>36.1</v>
      </c>
      <c r="HI13" s="280">
        <v>35.9</v>
      </c>
      <c r="HJ13" s="280">
        <v>35.1</v>
      </c>
      <c r="HK13" s="280">
        <v>25.4</v>
      </c>
      <c r="HL13" s="280">
        <v>29.1</v>
      </c>
      <c r="HM13" s="280">
        <v>33.299999999999997</v>
      </c>
      <c r="HN13" s="279" t="s">
        <v>26</v>
      </c>
      <c r="HO13" s="280">
        <v>32</v>
      </c>
      <c r="HP13" s="280">
        <v>44.6</v>
      </c>
      <c r="HQ13" s="280">
        <v>56.6</v>
      </c>
      <c r="HR13" s="280">
        <v>46.7</v>
      </c>
      <c r="HS13" s="280">
        <v>33.1</v>
      </c>
      <c r="HT13" s="280">
        <v>46.7</v>
      </c>
      <c r="HU13" s="280">
        <v>55.1</v>
      </c>
      <c r="HV13" s="280">
        <v>42.7</v>
      </c>
      <c r="HW13" s="280">
        <v>36.299999999999997</v>
      </c>
      <c r="HX13" s="280">
        <v>48.6</v>
      </c>
      <c r="HY13" s="2" t="s">
        <v>26</v>
      </c>
      <c r="HZ13" s="281"/>
      <c r="IA13" s="281"/>
      <c r="IB13" s="281"/>
      <c r="IC13" s="281"/>
      <c r="ID13" s="281"/>
      <c r="IE13" s="281"/>
      <c r="IF13" s="281"/>
      <c r="IG13" s="281"/>
      <c r="IH13" s="281"/>
      <c r="II13" s="281"/>
      <c r="IJ13" s="2" t="s">
        <v>26</v>
      </c>
      <c r="IK13" s="281"/>
      <c r="IL13" s="281"/>
      <c r="IM13" s="281"/>
      <c r="IN13" s="281"/>
      <c r="IO13" s="281"/>
      <c r="IP13" s="281"/>
      <c r="IQ13" s="281"/>
      <c r="IR13" s="281"/>
      <c r="IS13" s="281"/>
      <c r="IT13" s="281"/>
      <c r="IU13" s="2" t="s">
        <v>26</v>
      </c>
      <c r="IV13" s="280">
        <v>9</v>
      </c>
      <c r="IW13" s="280">
        <v>9.1999999999999993</v>
      </c>
      <c r="IX13" s="280">
        <v>11</v>
      </c>
      <c r="IY13" s="280">
        <v>10.1</v>
      </c>
      <c r="IZ13" s="280">
        <v>4.3</v>
      </c>
      <c r="JA13" s="280">
        <v>8.5</v>
      </c>
      <c r="JB13" s="280">
        <v>6.6</v>
      </c>
      <c r="JC13" s="280">
        <v>8.6999999999999993</v>
      </c>
      <c r="JD13" s="280">
        <v>8.1</v>
      </c>
      <c r="JE13" s="280">
        <v>6.7</v>
      </c>
      <c r="JF13" s="2" t="s">
        <v>26</v>
      </c>
      <c r="JG13" s="280">
        <v>50.1</v>
      </c>
      <c r="JH13" s="280">
        <v>56.6</v>
      </c>
      <c r="JI13" s="280">
        <v>57.2</v>
      </c>
      <c r="JJ13" s="280">
        <v>49.7</v>
      </c>
      <c r="JK13" s="280">
        <v>51.6</v>
      </c>
      <c r="JL13" s="280">
        <v>54.8</v>
      </c>
      <c r="JM13" s="280">
        <v>56.2</v>
      </c>
      <c r="JN13" s="280">
        <v>51.7</v>
      </c>
      <c r="JO13" s="280">
        <v>54.1</v>
      </c>
      <c r="JP13" s="280">
        <v>53.1</v>
      </c>
      <c r="JQ13" s="2" t="s">
        <v>26</v>
      </c>
      <c r="JR13" s="280">
        <v>27.6</v>
      </c>
      <c r="JS13" s="280">
        <v>26</v>
      </c>
      <c r="JT13" s="280">
        <v>26.1</v>
      </c>
      <c r="JU13" s="280">
        <v>27.6</v>
      </c>
      <c r="JV13" s="280">
        <v>24.4</v>
      </c>
      <c r="JW13" s="280">
        <v>24.4</v>
      </c>
      <c r="JX13" s="280">
        <v>19</v>
      </c>
      <c r="JY13" s="280">
        <v>25.8</v>
      </c>
      <c r="JZ13" s="280">
        <v>23.6</v>
      </c>
      <c r="KA13" s="280">
        <v>18.100000000000001</v>
      </c>
      <c r="KB13" s="2" t="s">
        <v>26</v>
      </c>
      <c r="KC13" s="280">
        <v>45.6</v>
      </c>
      <c r="KD13" s="280">
        <v>48.4</v>
      </c>
      <c r="KE13" s="280">
        <v>36.700000000000003</v>
      </c>
      <c r="KF13" s="280">
        <v>39.6</v>
      </c>
      <c r="KG13" s="280">
        <v>34.799999999999997</v>
      </c>
      <c r="KH13" s="280">
        <v>39.700000000000003</v>
      </c>
      <c r="KI13" s="280">
        <v>50.3</v>
      </c>
      <c r="KJ13" s="280">
        <v>41.7</v>
      </c>
      <c r="KK13" s="280">
        <v>44.3</v>
      </c>
      <c r="KL13" s="280">
        <v>52.6</v>
      </c>
      <c r="KM13" s="2" t="s">
        <v>26</v>
      </c>
      <c r="KN13" s="280">
        <v>15.1</v>
      </c>
      <c r="KO13" s="280">
        <v>18.5</v>
      </c>
      <c r="KP13" s="280">
        <v>23.4</v>
      </c>
      <c r="KQ13" s="280">
        <v>15.6</v>
      </c>
      <c r="KR13" s="280">
        <v>16.7</v>
      </c>
      <c r="KS13" s="280">
        <v>19.3</v>
      </c>
      <c r="KT13" s="280">
        <v>21</v>
      </c>
      <c r="KU13" s="280">
        <v>15.2</v>
      </c>
      <c r="KV13" s="280">
        <v>17</v>
      </c>
      <c r="KW13" s="280">
        <v>13.8</v>
      </c>
      <c r="KX13" s="2" t="s">
        <v>26</v>
      </c>
      <c r="KY13" s="280">
        <v>26</v>
      </c>
      <c r="KZ13" s="280">
        <v>45.1</v>
      </c>
      <c r="LA13" s="280">
        <v>69.3</v>
      </c>
      <c r="LB13" s="280">
        <v>31</v>
      </c>
      <c r="LC13" s="280">
        <v>25.7</v>
      </c>
      <c r="LD13" s="280">
        <v>56.4</v>
      </c>
      <c r="LE13" s="280">
        <v>72.599999999999994</v>
      </c>
      <c r="LF13" s="280">
        <v>32.799999999999997</v>
      </c>
      <c r="LG13" s="280">
        <v>26.3</v>
      </c>
      <c r="LH13" s="280">
        <v>45.7</v>
      </c>
      <c r="LI13" s="158" t="s">
        <v>26</v>
      </c>
      <c r="LJ13" s="280">
        <v>9.3000000000000007</v>
      </c>
      <c r="LK13" s="280">
        <v>11.9</v>
      </c>
      <c r="LL13" s="280">
        <v>12.2</v>
      </c>
      <c r="LM13" s="280">
        <v>10.7</v>
      </c>
      <c r="LN13" s="280">
        <v>8.9</v>
      </c>
      <c r="LO13" s="280">
        <v>8.3000000000000007</v>
      </c>
      <c r="LP13" s="280">
        <v>6.9</v>
      </c>
      <c r="LQ13" s="280">
        <v>7.8</v>
      </c>
      <c r="LR13" s="280">
        <v>10</v>
      </c>
      <c r="LS13" s="280">
        <v>10.7</v>
      </c>
      <c r="LT13" s="2" t="s">
        <v>26</v>
      </c>
      <c r="LU13" s="281"/>
      <c r="LV13" s="281"/>
      <c r="LW13" s="281"/>
      <c r="LX13" s="281"/>
      <c r="LY13" s="280">
        <v>4.2</v>
      </c>
      <c r="LZ13" s="280">
        <v>5.5</v>
      </c>
      <c r="MA13" s="281"/>
      <c r="MB13" s="280">
        <v>8.1</v>
      </c>
      <c r="MC13" s="280">
        <v>8.9</v>
      </c>
      <c r="MD13" s="280">
        <v>5.6</v>
      </c>
      <c r="ME13" s="2" t="s">
        <v>26</v>
      </c>
      <c r="MF13" s="280">
        <v>9.5</v>
      </c>
      <c r="MG13" s="280">
        <v>8.5</v>
      </c>
      <c r="MH13" s="280">
        <v>8.1</v>
      </c>
      <c r="MI13" s="280">
        <v>7.4</v>
      </c>
      <c r="MJ13" s="280">
        <v>6.9</v>
      </c>
      <c r="MK13" s="280">
        <v>9.6</v>
      </c>
      <c r="ML13" s="280">
        <v>8.8000000000000007</v>
      </c>
      <c r="MM13" s="280">
        <v>8.8000000000000007</v>
      </c>
      <c r="MN13" s="280">
        <v>7.4</v>
      </c>
      <c r="MO13" s="280">
        <v>5.2</v>
      </c>
      <c r="MP13" s="2" t="s">
        <v>26</v>
      </c>
      <c r="MQ13" s="280">
        <v>5.0999999999999996</v>
      </c>
      <c r="MR13" s="280">
        <v>17.7</v>
      </c>
      <c r="MS13" s="280">
        <v>17.399999999999999</v>
      </c>
      <c r="MT13" s="280">
        <v>15.4</v>
      </c>
      <c r="MU13" s="280">
        <v>6.6</v>
      </c>
      <c r="MV13" s="280">
        <v>9.6999999999999993</v>
      </c>
      <c r="MW13" s="280">
        <v>15.8</v>
      </c>
      <c r="MX13" s="280">
        <v>14</v>
      </c>
      <c r="MY13" s="280">
        <v>10.8</v>
      </c>
      <c r="MZ13" s="280">
        <v>16.8</v>
      </c>
      <c r="NA13" s="2" t="s">
        <v>26</v>
      </c>
      <c r="NB13" s="280">
        <v>11.5</v>
      </c>
      <c r="NC13" s="280">
        <v>14.8</v>
      </c>
      <c r="ND13" s="280">
        <v>11.8</v>
      </c>
      <c r="NE13" s="280">
        <v>8.4</v>
      </c>
      <c r="NF13" s="280">
        <v>12.2</v>
      </c>
      <c r="NG13" s="280">
        <v>10.1</v>
      </c>
      <c r="NH13" s="280">
        <v>14.2</v>
      </c>
      <c r="NI13" s="280">
        <v>11.1</v>
      </c>
      <c r="NJ13" s="280">
        <v>9.4</v>
      </c>
      <c r="NK13" s="280">
        <v>6</v>
      </c>
      <c r="NL13" s="2" t="s">
        <v>26</v>
      </c>
      <c r="NM13" s="280">
        <v>22.8</v>
      </c>
      <c r="NN13" s="280">
        <v>23.3</v>
      </c>
      <c r="NO13" s="280">
        <v>14.4</v>
      </c>
      <c r="NP13" s="280">
        <v>18.8</v>
      </c>
      <c r="NQ13" s="280">
        <v>16</v>
      </c>
      <c r="NR13" s="280">
        <v>14.6</v>
      </c>
      <c r="NS13" s="280">
        <v>17.7</v>
      </c>
      <c r="NT13" s="280">
        <v>15.3</v>
      </c>
      <c r="NU13" s="280">
        <v>18</v>
      </c>
      <c r="NV13" s="280">
        <v>21.5</v>
      </c>
      <c r="NW13" s="2" t="s">
        <v>26</v>
      </c>
      <c r="NX13" s="280">
        <v>9.3000000000000007</v>
      </c>
      <c r="NY13" s="280">
        <v>11.2</v>
      </c>
      <c r="NZ13" s="280">
        <v>15.4</v>
      </c>
      <c r="OA13" s="280">
        <v>17.3</v>
      </c>
      <c r="OB13" s="280">
        <v>15.8</v>
      </c>
      <c r="OC13" s="280">
        <v>14.6</v>
      </c>
      <c r="OD13" s="280">
        <v>8.4</v>
      </c>
      <c r="OE13" s="280">
        <v>13.1</v>
      </c>
      <c r="OF13" s="280">
        <v>12</v>
      </c>
      <c r="OG13" s="280">
        <v>15.7</v>
      </c>
      <c r="OH13" s="191" t="s">
        <v>26</v>
      </c>
      <c r="OI13" s="192">
        <v>15.7</v>
      </c>
      <c r="OJ13" s="192">
        <v>18.399999999999999</v>
      </c>
      <c r="OK13" s="192">
        <v>17.8</v>
      </c>
      <c r="OL13" s="192">
        <v>15.5</v>
      </c>
      <c r="OM13" s="192">
        <v>15.4</v>
      </c>
      <c r="ON13" s="192">
        <v>16.100000000000001</v>
      </c>
      <c r="OO13" s="192">
        <v>15.4</v>
      </c>
      <c r="OP13" s="192">
        <v>12.8</v>
      </c>
      <c r="OQ13" s="192">
        <v>10.9</v>
      </c>
      <c r="OR13" s="192">
        <v>13.4</v>
      </c>
      <c r="OS13" s="2" t="s">
        <v>26</v>
      </c>
      <c r="OT13" s="340">
        <v>1.7</v>
      </c>
      <c r="OU13" s="340">
        <v>0.6</v>
      </c>
      <c r="OV13" s="340">
        <v>1</v>
      </c>
      <c r="OW13" s="340">
        <v>0.8</v>
      </c>
      <c r="OX13" s="340">
        <v>0.6</v>
      </c>
      <c r="OY13" s="340">
        <v>0.8</v>
      </c>
      <c r="OZ13" s="340">
        <v>0.8</v>
      </c>
      <c r="PA13" s="340">
        <v>0.1</v>
      </c>
      <c r="PB13" s="340">
        <v>0.8</v>
      </c>
      <c r="PC13" s="340">
        <v>1.1000000000000001</v>
      </c>
      <c r="PE13" s="185">
        <f>E13-'[1]Data-temp_employment'!F13</f>
        <v>2.0999999999999979</v>
      </c>
      <c r="PF13" s="185">
        <f>F13-'[1]Data-temp_employment'!G13</f>
        <v>-0.30000000000000071</v>
      </c>
      <c r="PG13" s="185">
        <f>O13-'[1]Data-temp_employment'!P13</f>
        <v>58.800000000000011</v>
      </c>
      <c r="PH13" s="185">
        <f>P13-'[1]Data-temp_employment'!Q13</f>
        <v>36.100000000000023</v>
      </c>
      <c r="PI13" s="185">
        <f>AD13-'[1]Data-temp_employment'!AE13</f>
        <v>-3.1999999999999993</v>
      </c>
      <c r="PJ13" s="185">
        <f>AE13-'[1]Data-temp_employment'!AF13</f>
        <v>-12.500000000000002</v>
      </c>
      <c r="PK13" s="185">
        <f>BR13-'[1]Data-temp_employment'!BS13</f>
        <v>4.1000000000000014</v>
      </c>
      <c r="PL13" s="185">
        <f>BS13-'[1]Data-temp_employment'!BT13</f>
        <v>-2.5</v>
      </c>
      <c r="PM13" s="185">
        <f>CC13-'[1]Data-temp_employment'!CD13</f>
        <v>-2.8000000000000043</v>
      </c>
      <c r="PN13" s="185">
        <f>CD13-'[1]Data-temp_employment'!CE13</f>
        <v>-7.4999999999999929</v>
      </c>
      <c r="PO13" s="185">
        <f>CR13-'[1]Data-temp_employment'!CS13</f>
        <v>-1.1000000000000014</v>
      </c>
      <c r="PP13" s="185">
        <f>CS13-'[1]Data-temp_employment'!CT13</f>
        <v>-2</v>
      </c>
      <c r="PQ13" s="185">
        <f>DC13-'[1]Data-temp_employment'!DD13</f>
        <v>-3</v>
      </c>
      <c r="PR13" s="185">
        <f>DD13-'[1]Data-temp_employment'!DE13</f>
        <v>-12.199999999999989</v>
      </c>
      <c r="PS13" s="185">
        <f>DN13-'[1]Data-temp_employment'!DO13</f>
        <v>-11</v>
      </c>
      <c r="PT13" s="185">
        <f>DO13-'[1]Data-temp_employment'!DP13</f>
        <v>3.4000000000000057</v>
      </c>
      <c r="PU13" s="185">
        <f>EF13-'[1]Data-temp_employment'!EG13</f>
        <v>0</v>
      </c>
      <c r="PV13" s="185">
        <f>EG13-'[1]Data-temp_employment'!EH13</f>
        <v>0</v>
      </c>
      <c r="PW13" s="185">
        <f>EU13-'[1]Data-temp_employment'!EV13</f>
        <v>-9.6999999999999957</v>
      </c>
      <c r="PX13" s="185">
        <f>EV13-'[1]Data-temp_employment'!EW13</f>
        <v>4.9000000000000057</v>
      </c>
      <c r="PY13" s="185">
        <f>FF13-'[1]Data-temp_employment'!FG13</f>
        <v>3.4000000000000057</v>
      </c>
      <c r="PZ13" s="185">
        <f>FG13-'[1]Data-temp_employment'!FH13</f>
        <v>-7.5999999999999979</v>
      </c>
      <c r="QA13" s="185">
        <f>FQ13-'[1]Data-temp_employment'!FR13</f>
        <v>-5.3999999999999986</v>
      </c>
      <c r="QB13" s="185">
        <f>FR13-'[1]Data-temp_employment'!FS13</f>
        <v>-1.8000000000000007</v>
      </c>
      <c r="QC13" s="185">
        <f>GB13-'[1]Data-temp_employment'!GC13</f>
        <v>3.5</v>
      </c>
      <c r="QD13" s="185">
        <f>GC13-'[1]Data-temp_employment'!GD13</f>
        <v>6.6000000000000085</v>
      </c>
      <c r="QE13" s="185">
        <f>GM13-'[1]Data-temp_employment'!GN13</f>
        <v>0</v>
      </c>
      <c r="QF13" s="185">
        <f>GN13-'[1]Data-temp_employment'!GO13</f>
        <v>0</v>
      </c>
      <c r="QG13" s="185">
        <f>GX13-'[1]Data-temp_employment'!GY13</f>
        <v>-3.8999999999999986</v>
      </c>
      <c r="QH13" s="185">
        <f>GY13-'[1]Data-temp_employment'!GZ13</f>
        <v>-9.3999999999999986</v>
      </c>
      <c r="QI13" s="185">
        <f>HI13-'[1]Data-temp_employment'!HJ13</f>
        <v>-2.3999999999999986</v>
      </c>
      <c r="QJ13" s="185">
        <f>HJ13-'[1]Data-temp_employment'!HK13</f>
        <v>-2.8999999999999986</v>
      </c>
      <c r="QK13" s="185">
        <f>HT13-'[1]Data-temp_employment'!HU13</f>
        <v>2.1000000000000014</v>
      </c>
      <c r="QL13" s="185">
        <f>HU13-'[1]Data-temp_employment'!HV13</f>
        <v>-1.5</v>
      </c>
      <c r="QM13" s="185">
        <f>IE13-'[1]Data-temp_employment'!IF13</f>
        <v>0</v>
      </c>
      <c r="QN13" s="185">
        <f>IF13-'[1]Data-temp_employment'!IG13</f>
        <v>0</v>
      </c>
      <c r="QO13" s="185">
        <f>JA13-'[1]Data-temp_employment'!JB13</f>
        <v>-0.69999999999999929</v>
      </c>
      <c r="QP13" s="185">
        <f>JB13-'[1]Data-temp_employment'!JC13</f>
        <v>-4.4000000000000004</v>
      </c>
      <c r="QQ13" s="185">
        <f>JH13-'[1]Data-temp_employment'!JI13</f>
        <v>14.700000000000003</v>
      </c>
      <c r="QR13" s="185">
        <f>JI13-'[1]Data-temp_employment'!JJ13</f>
        <v>14.400000000000006</v>
      </c>
      <c r="QS13" s="185">
        <f>JS13-'[1]Data-temp_employment'!JT13</f>
        <v>6.1999999999999993</v>
      </c>
      <c r="QT13" s="185">
        <f>JT13-'[1]Data-temp_employment'!JU13</f>
        <v>0.5</v>
      </c>
      <c r="QU13" s="185">
        <f>KD13-'[1]Data-temp_employment'!KE13</f>
        <v>9.2999999999999972</v>
      </c>
      <c r="QV13" s="185">
        <f>KE13-'[1]Data-temp_employment'!KF13</f>
        <v>-5.5999999999999943</v>
      </c>
      <c r="QW13" s="185">
        <f>KO13-'[1]Data-temp_employment'!KP13</f>
        <v>2</v>
      </c>
      <c r="QX13" s="185">
        <f>KP13-'[1]Data-temp_employment'!KQ13</f>
        <v>3.0999999999999979</v>
      </c>
      <c r="QY13" s="185">
        <f>LD13-'[1]Data-temp_employment'!LE13</f>
        <v>11.299999999999997</v>
      </c>
      <c r="QZ13" s="185">
        <f>LE13-'[1]Data-temp_employment'!LF13</f>
        <v>3.2999999999999972</v>
      </c>
      <c r="RA13" s="185">
        <f>LK13-'[1]Data-temp_employment'!LL13</f>
        <v>2.0999999999999996</v>
      </c>
      <c r="RB13" s="185">
        <f>LL13-'[1]Data-temp_employment'!LM13</f>
        <v>1.3999999999999986</v>
      </c>
      <c r="RC13" s="185">
        <f>LV13-'[1]Data-temp_employment'!LW13</f>
        <v>-4.8</v>
      </c>
      <c r="RD13" s="185">
        <f>LW13-'[1]Data-temp_employment'!LX13</f>
        <v>-6.3</v>
      </c>
      <c r="RE13" s="185">
        <f>MK13-'[1]Data-temp_employment'!ML13</f>
        <v>1.0999999999999996</v>
      </c>
      <c r="RF13" s="185">
        <f>ML13-'[1]Data-temp_employment'!MM13</f>
        <v>0.70000000000000107</v>
      </c>
      <c r="RG13" s="185">
        <f>MV13-'[1]Data-temp_employment'!MW13</f>
        <v>-8</v>
      </c>
      <c r="RH13" s="185">
        <f>MW13-'[1]Data-temp_employment'!MX13</f>
        <v>-1.5999999999999979</v>
      </c>
      <c r="RI13" s="185">
        <f>NG13-'[1]Data-temp_employment'!NH13</f>
        <v>-4.7000000000000011</v>
      </c>
      <c r="RJ13" s="185">
        <f>NH13-'[1]Data-temp_employment'!NI13</f>
        <v>2.3999999999999986</v>
      </c>
      <c r="RK13" s="185">
        <f>NR13-'[1]Data-temp_employment'!NS13</f>
        <v>-8.7000000000000011</v>
      </c>
      <c r="RL13" s="185">
        <f>NS13-'[1]Data-temp_employment'!NT13</f>
        <v>3.2999999999999989</v>
      </c>
      <c r="RM13" s="185">
        <f>OC13-'[1]Data-temp_employment'!OD13</f>
        <v>3.4000000000000004</v>
      </c>
      <c r="RN13" s="185">
        <f>OD13-'[1]Data-temp_employment'!OE13</f>
        <v>-7</v>
      </c>
      <c r="RO13" s="185">
        <f>OT13-'[1]Data-temp_employment'!OV13</f>
        <v>0.7</v>
      </c>
      <c r="RP13" s="185">
        <f>OU13-'[1]Data-temp_employment'!OW13</f>
        <v>-9.9999999999999978E-2</v>
      </c>
    </row>
    <row r="14" spans="1:484">
      <c r="A14">
        <v>11</v>
      </c>
      <c r="B14" s="132" t="s">
        <v>28</v>
      </c>
      <c r="C14" s="332">
        <v>15.7</v>
      </c>
      <c r="D14" s="332">
        <v>18.600000000000001</v>
      </c>
      <c r="E14" s="332">
        <v>17.2</v>
      </c>
      <c r="F14" s="332">
        <v>14.7</v>
      </c>
      <c r="G14" s="332">
        <v>13.4</v>
      </c>
      <c r="H14" s="332">
        <v>16.100000000000001</v>
      </c>
      <c r="I14" s="332">
        <v>16.7</v>
      </c>
      <c r="J14" s="332">
        <v>14.9</v>
      </c>
      <c r="K14" s="332">
        <v>13.3</v>
      </c>
      <c r="L14" s="332">
        <v>15.2</v>
      </c>
      <c r="M14" s="127" t="s">
        <v>28</v>
      </c>
      <c r="N14" s="332">
        <v>46.2</v>
      </c>
      <c r="O14" s="332">
        <v>57.5</v>
      </c>
      <c r="P14" s="332">
        <v>53.7</v>
      </c>
      <c r="Q14" s="332">
        <v>46.2</v>
      </c>
      <c r="R14" s="332">
        <v>41.6</v>
      </c>
      <c r="S14" s="332">
        <v>52.9</v>
      </c>
      <c r="T14" s="332">
        <v>55.6</v>
      </c>
      <c r="U14" s="332">
        <v>49</v>
      </c>
      <c r="V14" s="332">
        <v>43.8</v>
      </c>
      <c r="W14" s="332">
        <v>52.6</v>
      </c>
      <c r="X14" s="120" t="s">
        <v>28</v>
      </c>
      <c r="Y14" s="336"/>
      <c r="Z14" s="336"/>
      <c r="AA14" s="336"/>
      <c r="AB14" s="336"/>
      <c r="AC14" s="336"/>
      <c r="AD14" s="336"/>
      <c r="AE14" s="336"/>
      <c r="AF14" s="336"/>
      <c r="AG14" s="336"/>
      <c r="AH14" s="336"/>
      <c r="AI14" s="119" t="s">
        <v>28</v>
      </c>
      <c r="AJ14" s="332">
        <v>1.4</v>
      </c>
      <c r="AK14" s="332">
        <v>1.6</v>
      </c>
      <c r="AL14" s="332">
        <v>2.6</v>
      </c>
      <c r="AM14" s="332">
        <v>2.1</v>
      </c>
      <c r="AN14" s="332">
        <v>2</v>
      </c>
      <c r="AO14" s="332">
        <v>2.1</v>
      </c>
      <c r="AP14" s="332">
        <v>2.1</v>
      </c>
      <c r="AQ14" s="332">
        <v>1.1000000000000001</v>
      </c>
      <c r="AR14" s="332">
        <v>1.2</v>
      </c>
      <c r="AS14" s="332">
        <v>1.4</v>
      </c>
      <c r="AT14" s="119" t="s">
        <v>28</v>
      </c>
      <c r="AU14" s="332">
        <v>8.8000000000000007</v>
      </c>
      <c r="AV14" s="332">
        <v>14.1</v>
      </c>
      <c r="AW14" s="332">
        <v>14.4</v>
      </c>
      <c r="AX14" s="332">
        <v>9.9</v>
      </c>
      <c r="AY14" s="332">
        <v>4.5</v>
      </c>
      <c r="AZ14" s="332">
        <v>9.1</v>
      </c>
      <c r="BA14" s="332">
        <v>12.7</v>
      </c>
      <c r="BB14" s="332">
        <v>7.9</v>
      </c>
      <c r="BC14" s="332">
        <v>5.5</v>
      </c>
      <c r="BD14" s="332">
        <v>8.1999999999999993</v>
      </c>
      <c r="BE14" s="119" t="s">
        <v>28</v>
      </c>
      <c r="BF14" s="280">
        <v>20.399999999999999</v>
      </c>
      <c r="BG14" s="280">
        <v>27.7</v>
      </c>
      <c r="BH14" s="280">
        <v>22.6</v>
      </c>
      <c r="BI14" s="280">
        <v>21.1</v>
      </c>
      <c r="BJ14" s="280">
        <v>19.100000000000001</v>
      </c>
      <c r="BK14" s="280">
        <v>23.8</v>
      </c>
      <c r="BL14" s="280">
        <v>20.2</v>
      </c>
      <c r="BM14" s="280">
        <v>19.3</v>
      </c>
      <c r="BN14" s="280">
        <v>17.3</v>
      </c>
      <c r="BO14" s="280">
        <v>21.8</v>
      </c>
      <c r="BP14" s="6" t="s">
        <v>28</v>
      </c>
      <c r="BQ14" s="7">
        <v>2.2999999999999998</v>
      </c>
      <c r="BR14" s="7">
        <v>2.7</v>
      </c>
      <c r="BS14" s="7">
        <v>3</v>
      </c>
      <c r="BT14" s="7">
        <v>3.6</v>
      </c>
      <c r="BU14" s="7">
        <v>4.9000000000000004</v>
      </c>
      <c r="BV14" s="7">
        <v>5.5</v>
      </c>
      <c r="BW14" s="7">
        <v>6.9</v>
      </c>
      <c r="BX14" s="7">
        <v>6.8</v>
      </c>
      <c r="BY14" s="7">
        <v>6.2</v>
      </c>
      <c r="BZ14" s="7">
        <v>7</v>
      </c>
      <c r="CA14" s="158" t="s">
        <v>28</v>
      </c>
      <c r="CB14" s="7">
        <v>13.1</v>
      </c>
      <c r="CC14" s="7">
        <v>11.3</v>
      </c>
      <c r="CD14" s="7">
        <v>10.799999999999999</v>
      </c>
      <c r="CE14" s="7">
        <v>9</v>
      </c>
      <c r="CF14" s="7">
        <v>10.6</v>
      </c>
      <c r="CG14" s="7">
        <v>11.7</v>
      </c>
      <c r="CH14" s="7">
        <v>13.1</v>
      </c>
      <c r="CI14" s="7">
        <v>13.6</v>
      </c>
      <c r="CJ14" s="7">
        <v>13.1</v>
      </c>
      <c r="CK14" s="7">
        <v>14</v>
      </c>
      <c r="CL14" s="158" t="s">
        <v>28</v>
      </c>
      <c r="CM14" s="280">
        <v>12.5</v>
      </c>
      <c r="CN14" s="280">
        <v>15.3</v>
      </c>
      <c r="CO14" s="280">
        <v>14.9</v>
      </c>
      <c r="CP14" s="280">
        <v>11.5</v>
      </c>
      <c r="CQ14" s="280">
        <v>10</v>
      </c>
      <c r="CR14" s="280">
        <v>12.8</v>
      </c>
      <c r="CS14" s="280">
        <v>13.9</v>
      </c>
      <c r="CT14" s="280">
        <v>11.5</v>
      </c>
      <c r="CU14" s="280">
        <v>10</v>
      </c>
      <c r="CV14" s="280">
        <v>14.3</v>
      </c>
      <c r="CW14" s="130" t="s">
        <v>28</v>
      </c>
      <c r="CX14" s="280">
        <v>12.1</v>
      </c>
      <c r="CY14" s="280">
        <v>18.100000000000001</v>
      </c>
      <c r="CZ14" s="280">
        <v>19.2</v>
      </c>
      <c r="DA14" s="280">
        <v>16.100000000000001</v>
      </c>
      <c r="DB14" s="280">
        <v>13.6</v>
      </c>
      <c r="DC14" s="280">
        <v>19.8</v>
      </c>
      <c r="DD14" s="280">
        <v>21.6</v>
      </c>
      <c r="DE14" s="280">
        <v>20.7</v>
      </c>
      <c r="DF14" s="280">
        <v>18.399999999999999</v>
      </c>
      <c r="DG14" s="280">
        <v>21.2</v>
      </c>
      <c r="DH14" s="158" t="s">
        <v>28</v>
      </c>
      <c r="DI14" s="280">
        <v>21.6</v>
      </c>
      <c r="DJ14" s="280">
        <v>24.2</v>
      </c>
      <c r="DK14" s="280">
        <v>19.600000000000001</v>
      </c>
      <c r="DL14" s="280">
        <v>18.7</v>
      </c>
      <c r="DM14" s="280">
        <v>18</v>
      </c>
      <c r="DN14" s="280">
        <v>20.399999999999999</v>
      </c>
      <c r="DO14" s="280">
        <v>20.2</v>
      </c>
      <c r="DP14" s="280">
        <v>16.899999999999999</v>
      </c>
      <c r="DQ14" s="280">
        <v>15.4</v>
      </c>
      <c r="DR14" s="280">
        <v>17.100000000000001</v>
      </c>
      <c r="DS14" s="158" t="s">
        <v>28</v>
      </c>
      <c r="DT14" s="281"/>
      <c r="DU14" s="281"/>
      <c r="DV14" s="281"/>
      <c r="DW14" s="281"/>
      <c r="DX14" s="281"/>
      <c r="DY14" s="281"/>
      <c r="DZ14" s="281"/>
      <c r="EA14" s="281"/>
      <c r="EB14" s="281"/>
      <c r="EC14" s="281"/>
      <c r="ED14" s="2" t="s">
        <v>28</v>
      </c>
      <c r="EE14" s="280">
        <v>0.6</v>
      </c>
      <c r="EF14" s="280">
        <v>0.5</v>
      </c>
      <c r="EG14" s="280">
        <v>0.6</v>
      </c>
      <c r="EH14" s="280">
        <v>0.6</v>
      </c>
      <c r="EI14" s="281"/>
      <c r="EJ14" s="281"/>
      <c r="EK14" s="280">
        <v>0.5</v>
      </c>
      <c r="EL14" s="281"/>
      <c r="EM14" s="280">
        <v>0.6</v>
      </c>
      <c r="EN14" s="280">
        <v>0.5</v>
      </c>
      <c r="EO14" s="2" t="s">
        <v>28</v>
      </c>
      <c r="EP14" s="280">
        <v>10</v>
      </c>
      <c r="EQ14" s="280">
        <v>11.3</v>
      </c>
      <c r="ER14" s="280">
        <v>7.9</v>
      </c>
      <c r="ES14" s="280">
        <v>8.1999999999999993</v>
      </c>
      <c r="ET14" s="280">
        <v>8.8000000000000007</v>
      </c>
      <c r="EU14" s="280">
        <v>9.3000000000000007</v>
      </c>
      <c r="EV14" s="280">
        <v>6.8</v>
      </c>
      <c r="EW14" s="280">
        <v>5.8</v>
      </c>
      <c r="EX14" s="280">
        <v>5.9</v>
      </c>
      <c r="EY14" s="280">
        <v>6</v>
      </c>
      <c r="EZ14" s="158" t="s">
        <v>28</v>
      </c>
      <c r="FA14" s="280">
        <v>2.1</v>
      </c>
      <c r="FB14" s="280">
        <v>3.3</v>
      </c>
      <c r="FC14" s="280">
        <v>2.5</v>
      </c>
      <c r="FD14" s="280">
        <v>3.1</v>
      </c>
      <c r="FE14" s="280">
        <v>2.2999999999999998</v>
      </c>
      <c r="FF14" s="280">
        <v>2.4</v>
      </c>
      <c r="FG14" s="280">
        <v>3.1</v>
      </c>
      <c r="FH14" s="280">
        <v>3.4</v>
      </c>
      <c r="FI14" s="280">
        <v>2.7</v>
      </c>
      <c r="FJ14" s="280">
        <v>1.9</v>
      </c>
      <c r="FK14" s="158" t="s">
        <v>28</v>
      </c>
      <c r="FL14" s="280">
        <v>4.2</v>
      </c>
      <c r="FM14" s="280">
        <v>4.9000000000000004</v>
      </c>
      <c r="FN14" s="280">
        <v>4.5999999999999996</v>
      </c>
      <c r="FO14" s="280">
        <v>3.1</v>
      </c>
      <c r="FP14" s="280">
        <v>2.7</v>
      </c>
      <c r="FQ14" s="280">
        <v>4.5</v>
      </c>
      <c r="FR14" s="280">
        <v>4.4000000000000004</v>
      </c>
      <c r="FS14" s="280">
        <v>3.6</v>
      </c>
      <c r="FT14" s="280">
        <v>2.8</v>
      </c>
      <c r="FU14" s="280">
        <v>4.5</v>
      </c>
      <c r="FV14" s="2" t="s">
        <v>28</v>
      </c>
      <c r="FW14" s="280">
        <v>6.7</v>
      </c>
      <c r="FX14" s="280">
        <v>10.6</v>
      </c>
      <c r="FY14" s="280">
        <v>10.9</v>
      </c>
      <c r="FZ14" s="280">
        <v>8.6</v>
      </c>
      <c r="GA14" s="280">
        <v>5.5</v>
      </c>
      <c r="GB14" s="280">
        <v>9.6999999999999993</v>
      </c>
      <c r="GC14" s="280">
        <v>11.6</v>
      </c>
      <c r="GD14" s="280">
        <v>8.6999999999999993</v>
      </c>
      <c r="GE14" s="280">
        <v>6</v>
      </c>
      <c r="GF14" s="280">
        <v>9.8000000000000007</v>
      </c>
      <c r="GG14" s="158" t="s">
        <v>28</v>
      </c>
      <c r="GH14" s="281"/>
      <c r="GI14" s="281"/>
      <c r="GJ14" s="281"/>
      <c r="GK14" s="281"/>
      <c r="GL14" s="281"/>
      <c r="GM14" s="281"/>
      <c r="GN14" s="281"/>
      <c r="GO14" s="281"/>
      <c r="GP14" s="281"/>
      <c r="GQ14" s="281"/>
      <c r="GR14" s="2" t="s">
        <v>28</v>
      </c>
      <c r="GS14" s="280">
        <v>2.4</v>
      </c>
      <c r="GT14" s="280">
        <v>2.6</v>
      </c>
      <c r="GU14" s="280">
        <v>2.2999999999999998</v>
      </c>
      <c r="GV14" s="280">
        <v>1.3</v>
      </c>
      <c r="GW14" s="280">
        <v>1.3</v>
      </c>
      <c r="GX14" s="280">
        <v>2</v>
      </c>
      <c r="GY14" s="280">
        <v>1.7</v>
      </c>
      <c r="GZ14" s="280">
        <v>1.5</v>
      </c>
      <c r="HA14" s="280">
        <v>1.6</v>
      </c>
      <c r="HB14" s="280">
        <v>1.6</v>
      </c>
      <c r="HC14" s="2" t="s">
        <v>28</v>
      </c>
      <c r="HD14" s="280">
        <v>1.3</v>
      </c>
      <c r="HE14" s="280">
        <v>1.1000000000000001</v>
      </c>
      <c r="HF14" s="280">
        <v>0.9</v>
      </c>
      <c r="HG14" s="280">
        <v>0.9</v>
      </c>
      <c r="HH14" s="280">
        <v>0.7</v>
      </c>
      <c r="HI14" s="280">
        <v>1.1000000000000001</v>
      </c>
      <c r="HJ14" s="280">
        <v>1.9</v>
      </c>
      <c r="HK14" s="280">
        <v>1.5</v>
      </c>
      <c r="HL14" s="280">
        <v>1.6</v>
      </c>
      <c r="HM14" s="280">
        <v>1.1000000000000001</v>
      </c>
      <c r="HN14" s="279" t="s">
        <v>28</v>
      </c>
      <c r="HO14" s="280">
        <v>18.100000000000001</v>
      </c>
      <c r="HP14" s="280">
        <v>22.8</v>
      </c>
      <c r="HQ14" s="280">
        <v>23.6</v>
      </c>
      <c r="HR14" s="280">
        <v>18.899999999999999</v>
      </c>
      <c r="HS14" s="280">
        <v>17.3</v>
      </c>
      <c r="HT14" s="280">
        <v>20.399999999999999</v>
      </c>
      <c r="HU14" s="280">
        <v>22.8</v>
      </c>
      <c r="HV14" s="280">
        <v>20.3</v>
      </c>
      <c r="HW14" s="280">
        <v>18.8</v>
      </c>
      <c r="HX14" s="280">
        <v>23</v>
      </c>
      <c r="HY14" s="2" t="s">
        <v>28</v>
      </c>
      <c r="HZ14" s="280">
        <v>0.7</v>
      </c>
      <c r="IA14" s="281"/>
      <c r="IB14" s="281"/>
      <c r="IC14" s="280">
        <v>1.3</v>
      </c>
      <c r="ID14" s="280">
        <v>2.6</v>
      </c>
      <c r="IE14" s="280">
        <v>2.9</v>
      </c>
      <c r="IF14" s="280">
        <v>2.8</v>
      </c>
      <c r="IG14" s="280">
        <v>3.7</v>
      </c>
      <c r="IH14" s="280">
        <v>3.6</v>
      </c>
      <c r="II14" s="280">
        <v>3.9</v>
      </c>
      <c r="IJ14" s="158" t="s">
        <v>28</v>
      </c>
      <c r="IK14" s="281"/>
      <c r="IL14" s="281"/>
      <c r="IM14" s="281"/>
      <c r="IN14" s="281"/>
      <c r="IO14" s="281"/>
      <c r="IP14" s="281"/>
      <c r="IQ14" s="281"/>
      <c r="IR14" s="281"/>
      <c r="IS14" s="281"/>
      <c r="IT14" s="281"/>
      <c r="IU14" s="2" t="s">
        <v>28</v>
      </c>
      <c r="IV14" s="280">
        <v>2.9</v>
      </c>
      <c r="IW14" s="280">
        <v>3.2</v>
      </c>
      <c r="IX14" s="280">
        <v>3.6</v>
      </c>
      <c r="IY14" s="280">
        <v>2.8</v>
      </c>
      <c r="IZ14" s="280">
        <v>1.8</v>
      </c>
      <c r="JA14" s="280">
        <v>2.1</v>
      </c>
      <c r="JB14" s="280">
        <v>2.4</v>
      </c>
      <c r="JC14" s="280">
        <v>1.7</v>
      </c>
      <c r="JD14" s="280">
        <v>1.5</v>
      </c>
      <c r="JE14" s="280">
        <v>1.6</v>
      </c>
      <c r="JF14" s="2" t="s">
        <v>28</v>
      </c>
      <c r="JG14" s="280">
        <v>1.3</v>
      </c>
      <c r="JH14" s="280">
        <v>0.8</v>
      </c>
      <c r="JI14" s="280">
        <v>0.9</v>
      </c>
      <c r="JJ14" s="280">
        <v>0.8</v>
      </c>
      <c r="JK14" s="281"/>
      <c r="JL14" s="281"/>
      <c r="JM14" s="281"/>
      <c r="JN14" s="280">
        <v>0.8</v>
      </c>
      <c r="JO14" s="280">
        <v>0.7</v>
      </c>
      <c r="JP14" s="280">
        <v>0.6</v>
      </c>
      <c r="JQ14" s="2" t="s">
        <v>28</v>
      </c>
      <c r="JR14" s="280">
        <v>2.1</v>
      </c>
      <c r="JS14" s="280">
        <v>2.4</v>
      </c>
      <c r="JT14" s="280">
        <v>2.2999999999999998</v>
      </c>
      <c r="JU14" s="280">
        <v>1.6</v>
      </c>
      <c r="JV14" s="280">
        <v>2.2999999999999998</v>
      </c>
      <c r="JW14" s="280">
        <v>2.4</v>
      </c>
      <c r="JX14" s="280">
        <v>1.8</v>
      </c>
      <c r="JY14" s="280">
        <v>1.5</v>
      </c>
      <c r="JZ14" s="280">
        <v>1.2</v>
      </c>
      <c r="KA14" s="280">
        <v>0.9</v>
      </c>
      <c r="KB14" s="2" t="s">
        <v>28</v>
      </c>
      <c r="KC14" s="280">
        <v>2.9</v>
      </c>
      <c r="KD14" s="280">
        <v>3.3</v>
      </c>
      <c r="KE14" s="280">
        <v>3.3</v>
      </c>
      <c r="KF14" s="280">
        <v>3.7</v>
      </c>
      <c r="KG14" s="280">
        <v>2.1</v>
      </c>
      <c r="KH14" s="280">
        <v>3.5</v>
      </c>
      <c r="KI14" s="280">
        <v>4.5999999999999996</v>
      </c>
      <c r="KJ14" s="280">
        <v>3.5</v>
      </c>
      <c r="KK14" s="280">
        <v>2.8</v>
      </c>
      <c r="KL14" s="280">
        <v>3.4</v>
      </c>
      <c r="KM14" s="2" t="s">
        <v>28</v>
      </c>
      <c r="KN14" s="280">
        <v>1.5</v>
      </c>
      <c r="KO14" s="280">
        <v>2</v>
      </c>
      <c r="KP14" s="280">
        <v>1.5</v>
      </c>
      <c r="KQ14" s="280">
        <v>1.6</v>
      </c>
      <c r="KR14" s="280">
        <v>1.1000000000000001</v>
      </c>
      <c r="KS14" s="280">
        <v>1.8</v>
      </c>
      <c r="KT14" s="280">
        <v>2.5</v>
      </c>
      <c r="KU14" s="280">
        <v>2.1</v>
      </c>
      <c r="KV14" s="280">
        <v>1.8</v>
      </c>
      <c r="KW14" s="280">
        <v>2.8</v>
      </c>
      <c r="KX14" s="2" t="s">
        <v>28</v>
      </c>
      <c r="KY14" s="280">
        <v>4.4000000000000004</v>
      </c>
      <c r="KZ14" s="280">
        <v>12.4</v>
      </c>
      <c r="LA14" s="280">
        <v>14.4</v>
      </c>
      <c r="LB14" s="280">
        <v>8.1999999999999993</v>
      </c>
      <c r="LC14" s="280">
        <v>4</v>
      </c>
      <c r="LD14" s="280">
        <v>10.199999999999999</v>
      </c>
      <c r="LE14" s="280">
        <v>13.2</v>
      </c>
      <c r="LF14" s="280">
        <v>7.6</v>
      </c>
      <c r="LG14" s="280">
        <v>4.2</v>
      </c>
      <c r="LH14" s="280">
        <v>11</v>
      </c>
      <c r="LI14" s="158" t="s">
        <v>28</v>
      </c>
      <c r="LJ14" s="280">
        <v>1.3</v>
      </c>
      <c r="LK14" s="280">
        <v>1.6</v>
      </c>
      <c r="LL14" s="280">
        <v>1.4</v>
      </c>
      <c r="LM14" s="280">
        <v>0.7</v>
      </c>
      <c r="LN14" s="280">
        <v>0.8</v>
      </c>
      <c r="LO14" s="280">
        <v>1.1000000000000001</v>
      </c>
      <c r="LP14" s="280">
        <v>0.9</v>
      </c>
      <c r="LQ14" s="280">
        <v>1</v>
      </c>
      <c r="LR14" s="280">
        <v>1.4</v>
      </c>
      <c r="LS14" s="280">
        <v>1.1000000000000001</v>
      </c>
      <c r="LT14" s="2" t="s">
        <v>28</v>
      </c>
      <c r="LU14" s="280">
        <v>1.5</v>
      </c>
      <c r="LV14" s="280">
        <v>1.9</v>
      </c>
      <c r="LW14" s="280">
        <v>1.9</v>
      </c>
      <c r="LX14" s="280">
        <v>1.6</v>
      </c>
      <c r="LY14" s="280">
        <v>1.7</v>
      </c>
      <c r="LZ14" s="280">
        <v>1.4</v>
      </c>
      <c r="MA14" s="280">
        <v>1.6</v>
      </c>
      <c r="MB14" s="280">
        <v>0.9</v>
      </c>
      <c r="MC14" s="280">
        <v>0.9</v>
      </c>
      <c r="MD14" s="280">
        <v>1</v>
      </c>
      <c r="ME14" s="2" t="s">
        <v>28</v>
      </c>
      <c r="MF14" s="280">
        <v>1.8</v>
      </c>
      <c r="MG14" s="280">
        <v>2.5</v>
      </c>
      <c r="MH14" s="280">
        <v>1.8</v>
      </c>
      <c r="MI14" s="280">
        <v>1.9</v>
      </c>
      <c r="MJ14" s="280">
        <v>1.8</v>
      </c>
      <c r="MK14" s="280">
        <v>2.1</v>
      </c>
      <c r="ML14" s="280">
        <v>2.2999999999999998</v>
      </c>
      <c r="MM14" s="280">
        <v>2.7</v>
      </c>
      <c r="MN14" s="280">
        <v>2.5</v>
      </c>
      <c r="MO14" s="280">
        <v>2</v>
      </c>
      <c r="MP14" s="2" t="s">
        <v>28</v>
      </c>
      <c r="MQ14" s="280">
        <v>0.7</v>
      </c>
      <c r="MR14" s="280">
        <v>0.9</v>
      </c>
      <c r="MS14" s="280">
        <v>1.3</v>
      </c>
      <c r="MT14" s="280">
        <v>0.6</v>
      </c>
      <c r="MU14" s="280">
        <v>0.7</v>
      </c>
      <c r="MV14" s="280">
        <v>1.2</v>
      </c>
      <c r="MW14" s="280">
        <v>1</v>
      </c>
      <c r="MX14" s="280">
        <v>0.5</v>
      </c>
      <c r="MY14" s="280">
        <v>0.6</v>
      </c>
      <c r="MZ14" s="280">
        <v>1.1000000000000001</v>
      </c>
      <c r="NA14" s="2" t="s">
        <v>28</v>
      </c>
      <c r="NB14" s="280">
        <v>4.0999999999999996</v>
      </c>
      <c r="NC14" s="280">
        <v>3.7</v>
      </c>
      <c r="ND14" s="280">
        <v>2.7</v>
      </c>
      <c r="NE14" s="280">
        <v>4.5</v>
      </c>
      <c r="NF14" s="280">
        <v>5.9</v>
      </c>
      <c r="NG14" s="280">
        <v>6.8</v>
      </c>
      <c r="NH14" s="280">
        <v>4.8</v>
      </c>
      <c r="NI14" s="280">
        <v>7.1</v>
      </c>
      <c r="NJ14" s="280">
        <v>6.6</v>
      </c>
      <c r="NK14" s="280">
        <v>7.3</v>
      </c>
      <c r="NL14" s="158" t="s">
        <v>28</v>
      </c>
      <c r="NM14" s="280">
        <v>6</v>
      </c>
      <c r="NN14" s="280">
        <v>6.4</v>
      </c>
      <c r="NO14" s="280">
        <v>3.6</v>
      </c>
      <c r="NP14" s="280">
        <v>4.7</v>
      </c>
      <c r="NQ14" s="280">
        <v>4.3</v>
      </c>
      <c r="NR14" s="280">
        <v>3.6</v>
      </c>
      <c r="NS14" s="280">
        <v>2.6</v>
      </c>
      <c r="NT14" s="280">
        <v>2.9</v>
      </c>
      <c r="NU14" s="280">
        <v>3</v>
      </c>
      <c r="NV14" s="280">
        <v>2.4</v>
      </c>
      <c r="NW14" s="2" t="s">
        <v>28</v>
      </c>
      <c r="NX14" s="280">
        <v>2.5</v>
      </c>
      <c r="NY14" s="280">
        <v>2.6</v>
      </c>
      <c r="NZ14" s="280">
        <v>2</v>
      </c>
      <c r="OA14" s="280">
        <v>1.7</v>
      </c>
      <c r="OB14" s="280">
        <v>1.7</v>
      </c>
      <c r="OC14" s="280">
        <v>1.5</v>
      </c>
      <c r="OD14" s="280">
        <v>1.5</v>
      </c>
      <c r="OE14" s="280">
        <v>1.3</v>
      </c>
      <c r="OF14" s="280">
        <v>1.6</v>
      </c>
      <c r="OG14" s="280">
        <v>1.6</v>
      </c>
      <c r="OH14" s="191" t="s">
        <v>28</v>
      </c>
      <c r="OI14" s="192">
        <v>16.100000000000001</v>
      </c>
      <c r="OJ14" s="192">
        <v>16</v>
      </c>
      <c r="OK14" s="192">
        <v>17.7</v>
      </c>
      <c r="OL14" s="192">
        <v>14.6</v>
      </c>
      <c r="OM14" s="192">
        <v>14.7</v>
      </c>
      <c r="ON14" s="192">
        <v>12.7</v>
      </c>
      <c r="OO14" s="192">
        <v>14.1</v>
      </c>
      <c r="OP14" s="192">
        <v>12.2</v>
      </c>
      <c r="OQ14" s="192">
        <v>13.1</v>
      </c>
      <c r="OR14" s="192">
        <v>13</v>
      </c>
      <c r="OS14" s="2" t="s">
        <v>28</v>
      </c>
      <c r="OT14" s="340">
        <v>1.8</v>
      </c>
      <c r="OU14" s="340">
        <v>1</v>
      </c>
      <c r="OV14" s="340">
        <v>0.9</v>
      </c>
      <c r="OW14" s="340">
        <v>1.8</v>
      </c>
      <c r="OX14" s="340">
        <v>0.6</v>
      </c>
      <c r="OY14" s="340">
        <v>1</v>
      </c>
      <c r="OZ14" s="340">
        <v>1.1000000000000001</v>
      </c>
      <c r="PA14" s="340">
        <v>1</v>
      </c>
      <c r="PB14" s="340">
        <v>1</v>
      </c>
      <c r="PC14" s="340">
        <v>0.8</v>
      </c>
      <c r="PE14" s="185">
        <f>E14-'[1]Data-temp_employment'!F14</f>
        <v>-1.6000000000000014</v>
      </c>
      <c r="PF14" s="185">
        <f>F14-'[1]Data-temp_employment'!G14</f>
        <v>-3.6000000000000014</v>
      </c>
      <c r="PG14" s="185">
        <f>O14-'[1]Data-temp_employment'!P14</f>
        <v>-1.2000000000000028</v>
      </c>
      <c r="PH14" s="185">
        <f>P14-'[1]Data-temp_employment'!Q14</f>
        <v>-3.5999999999999943</v>
      </c>
      <c r="PI14" s="185">
        <f>AD14-'[1]Data-temp_employment'!AE14</f>
        <v>0</v>
      </c>
      <c r="PJ14" s="185">
        <f>AE14-'[1]Data-temp_employment'!AF14</f>
        <v>0</v>
      </c>
      <c r="PK14" s="185">
        <f>BR14-'[1]Data-temp_employment'!BS14</f>
        <v>-0.70000000000000018</v>
      </c>
      <c r="PL14" s="185">
        <f>BS14-'[1]Data-temp_employment'!BT14</f>
        <v>0</v>
      </c>
      <c r="PM14" s="185">
        <f>CC14-'[1]Data-temp_employment'!CD14</f>
        <v>-5.6999999999999993</v>
      </c>
      <c r="PN14" s="185">
        <f>CD14-'[1]Data-temp_employment'!CE14</f>
        <v>-4.8000000000000007</v>
      </c>
      <c r="PO14" s="185">
        <f>CR14-'[1]Data-temp_employment'!CS14</f>
        <v>-2.5</v>
      </c>
      <c r="PP14" s="185">
        <f>CS14-'[1]Data-temp_employment'!CT14</f>
        <v>-1</v>
      </c>
      <c r="PQ14" s="185">
        <f>DC14-'[1]Data-temp_employment'!DD14</f>
        <v>1.6999999999999993</v>
      </c>
      <c r="PR14" s="185">
        <f>DD14-'[1]Data-temp_employment'!DE14</f>
        <v>2.4000000000000021</v>
      </c>
      <c r="PS14" s="185">
        <f>DN14-'[1]Data-temp_employment'!DO14</f>
        <v>-3.8000000000000007</v>
      </c>
      <c r="PT14" s="185">
        <f>DO14-'[1]Data-temp_employment'!DP14</f>
        <v>0.59999999999999787</v>
      </c>
      <c r="PU14" s="185">
        <f>EF14-'[1]Data-temp_employment'!EG14</f>
        <v>-9.9999999999999978E-2</v>
      </c>
      <c r="PV14" s="185">
        <f>EG14-'[1]Data-temp_employment'!EH14</f>
        <v>0</v>
      </c>
      <c r="PW14" s="185">
        <f>EU14-'[1]Data-temp_employment'!EV14</f>
        <v>-2</v>
      </c>
      <c r="PX14" s="185">
        <f>EV14-'[1]Data-temp_employment'!EW14</f>
        <v>-1.1000000000000005</v>
      </c>
      <c r="PY14" s="185">
        <f>FF14-'[1]Data-temp_employment'!FG14</f>
        <v>-0.89999999999999991</v>
      </c>
      <c r="PZ14" s="185">
        <f>FG14-'[1]Data-temp_employment'!FH14</f>
        <v>0.60000000000000009</v>
      </c>
      <c r="QA14" s="185">
        <f>FQ14-'[1]Data-temp_employment'!FR14</f>
        <v>-0.40000000000000036</v>
      </c>
      <c r="QB14" s="185">
        <f>FR14-'[1]Data-temp_employment'!FS14</f>
        <v>-0.19999999999999929</v>
      </c>
      <c r="QC14" s="185">
        <f>GB14-'[1]Data-temp_employment'!GC14</f>
        <v>-0.90000000000000036</v>
      </c>
      <c r="QD14" s="185">
        <f>GC14-'[1]Data-temp_employment'!GD14</f>
        <v>0.69999999999999929</v>
      </c>
      <c r="QE14" s="185">
        <f>GM14-'[1]Data-temp_employment'!GN14</f>
        <v>0</v>
      </c>
      <c r="QF14" s="185">
        <f>GN14-'[1]Data-temp_employment'!GO14</f>
        <v>0</v>
      </c>
      <c r="QG14" s="185">
        <f>GX14-'[1]Data-temp_employment'!GY14</f>
        <v>-0.60000000000000009</v>
      </c>
      <c r="QH14" s="185">
        <f>GY14-'[1]Data-temp_employment'!GZ14</f>
        <v>-0.59999999999999987</v>
      </c>
      <c r="QI14" s="185">
        <f>HI14-'[1]Data-temp_employment'!HJ14</f>
        <v>0</v>
      </c>
      <c r="QJ14" s="185">
        <f>HJ14-'[1]Data-temp_employment'!HK14</f>
        <v>0.99999999999999989</v>
      </c>
      <c r="QK14" s="185">
        <f>HT14-'[1]Data-temp_employment'!HU14</f>
        <v>-2.4000000000000021</v>
      </c>
      <c r="QL14" s="185">
        <f>HU14-'[1]Data-temp_employment'!HV14</f>
        <v>-0.80000000000000071</v>
      </c>
      <c r="QM14" s="185">
        <f>IE14-'[1]Data-temp_employment'!IF14</f>
        <v>2.9</v>
      </c>
      <c r="QN14" s="185">
        <f>IF14-'[1]Data-temp_employment'!IG14</f>
        <v>2.8</v>
      </c>
      <c r="QO14" s="185">
        <f>JA14-'[1]Data-temp_employment'!JB14</f>
        <v>-1.1000000000000001</v>
      </c>
      <c r="QP14" s="185">
        <f>JB14-'[1]Data-temp_employment'!JC14</f>
        <v>-1.2000000000000002</v>
      </c>
      <c r="QQ14" s="185">
        <f>JH14-'[1]Data-temp_employment'!JI14</f>
        <v>-0.89999999999999991</v>
      </c>
      <c r="QR14" s="185">
        <f>JI14-'[1]Data-temp_employment'!JJ14</f>
        <v>-0.6</v>
      </c>
      <c r="QS14" s="185">
        <f>JS14-'[1]Data-temp_employment'!JT14</f>
        <v>0.10000000000000009</v>
      </c>
      <c r="QT14" s="185">
        <f>JT14-'[1]Data-temp_employment'!JU14</f>
        <v>0.49999999999999978</v>
      </c>
      <c r="QU14" s="185">
        <f>KD14-'[1]Data-temp_employment'!KE14</f>
        <v>-0.79999999999999982</v>
      </c>
      <c r="QV14" s="185">
        <f>KE14-'[1]Data-temp_employment'!KF14</f>
        <v>-1</v>
      </c>
      <c r="QW14" s="185">
        <f>KO14-'[1]Data-temp_employment'!KP14</f>
        <v>-0.10000000000000009</v>
      </c>
      <c r="QX14" s="185">
        <f>KP14-'[1]Data-temp_employment'!KQ14</f>
        <v>-0.39999999999999991</v>
      </c>
      <c r="QY14" s="185">
        <f>LD14-'[1]Data-temp_employment'!LE14</f>
        <v>-2.2000000000000011</v>
      </c>
      <c r="QZ14" s="185">
        <f>LE14-'[1]Data-temp_employment'!LF14</f>
        <v>-1.2000000000000011</v>
      </c>
      <c r="RA14" s="185">
        <f>LK14-'[1]Data-temp_employment'!LL14</f>
        <v>0.8</v>
      </c>
      <c r="RB14" s="185">
        <f>LL14-'[1]Data-temp_employment'!LM14</f>
        <v>0.7</v>
      </c>
      <c r="RC14" s="185">
        <f>LV14-'[1]Data-temp_employment'!LW14</f>
        <v>-0.39999999999999991</v>
      </c>
      <c r="RD14" s="185">
        <f>LW14-'[1]Data-temp_employment'!LX14</f>
        <v>0.19999999999999996</v>
      </c>
      <c r="RE14" s="185">
        <f>MK14-'[1]Data-temp_employment'!ML14</f>
        <v>-0.39999999999999991</v>
      </c>
      <c r="RF14" s="185">
        <f>ML14-'[1]Data-temp_employment'!MM14</f>
        <v>0.49999999999999978</v>
      </c>
      <c r="RG14" s="185">
        <f>MV14-'[1]Data-temp_employment'!MW14</f>
        <v>0.29999999999999993</v>
      </c>
      <c r="RH14" s="185">
        <f>MW14-'[1]Data-temp_employment'!MX14</f>
        <v>-0.30000000000000004</v>
      </c>
      <c r="RI14" s="185">
        <f>NG14-'[1]Data-temp_employment'!NH14</f>
        <v>3.0999999999999996</v>
      </c>
      <c r="RJ14" s="185">
        <f>NH14-'[1]Data-temp_employment'!NI14</f>
        <v>2.0999999999999996</v>
      </c>
      <c r="RK14" s="185">
        <f>NR14-'[1]Data-temp_employment'!NS14</f>
        <v>-2.8000000000000003</v>
      </c>
      <c r="RL14" s="185">
        <f>NS14-'[1]Data-temp_employment'!NT14</f>
        <v>-1</v>
      </c>
      <c r="RM14" s="185">
        <f>OC14-'[1]Data-temp_employment'!OD14</f>
        <v>-1.1000000000000001</v>
      </c>
      <c r="RN14" s="185">
        <f>OD14-'[1]Data-temp_employment'!OE14</f>
        <v>-0.5</v>
      </c>
      <c r="RO14" s="185">
        <f>OT14-'[1]Data-temp_employment'!OV14</f>
        <v>0.7</v>
      </c>
      <c r="RP14" s="185">
        <f>OU14-'[1]Data-temp_employment'!OW14</f>
        <v>0.30000000000000004</v>
      </c>
    </row>
    <row r="15" spans="1:484">
      <c r="A15">
        <v>12</v>
      </c>
      <c r="B15" s="128" t="s">
        <v>19</v>
      </c>
      <c r="C15" s="332">
        <v>9.1999999999999993</v>
      </c>
      <c r="D15" s="332">
        <v>9.8000000000000007</v>
      </c>
      <c r="E15" s="332">
        <v>10</v>
      </c>
      <c r="F15" s="332">
        <v>9.9</v>
      </c>
      <c r="G15" s="332">
        <v>9.3000000000000007</v>
      </c>
      <c r="H15" s="332">
        <v>9.6</v>
      </c>
      <c r="I15" s="332">
        <v>9.9</v>
      </c>
      <c r="J15" s="332">
        <v>9.4</v>
      </c>
      <c r="K15" s="332">
        <v>8.6</v>
      </c>
      <c r="L15" s="332">
        <v>8.6</v>
      </c>
      <c r="M15" s="127" t="s">
        <v>19</v>
      </c>
      <c r="N15" s="332">
        <v>383.5</v>
      </c>
      <c r="O15" s="332">
        <v>406.5</v>
      </c>
      <c r="P15" s="332">
        <v>419.4</v>
      </c>
      <c r="Q15" s="332">
        <v>415.5</v>
      </c>
      <c r="R15" s="332">
        <v>392.6</v>
      </c>
      <c r="S15" s="332">
        <v>406.5</v>
      </c>
      <c r="T15" s="332">
        <v>425.1</v>
      </c>
      <c r="U15" s="332">
        <v>403.8</v>
      </c>
      <c r="V15" s="332">
        <v>369.1</v>
      </c>
      <c r="W15" s="332">
        <v>369.6</v>
      </c>
      <c r="X15" s="120" t="s">
        <v>19</v>
      </c>
      <c r="Y15" s="336"/>
      <c r="Z15" s="336"/>
      <c r="AA15" s="332">
        <v>3.4</v>
      </c>
      <c r="AB15" s="336"/>
      <c r="AC15" s="336"/>
      <c r="AD15" s="332">
        <v>1.1000000000000001</v>
      </c>
      <c r="AE15" s="332">
        <v>2</v>
      </c>
      <c r="AF15" s="336"/>
      <c r="AG15" s="336"/>
      <c r="AH15" s="336"/>
      <c r="AI15" s="119" t="s">
        <v>19</v>
      </c>
      <c r="AJ15" s="332">
        <v>14.1</v>
      </c>
      <c r="AK15" s="332">
        <v>15.1</v>
      </c>
      <c r="AL15" s="332">
        <v>18.100000000000001</v>
      </c>
      <c r="AM15" s="332">
        <v>17.8</v>
      </c>
      <c r="AN15" s="332">
        <v>15.2</v>
      </c>
      <c r="AO15" s="332">
        <v>12.5</v>
      </c>
      <c r="AP15" s="332">
        <v>21.5</v>
      </c>
      <c r="AQ15" s="332">
        <v>10.8</v>
      </c>
      <c r="AR15" s="332">
        <v>12.7</v>
      </c>
      <c r="AS15" s="332">
        <v>10</v>
      </c>
      <c r="AT15" s="119" t="s">
        <v>19</v>
      </c>
      <c r="AU15" s="332">
        <v>37.1</v>
      </c>
      <c r="AV15" s="332">
        <v>38.700000000000003</v>
      </c>
      <c r="AW15" s="332">
        <v>46.3</v>
      </c>
      <c r="AX15" s="332">
        <v>50.6</v>
      </c>
      <c r="AY15" s="332">
        <v>36.4</v>
      </c>
      <c r="AZ15" s="332">
        <v>37.299999999999997</v>
      </c>
      <c r="BA15" s="332">
        <v>45.3</v>
      </c>
      <c r="BB15" s="332">
        <v>46.2</v>
      </c>
      <c r="BC15" s="332">
        <v>32.200000000000003</v>
      </c>
      <c r="BD15" s="332">
        <v>29</v>
      </c>
      <c r="BE15" s="158" t="s">
        <v>19</v>
      </c>
      <c r="BF15" s="280">
        <v>164.5</v>
      </c>
      <c r="BG15" s="280">
        <v>185.9</v>
      </c>
      <c r="BH15" s="280">
        <v>180.9</v>
      </c>
      <c r="BI15" s="280">
        <v>180.1</v>
      </c>
      <c r="BJ15" s="280">
        <v>162.19999999999999</v>
      </c>
      <c r="BK15" s="280">
        <v>169.8</v>
      </c>
      <c r="BL15" s="280">
        <v>180.5</v>
      </c>
      <c r="BM15" s="280">
        <v>178.4</v>
      </c>
      <c r="BN15" s="280">
        <v>153.4</v>
      </c>
      <c r="BO15" s="280">
        <v>156.4</v>
      </c>
      <c r="BP15" s="158" t="s">
        <v>19</v>
      </c>
      <c r="BQ15" s="7">
        <v>100.2</v>
      </c>
      <c r="BR15" s="7">
        <v>97.800000000000011</v>
      </c>
      <c r="BS15" s="7">
        <v>96.5</v>
      </c>
      <c r="BT15" s="7">
        <v>94.2</v>
      </c>
      <c r="BU15" s="7">
        <v>104.8</v>
      </c>
      <c r="BV15" s="7">
        <v>109.8</v>
      </c>
      <c r="BW15" s="7">
        <v>103.8</v>
      </c>
      <c r="BX15" s="7">
        <v>102</v>
      </c>
      <c r="BY15" s="7">
        <v>103.2</v>
      </c>
      <c r="BZ15" s="7">
        <v>106.6</v>
      </c>
      <c r="CA15" s="158" t="s">
        <v>19</v>
      </c>
      <c r="CB15" s="7">
        <v>67</v>
      </c>
      <c r="CC15" s="7">
        <v>67.900000000000006</v>
      </c>
      <c r="CD15" s="7">
        <v>73.900000000000006</v>
      </c>
      <c r="CE15" s="7">
        <v>72</v>
      </c>
      <c r="CF15" s="7">
        <v>73.5</v>
      </c>
      <c r="CG15" s="7">
        <v>75</v>
      </c>
      <c r="CH15" s="7">
        <v>71.900000000000006</v>
      </c>
      <c r="CI15" s="7">
        <v>65.5</v>
      </c>
      <c r="CJ15" s="7">
        <v>66.900000000000006</v>
      </c>
      <c r="CK15" s="7">
        <v>66.8</v>
      </c>
      <c r="CL15" s="158" t="s">
        <v>19</v>
      </c>
      <c r="CM15" s="280">
        <v>41.1</v>
      </c>
      <c r="CN15" s="280">
        <v>40.799999999999997</v>
      </c>
      <c r="CO15" s="280">
        <v>43.8</v>
      </c>
      <c r="CP15" s="280">
        <v>42.2</v>
      </c>
      <c r="CQ15" s="280">
        <v>36.4</v>
      </c>
      <c r="CR15" s="280">
        <v>37.799999999999997</v>
      </c>
      <c r="CS15" s="280">
        <v>47.5</v>
      </c>
      <c r="CT15" s="280">
        <v>43.3</v>
      </c>
      <c r="CU15" s="280">
        <v>37.9</v>
      </c>
      <c r="CV15" s="280">
        <v>39</v>
      </c>
      <c r="CW15" s="130" t="s">
        <v>19</v>
      </c>
      <c r="CX15" s="280">
        <v>265.2</v>
      </c>
      <c r="CY15" s="280">
        <v>286.39999999999998</v>
      </c>
      <c r="CZ15" s="280">
        <v>297.10000000000002</v>
      </c>
      <c r="DA15" s="280">
        <v>284.89999999999998</v>
      </c>
      <c r="DB15" s="280">
        <v>269</v>
      </c>
      <c r="DC15" s="280">
        <v>278.2</v>
      </c>
      <c r="DD15" s="280">
        <v>282.39999999999998</v>
      </c>
      <c r="DE15" s="280">
        <v>260.39999999999998</v>
      </c>
      <c r="DF15" s="280">
        <v>245.7</v>
      </c>
      <c r="DG15" s="280">
        <v>243.5</v>
      </c>
      <c r="DH15" s="158" t="s">
        <v>19</v>
      </c>
      <c r="DI15" s="280">
        <v>77</v>
      </c>
      <c r="DJ15" s="280">
        <v>79.099999999999994</v>
      </c>
      <c r="DK15" s="280">
        <v>78.400000000000006</v>
      </c>
      <c r="DL15" s="280">
        <v>88.3</v>
      </c>
      <c r="DM15" s="280">
        <v>87.2</v>
      </c>
      <c r="DN15" s="280">
        <v>90.6</v>
      </c>
      <c r="DO15" s="280">
        <v>95.1</v>
      </c>
      <c r="DP15" s="280">
        <v>100.1</v>
      </c>
      <c r="DQ15" s="280">
        <v>85.6</v>
      </c>
      <c r="DR15" s="280">
        <v>87.1</v>
      </c>
      <c r="DS15" s="158" t="s">
        <v>19</v>
      </c>
      <c r="DT15" s="281"/>
      <c r="DU15" s="281"/>
      <c r="DV15" s="281"/>
      <c r="DW15" s="281"/>
      <c r="DX15" s="281"/>
      <c r="DY15" s="281"/>
      <c r="DZ15" s="281"/>
      <c r="EA15" s="281"/>
      <c r="EB15" s="281"/>
      <c r="EC15" s="281"/>
      <c r="ED15" s="158" t="s">
        <v>19</v>
      </c>
      <c r="EE15" s="280">
        <v>7.1</v>
      </c>
      <c r="EF15" s="280">
        <v>6.8</v>
      </c>
      <c r="EG15" s="280">
        <v>6.8</v>
      </c>
      <c r="EH15" s="280">
        <v>8.8000000000000007</v>
      </c>
      <c r="EI15" s="280">
        <v>7.5</v>
      </c>
      <c r="EJ15" s="280">
        <v>7.4</v>
      </c>
      <c r="EK15" s="280">
        <v>6.1</v>
      </c>
      <c r="EL15" s="280">
        <v>6.9</v>
      </c>
      <c r="EM15" s="280">
        <v>5.8</v>
      </c>
      <c r="EN15" s="280">
        <v>6.3</v>
      </c>
      <c r="EO15" s="158" t="s">
        <v>19</v>
      </c>
      <c r="EP15" s="280">
        <v>39</v>
      </c>
      <c r="EQ15" s="280">
        <v>43.1</v>
      </c>
      <c r="ER15" s="280">
        <v>40.4</v>
      </c>
      <c r="ES15" s="280">
        <v>46</v>
      </c>
      <c r="ET15" s="280">
        <v>49.5</v>
      </c>
      <c r="EU15" s="280">
        <v>49.8</v>
      </c>
      <c r="EV15" s="280">
        <v>49</v>
      </c>
      <c r="EW15" s="280">
        <v>50.7</v>
      </c>
      <c r="EX15" s="280">
        <v>49</v>
      </c>
      <c r="EY15" s="280">
        <v>45.8</v>
      </c>
      <c r="EZ15" s="158" t="s">
        <v>19</v>
      </c>
      <c r="FA15" s="280">
        <v>45.7</v>
      </c>
      <c r="FB15" s="280">
        <v>45.7</v>
      </c>
      <c r="FC15" s="280">
        <v>46.1</v>
      </c>
      <c r="FD15" s="280">
        <v>46.5</v>
      </c>
      <c r="FE15" s="280">
        <v>42</v>
      </c>
      <c r="FF15" s="280">
        <v>44.4</v>
      </c>
      <c r="FG15" s="280">
        <v>53.4</v>
      </c>
      <c r="FH15" s="280">
        <v>54.7</v>
      </c>
      <c r="FI15" s="280">
        <v>51.4</v>
      </c>
      <c r="FJ15" s="280">
        <v>48.2</v>
      </c>
      <c r="FK15" s="158" t="s">
        <v>19</v>
      </c>
      <c r="FL15" s="280">
        <v>36.1</v>
      </c>
      <c r="FM15" s="280">
        <v>42.9</v>
      </c>
      <c r="FN15" s="280">
        <v>41.1</v>
      </c>
      <c r="FO15" s="280">
        <v>41.7</v>
      </c>
      <c r="FP15" s="280">
        <v>42.8</v>
      </c>
      <c r="FQ15" s="280">
        <v>47.1</v>
      </c>
      <c r="FR15" s="280">
        <v>47.6</v>
      </c>
      <c r="FS15" s="280">
        <v>42.2</v>
      </c>
      <c r="FT15" s="280">
        <v>37.4</v>
      </c>
      <c r="FU15" s="280">
        <v>34.799999999999997</v>
      </c>
      <c r="FV15" s="158" t="s">
        <v>19</v>
      </c>
      <c r="FW15" s="280">
        <v>70.3</v>
      </c>
      <c r="FX15" s="280">
        <v>76.400000000000006</v>
      </c>
      <c r="FY15" s="280">
        <v>79.400000000000006</v>
      </c>
      <c r="FZ15" s="280">
        <v>81.2</v>
      </c>
      <c r="GA15" s="280">
        <v>78</v>
      </c>
      <c r="GB15" s="280">
        <v>75.099999999999994</v>
      </c>
      <c r="GC15" s="280">
        <v>80.8</v>
      </c>
      <c r="GD15" s="280">
        <v>81.7</v>
      </c>
      <c r="GE15" s="280">
        <v>71.3</v>
      </c>
      <c r="GF15" s="280">
        <v>75.900000000000006</v>
      </c>
      <c r="GG15" s="158" t="s">
        <v>19</v>
      </c>
      <c r="GH15" s="280">
        <v>1.9</v>
      </c>
      <c r="GI15" s="280">
        <v>3.3</v>
      </c>
      <c r="GJ15" s="280">
        <v>3.8</v>
      </c>
      <c r="GK15" s="280">
        <v>3.2</v>
      </c>
      <c r="GL15" s="280">
        <v>2.6</v>
      </c>
      <c r="GM15" s="280">
        <v>4</v>
      </c>
      <c r="GN15" s="280">
        <v>4.9000000000000004</v>
      </c>
      <c r="GO15" s="280">
        <v>2.5</v>
      </c>
      <c r="GP15" s="280">
        <v>1.3</v>
      </c>
      <c r="GQ15" s="280">
        <v>1.8</v>
      </c>
      <c r="GR15" s="158" t="s">
        <v>19</v>
      </c>
      <c r="GS15" s="280">
        <v>41.5</v>
      </c>
      <c r="GT15" s="280">
        <v>43.1</v>
      </c>
      <c r="GU15" s="280">
        <v>50.6</v>
      </c>
      <c r="GV15" s="280">
        <v>48.2</v>
      </c>
      <c r="GW15" s="280">
        <v>43.5</v>
      </c>
      <c r="GX15" s="280">
        <v>44.9</v>
      </c>
      <c r="GY15" s="280">
        <v>46.9</v>
      </c>
      <c r="GZ15" s="280">
        <v>42.6</v>
      </c>
      <c r="HA15" s="280">
        <v>38.700000000000003</v>
      </c>
      <c r="HB15" s="280">
        <v>41.4</v>
      </c>
      <c r="HC15" s="2" t="s">
        <v>19</v>
      </c>
      <c r="HD15" s="280">
        <v>75.599999999999994</v>
      </c>
      <c r="HE15" s="280">
        <v>76.7</v>
      </c>
      <c r="HF15" s="280">
        <v>74.599999999999994</v>
      </c>
      <c r="HG15" s="280">
        <v>73.7</v>
      </c>
      <c r="HH15" s="280">
        <v>64.599999999999994</v>
      </c>
      <c r="HI15" s="280">
        <v>69.5</v>
      </c>
      <c r="HJ15" s="280">
        <v>65.7</v>
      </c>
      <c r="HK15" s="280">
        <v>62.3</v>
      </c>
      <c r="HL15" s="280">
        <v>59</v>
      </c>
      <c r="HM15" s="280">
        <v>58.7</v>
      </c>
      <c r="HN15" s="158" t="s">
        <v>19</v>
      </c>
      <c r="HO15" s="280">
        <v>62.9</v>
      </c>
      <c r="HP15" s="280">
        <v>64.599999999999994</v>
      </c>
      <c r="HQ15" s="280">
        <v>73.900000000000006</v>
      </c>
      <c r="HR15" s="280">
        <v>64</v>
      </c>
      <c r="HS15" s="280">
        <v>58.5</v>
      </c>
      <c r="HT15" s="280">
        <v>60.1</v>
      </c>
      <c r="HU15" s="280">
        <v>66</v>
      </c>
      <c r="HV15" s="280">
        <v>55.2</v>
      </c>
      <c r="HW15" s="280">
        <v>50.5</v>
      </c>
      <c r="HX15" s="280">
        <v>52.9</v>
      </c>
      <c r="HY15" s="158" t="s">
        <v>19</v>
      </c>
      <c r="HZ15" s="280">
        <v>3.1</v>
      </c>
      <c r="IA15" s="280">
        <v>3.8</v>
      </c>
      <c r="IB15" s="280">
        <v>2.7</v>
      </c>
      <c r="IC15" s="280">
        <v>2.2999999999999998</v>
      </c>
      <c r="ID15" s="280">
        <v>3.6</v>
      </c>
      <c r="IE15" s="280">
        <v>4</v>
      </c>
      <c r="IF15" s="280">
        <v>4.5999999999999996</v>
      </c>
      <c r="IG15" s="280">
        <v>5.2</v>
      </c>
      <c r="IH15" s="280">
        <v>4.5</v>
      </c>
      <c r="II15" s="280">
        <v>3.9</v>
      </c>
      <c r="IJ15" s="158" t="s">
        <v>19</v>
      </c>
      <c r="IK15" s="281"/>
      <c r="IL15" s="281"/>
      <c r="IM15" s="281"/>
      <c r="IN15" s="281"/>
      <c r="IO15" s="281"/>
      <c r="IP15" s="281"/>
      <c r="IQ15" s="281"/>
      <c r="IR15" s="281"/>
      <c r="IS15" s="281"/>
      <c r="IT15" s="281"/>
      <c r="IU15" s="158" t="s">
        <v>19</v>
      </c>
      <c r="IV15" s="280">
        <v>6</v>
      </c>
      <c r="IW15" s="280">
        <v>6.3</v>
      </c>
      <c r="IX15" s="280">
        <v>10.199999999999999</v>
      </c>
      <c r="IY15" s="280">
        <v>7.1</v>
      </c>
      <c r="IZ15" s="280">
        <v>6.9</v>
      </c>
      <c r="JA15" s="280">
        <v>10.1</v>
      </c>
      <c r="JB15" s="280">
        <v>10.5</v>
      </c>
      <c r="JC15" s="280">
        <v>5.6</v>
      </c>
      <c r="JD15" s="280">
        <v>4.4000000000000004</v>
      </c>
      <c r="JE15" s="280">
        <v>5.9</v>
      </c>
      <c r="JF15" s="158" t="s">
        <v>19</v>
      </c>
      <c r="JG15" s="280">
        <v>124.7</v>
      </c>
      <c r="JH15" s="280">
        <v>127.3</v>
      </c>
      <c r="JI15" s="280">
        <v>135.69999999999999</v>
      </c>
      <c r="JJ15" s="280">
        <v>133.5</v>
      </c>
      <c r="JK15" s="280">
        <v>121.2</v>
      </c>
      <c r="JL15" s="280">
        <v>119.6</v>
      </c>
      <c r="JM15" s="280">
        <v>123.7</v>
      </c>
      <c r="JN15" s="280">
        <v>113.6</v>
      </c>
      <c r="JO15" s="280">
        <v>106.9</v>
      </c>
      <c r="JP15" s="280">
        <v>104.8</v>
      </c>
      <c r="JQ15" s="158" t="s">
        <v>19</v>
      </c>
      <c r="JR15" s="280">
        <v>13.6</v>
      </c>
      <c r="JS15" s="280">
        <v>16.8</v>
      </c>
      <c r="JT15" s="280">
        <v>17.399999999999999</v>
      </c>
      <c r="JU15" s="280">
        <v>17</v>
      </c>
      <c r="JV15" s="280">
        <v>8.9</v>
      </c>
      <c r="JW15" s="280">
        <v>14</v>
      </c>
      <c r="JX15" s="280">
        <v>16.899999999999999</v>
      </c>
      <c r="JY15" s="280">
        <v>17.8</v>
      </c>
      <c r="JZ15" s="280">
        <v>13.5</v>
      </c>
      <c r="KA15" s="280">
        <v>19.399999999999999</v>
      </c>
      <c r="KB15" s="158" t="s">
        <v>19</v>
      </c>
      <c r="KC15" s="280">
        <v>48.2</v>
      </c>
      <c r="KD15" s="280">
        <v>51</v>
      </c>
      <c r="KE15" s="280">
        <v>52.4</v>
      </c>
      <c r="KF15" s="280">
        <v>53.9</v>
      </c>
      <c r="KG15" s="280">
        <v>48.9</v>
      </c>
      <c r="KH15" s="280">
        <v>45.2</v>
      </c>
      <c r="KI15" s="280">
        <v>46.8</v>
      </c>
      <c r="KJ15" s="280">
        <v>48.1</v>
      </c>
      <c r="KK15" s="280">
        <v>41.6</v>
      </c>
      <c r="KL15" s="280">
        <v>40.5</v>
      </c>
      <c r="KM15" s="2" t="s">
        <v>19</v>
      </c>
      <c r="KN15" s="280">
        <v>17</v>
      </c>
      <c r="KO15" s="280">
        <v>18.5</v>
      </c>
      <c r="KP15" s="280">
        <v>16.600000000000001</v>
      </c>
      <c r="KQ15" s="280">
        <v>19.2</v>
      </c>
      <c r="KR15" s="280">
        <v>18.3</v>
      </c>
      <c r="KS15" s="280">
        <v>21.1</v>
      </c>
      <c r="KT15" s="280">
        <v>23.1</v>
      </c>
      <c r="KU15" s="280">
        <v>20</v>
      </c>
      <c r="KV15" s="280">
        <v>18.399999999999999</v>
      </c>
      <c r="KW15" s="280">
        <v>18</v>
      </c>
      <c r="KX15" s="158" t="s">
        <v>19</v>
      </c>
      <c r="KY15" s="280">
        <v>21.6</v>
      </c>
      <c r="KZ15" s="280">
        <v>23.7</v>
      </c>
      <c r="LA15" s="280">
        <v>27.1</v>
      </c>
      <c r="LB15" s="280">
        <v>23.8</v>
      </c>
      <c r="LC15" s="280">
        <v>20.9</v>
      </c>
      <c r="LD15" s="280">
        <v>22.2</v>
      </c>
      <c r="LE15" s="280">
        <v>25.2</v>
      </c>
      <c r="LF15" s="280">
        <v>23.2</v>
      </c>
      <c r="LG15" s="280">
        <v>21.8</v>
      </c>
      <c r="LH15" s="280">
        <v>21.8</v>
      </c>
      <c r="LI15" s="158" t="s">
        <v>19</v>
      </c>
      <c r="LJ15" s="280">
        <v>8.1999999999999993</v>
      </c>
      <c r="LK15" s="280">
        <v>10.5</v>
      </c>
      <c r="LL15" s="280">
        <v>9.4</v>
      </c>
      <c r="LM15" s="280">
        <v>7.9</v>
      </c>
      <c r="LN15" s="280">
        <v>7</v>
      </c>
      <c r="LO15" s="280">
        <v>7</v>
      </c>
      <c r="LP15" s="280">
        <v>8.9</v>
      </c>
      <c r="LQ15" s="280">
        <v>10.199999999999999</v>
      </c>
      <c r="LR15" s="280">
        <v>8</v>
      </c>
      <c r="LS15" s="280">
        <v>7.1</v>
      </c>
      <c r="LT15" s="2" t="s">
        <v>19</v>
      </c>
      <c r="LU15" s="280">
        <v>6.1</v>
      </c>
      <c r="LV15" s="280">
        <v>7.5</v>
      </c>
      <c r="LW15" s="280">
        <v>7.3</v>
      </c>
      <c r="LX15" s="280">
        <v>5.3</v>
      </c>
      <c r="LY15" s="280">
        <v>4.8</v>
      </c>
      <c r="LZ15" s="280">
        <v>5.2</v>
      </c>
      <c r="MA15" s="280">
        <v>5.9</v>
      </c>
      <c r="MB15" s="280">
        <v>6.6</v>
      </c>
      <c r="MC15" s="280">
        <v>6.8</v>
      </c>
      <c r="MD15" s="280">
        <v>6.9</v>
      </c>
      <c r="ME15" s="158" t="s">
        <v>19</v>
      </c>
      <c r="MF15" s="280">
        <v>12.4</v>
      </c>
      <c r="MG15" s="280">
        <v>10.4</v>
      </c>
      <c r="MH15" s="280">
        <v>13.2</v>
      </c>
      <c r="MI15" s="280">
        <v>16</v>
      </c>
      <c r="MJ15" s="280">
        <v>15.9</v>
      </c>
      <c r="MK15" s="280">
        <v>16</v>
      </c>
      <c r="ML15" s="280">
        <v>17</v>
      </c>
      <c r="MM15" s="280">
        <v>13.7</v>
      </c>
      <c r="MN15" s="280">
        <v>13</v>
      </c>
      <c r="MO15" s="280">
        <v>9.8000000000000007</v>
      </c>
      <c r="MP15" s="158" t="s">
        <v>19</v>
      </c>
      <c r="MQ15" s="280">
        <v>20.8</v>
      </c>
      <c r="MR15" s="280">
        <v>21.8</v>
      </c>
      <c r="MS15" s="280">
        <v>19.899999999999999</v>
      </c>
      <c r="MT15" s="280">
        <v>17.8</v>
      </c>
      <c r="MU15" s="280">
        <v>18.5</v>
      </c>
      <c r="MV15" s="280">
        <v>20.100000000000001</v>
      </c>
      <c r="MW15" s="280">
        <v>17.5</v>
      </c>
      <c r="MX15" s="280">
        <v>16.600000000000001</v>
      </c>
      <c r="MY15" s="280">
        <v>15.9</v>
      </c>
      <c r="MZ15" s="280">
        <v>16</v>
      </c>
      <c r="NA15" s="2" t="s">
        <v>19</v>
      </c>
      <c r="NB15" s="280">
        <v>27.8</v>
      </c>
      <c r="NC15" s="280">
        <v>28.8</v>
      </c>
      <c r="ND15" s="280">
        <v>30.9</v>
      </c>
      <c r="NE15" s="280">
        <v>29.3</v>
      </c>
      <c r="NF15" s="280">
        <v>31.8</v>
      </c>
      <c r="NG15" s="280">
        <v>35.700000000000003</v>
      </c>
      <c r="NH15" s="280">
        <v>37.4</v>
      </c>
      <c r="NI15" s="280">
        <v>37.700000000000003</v>
      </c>
      <c r="NJ15" s="280">
        <v>31.3</v>
      </c>
      <c r="NK15" s="280">
        <v>29.7</v>
      </c>
      <c r="NL15" s="158" t="s">
        <v>19</v>
      </c>
      <c r="NM15" s="280">
        <v>24.4</v>
      </c>
      <c r="NN15" s="280">
        <v>26.2</v>
      </c>
      <c r="NO15" s="280">
        <v>21</v>
      </c>
      <c r="NP15" s="280">
        <v>30.2</v>
      </c>
      <c r="NQ15" s="280">
        <v>34.5</v>
      </c>
      <c r="NR15" s="280">
        <v>32.9</v>
      </c>
      <c r="NS15" s="280">
        <v>32.4</v>
      </c>
      <c r="NT15" s="280">
        <v>40.299999999999997</v>
      </c>
      <c r="NU15" s="280">
        <v>40.200000000000003</v>
      </c>
      <c r="NV15" s="280">
        <v>39.200000000000003</v>
      </c>
      <c r="NW15" s="2" t="s">
        <v>19</v>
      </c>
      <c r="NX15" s="280">
        <v>29.5</v>
      </c>
      <c r="NY15" s="280">
        <v>30.6</v>
      </c>
      <c r="NZ15" s="280">
        <v>31.8</v>
      </c>
      <c r="OA15" s="280">
        <v>32.700000000000003</v>
      </c>
      <c r="OB15" s="280">
        <v>32.6</v>
      </c>
      <c r="OC15" s="280">
        <v>34</v>
      </c>
      <c r="OD15" s="280">
        <v>34.799999999999997</v>
      </c>
      <c r="OE15" s="280">
        <v>32.1</v>
      </c>
      <c r="OF15" s="280">
        <v>29.3</v>
      </c>
      <c r="OG15" s="280">
        <v>29.2</v>
      </c>
      <c r="OH15" s="191" t="s">
        <v>19</v>
      </c>
      <c r="OI15" s="192">
        <v>5.9</v>
      </c>
      <c r="OJ15" s="192">
        <v>5.7</v>
      </c>
      <c r="OK15" s="192">
        <v>6</v>
      </c>
      <c r="OL15" s="192">
        <v>4.9000000000000004</v>
      </c>
      <c r="OM15" s="192">
        <v>4.8</v>
      </c>
      <c r="ON15" s="192">
        <v>4.5</v>
      </c>
      <c r="OO15" s="192">
        <v>4.4000000000000004</v>
      </c>
      <c r="OP15" s="192">
        <v>3.9</v>
      </c>
      <c r="OQ15" s="192">
        <v>4</v>
      </c>
      <c r="OR15" s="192">
        <v>3.6</v>
      </c>
      <c r="OS15" s="158" t="s">
        <v>19</v>
      </c>
      <c r="OT15" s="340">
        <v>0.3</v>
      </c>
      <c r="OU15" s="340">
        <v>0.3</v>
      </c>
      <c r="OV15" s="340">
        <v>0.4</v>
      </c>
      <c r="OW15" s="340">
        <v>0.8</v>
      </c>
      <c r="OX15" s="340">
        <v>1.3</v>
      </c>
      <c r="OY15" s="340">
        <v>2.2999999999999998</v>
      </c>
      <c r="OZ15" s="340">
        <v>0.5</v>
      </c>
      <c r="PA15" s="340">
        <v>0.7</v>
      </c>
      <c r="PB15" s="340">
        <v>0.5</v>
      </c>
      <c r="PC15" s="340">
        <v>0.7</v>
      </c>
      <c r="PE15" s="185">
        <f>E15-'[1]Data-temp_employment'!F15</f>
        <v>-0.30000000000000071</v>
      </c>
      <c r="PF15" s="185">
        <f>F15-'[1]Data-temp_employment'!G15</f>
        <v>-9.9999999999999645E-2</v>
      </c>
      <c r="PG15" s="185">
        <f>O15-'[1]Data-temp_employment'!P15</f>
        <v>-13</v>
      </c>
      <c r="PH15" s="185">
        <f>P15-'[1]Data-temp_employment'!Q15</f>
        <v>-3.4000000000000341</v>
      </c>
      <c r="PI15" s="185">
        <f>AD15-'[1]Data-temp_employment'!AE15</f>
        <v>1.1000000000000001</v>
      </c>
      <c r="PJ15" s="185">
        <f>AE15-'[1]Data-temp_employment'!AF15</f>
        <v>-1.4</v>
      </c>
      <c r="PK15" s="185">
        <f>BR15-'[1]Data-temp_employment'!BS15</f>
        <v>-3.2999999999999829</v>
      </c>
      <c r="PL15" s="185">
        <f>BS15-'[1]Data-temp_employment'!BT15</f>
        <v>7.2999999999999972</v>
      </c>
      <c r="PM15" s="185">
        <f>CC15-'[1]Data-temp_employment'!CD15</f>
        <v>-1.6999999999999886</v>
      </c>
      <c r="PN15" s="185">
        <f>CD15-'[1]Data-temp_employment'!CE15</f>
        <v>4.5</v>
      </c>
      <c r="PO15" s="185">
        <f>CR15-'[1]Data-temp_employment'!CS15</f>
        <v>-3</v>
      </c>
      <c r="PP15" s="185">
        <f>CS15-'[1]Data-temp_employment'!CT15</f>
        <v>3.7000000000000028</v>
      </c>
      <c r="PQ15" s="185">
        <f>DC15-'[1]Data-temp_employment'!DD15</f>
        <v>-8.1999999999999886</v>
      </c>
      <c r="PR15" s="185">
        <f>DD15-'[1]Data-temp_employment'!DE15</f>
        <v>-14.700000000000045</v>
      </c>
      <c r="PS15" s="185">
        <f>DN15-'[1]Data-temp_employment'!DO15</f>
        <v>11.5</v>
      </c>
      <c r="PT15" s="185">
        <f>DO15-'[1]Data-temp_employment'!DP15</f>
        <v>16.699999999999989</v>
      </c>
      <c r="PU15" s="185">
        <f>EF15-'[1]Data-temp_employment'!EG15</f>
        <v>-1.6000000000000005</v>
      </c>
      <c r="PV15" s="185">
        <f>EG15-'[1]Data-temp_employment'!EH15</f>
        <v>-1.2999999999999998</v>
      </c>
      <c r="PW15" s="185">
        <f>EU15-'[1]Data-temp_employment'!EV15</f>
        <v>6.6999999999999957</v>
      </c>
      <c r="PX15" s="185">
        <f>EV15-'[1]Data-temp_employment'!EW15</f>
        <v>8.6000000000000014</v>
      </c>
      <c r="PY15" s="185">
        <f>FF15-'[1]Data-temp_employment'!FG15</f>
        <v>-1.3000000000000043</v>
      </c>
      <c r="PZ15" s="185">
        <f>FG15-'[1]Data-temp_employment'!FH15</f>
        <v>7.2999999999999972</v>
      </c>
      <c r="QA15" s="185">
        <f>FQ15-'[1]Data-temp_employment'!FR15</f>
        <v>4.2000000000000028</v>
      </c>
      <c r="QB15" s="185">
        <f>FR15-'[1]Data-temp_employment'!FS15</f>
        <v>6.5</v>
      </c>
      <c r="QC15" s="185">
        <f>GB15-'[1]Data-temp_employment'!GC15</f>
        <v>-1.3000000000000114</v>
      </c>
      <c r="QD15" s="185">
        <f>GC15-'[1]Data-temp_employment'!GD15</f>
        <v>1.3999999999999915</v>
      </c>
      <c r="QE15" s="185">
        <f>GM15-'[1]Data-temp_employment'!GN15</f>
        <v>0.70000000000000018</v>
      </c>
      <c r="QF15" s="185">
        <f>GN15-'[1]Data-temp_employment'!GO15</f>
        <v>1.1000000000000005</v>
      </c>
      <c r="QG15" s="185">
        <f>GX15-'[1]Data-temp_employment'!GY15</f>
        <v>1.7999999999999972</v>
      </c>
      <c r="QH15" s="185">
        <f>GY15-'[1]Data-temp_employment'!GZ15</f>
        <v>-3.7000000000000028</v>
      </c>
      <c r="QI15" s="185">
        <f>HI15-'[1]Data-temp_employment'!HJ15</f>
        <v>-7.2000000000000028</v>
      </c>
      <c r="QJ15" s="185">
        <f>HJ15-'[1]Data-temp_employment'!HK15</f>
        <v>-8.8999999999999915</v>
      </c>
      <c r="QK15" s="185">
        <f>HT15-'[1]Data-temp_employment'!HU15</f>
        <v>-4.4999999999999929</v>
      </c>
      <c r="QL15" s="185">
        <f>HU15-'[1]Data-temp_employment'!HV15</f>
        <v>-7.9000000000000057</v>
      </c>
      <c r="QM15" s="185">
        <f>IE15-'[1]Data-temp_employment'!IF15</f>
        <v>0.20000000000000018</v>
      </c>
      <c r="QN15" s="185">
        <f>IF15-'[1]Data-temp_employment'!IG15</f>
        <v>1.8999999999999995</v>
      </c>
      <c r="QO15" s="185">
        <f>JA15-'[1]Data-temp_employment'!JB15</f>
        <v>3.8</v>
      </c>
      <c r="QP15" s="185">
        <f>JB15-'[1]Data-temp_employment'!JC15</f>
        <v>0.30000000000000071</v>
      </c>
      <c r="QQ15" s="185">
        <f>JH15-'[1]Data-temp_employment'!JI15</f>
        <v>-3.7999999999999972</v>
      </c>
      <c r="QR15" s="185">
        <f>JI15-'[1]Data-temp_employment'!JJ15</f>
        <v>7.5999999999999943</v>
      </c>
      <c r="QS15" s="185">
        <f>JS15-'[1]Data-temp_employment'!JT15</f>
        <v>-6.5999999999999979</v>
      </c>
      <c r="QT15" s="185">
        <f>JT15-'[1]Data-temp_employment'!JU15</f>
        <v>-4.8000000000000007</v>
      </c>
      <c r="QU15" s="185">
        <f>KD15-'[1]Data-temp_employment'!KE15</f>
        <v>2</v>
      </c>
      <c r="QV15" s="185">
        <f>KE15-'[1]Data-temp_employment'!KF15</f>
        <v>-3.7000000000000028</v>
      </c>
      <c r="QW15" s="185">
        <f>KO15-'[1]Data-temp_employment'!KP15</f>
        <v>-1.1000000000000014</v>
      </c>
      <c r="QX15" s="185">
        <f>KP15-'[1]Data-temp_employment'!KQ15</f>
        <v>-5.2999999999999972</v>
      </c>
      <c r="QY15" s="185">
        <f>LD15-'[1]Data-temp_employment'!LE15</f>
        <v>-1.5</v>
      </c>
      <c r="QZ15" s="185">
        <f>LE15-'[1]Data-temp_employment'!LF15</f>
        <v>-1.9000000000000021</v>
      </c>
      <c r="RA15" s="185">
        <f>LK15-'[1]Data-temp_employment'!LL15</f>
        <v>2.3000000000000007</v>
      </c>
      <c r="RB15" s="185">
        <f>LL15-'[1]Data-temp_employment'!LM15</f>
        <v>2</v>
      </c>
      <c r="RC15" s="185">
        <f>LV15-'[1]Data-temp_employment'!LW15</f>
        <v>2.5</v>
      </c>
      <c r="RD15" s="185">
        <f>LW15-'[1]Data-temp_employment'!LX15</f>
        <v>0.20000000000000018</v>
      </c>
      <c r="RE15" s="185">
        <f>MK15-'[1]Data-temp_employment'!ML15</f>
        <v>5.6</v>
      </c>
      <c r="RF15" s="185">
        <f>ML15-'[1]Data-temp_employment'!MM15</f>
        <v>3.8000000000000007</v>
      </c>
      <c r="RG15" s="185">
        <f>MV15-'[1]Data-temp_employment'!MW15</f>
        <v>-1.6999999999999993</v>
      </c>
      <c r="RH15" s="185">
        <f>MW15-'[1]Data-temp_employment'!MX15</f>
        <v>-2.3999999999999986</v>
      </c>
      <c r="RI15" s="185">
        <f>NG15-'[1]Data-temp_employment'!NH15</f>
        <v>6.9000000000000021</v>
      </c>
      <c r="RJ15" s="185">
        <f>NH15-'[1]Data-temp_employment'!NI15</f>
        <v>6.5</v>
      </c>
      <c r="RK15" s="185">
        <f>NR15-'[1]Data-temp_employment'!NS15</f>
        <v>6.6999999999999993</v>
      </c>
      <c r="RL15" s="185">
        <f>NS15-'[1]Data-temp_employment'!NT15</f>
        <v>11.399999999999999</v>
      </c>
      <c r="RM15" s="185">
        <f>OC15-'[1]Data-temp_employment'!OD15</f>
        <v>3.3999999999999986</v>
      </c>
      <c r="RN15" s="185">
        <f>OD15-'[1]Data-temp_employment'!OE15</f>
        <v>2.9999999999999964</v>
      </c>
      <c r="RO15" s="185">
        <f>OT15-'[1]Data-temp_employment'!OV15</f>
        <v>-1</v>
      </c>
      <c r="RP15" s="185">
        <f>OU15-'[1]Data-temp_employment'!OW15</f>
        <v>-0.7</v>
      </c>
    </row>
    <row r="16" spans="1:484">
      <c r="A16">
        <v>13</v>
      </c>
      <c r="B16" s="158" t="s">
        <v>20</v>
      </c>
      <c r="C16" s="332">
        <v>14.1</v>
      </c>
      <c r="D16" s="332">
        <v>13.9</v>
      </c>
      <c r="E16" s="332">
        <v>13.1</v>
      </c>
      <c r="F16" s="332">
        <v>13.1</v>
      </c>
      <c r="G16" s="332">
        <v>13.7</v>
      </c>
      <c r="H16" s="332">
        <v>13.1</v>
      </c>
      <c r="I16" s="332">
        <v>12.6</v>
      </c>
      <c r="J16" s="332">
        <v>12.1</v>
      </c>
      <c r="K16" s="332">
        <v>11.5</v>
      </c>
      <c r="L16" s="332">
        <v>11.5</v>
      </c>
      <c r="M16" s="158" t="s">
        <v>20</v>
      </c>
      <c r="N16" s="332">
        <v>352.6</v>
      </c>
      <c r="O16" s="332">
        <v>352.2</v>
      </c>
      <c r="P16" s="332">
        <v>331.7</v>
      </c>
      <c r="Q16" s="332">
        <v>328.6</v>
      </c>
      <c r="R16" s="332">
        <v>342.1</v>
      </c>
      <c r="S16" s="332">
        <v>330.8</v>
      </c>
      <c r="T16" s="332">
        <v>320.39999999999998</v>
      </c>
      <c r="U16" s="332">
        <v>306.5</v>
      </c>
      <c r="V16" s="332">
        <v>292.2</v>
      </c>
      <c r="W16" s="332">
        <v>297.10000000000002</v>
      </c>
      <c r="X16" s="158" t="s">
        <v>20</v>
      </c>
      <c r="Y16" s="332">
        <v>10.4</v>
      </c>
      <c r="Z16" s="332">
        <v>15.4</v>
      </c>
      <c r="AA16" s="332">
        <v>12.8</v>
      </c>
      <c r="AB16" s="332">
        <v>11.3</v>
      </c>
      <c r="AC16" s="332">
        <v>9.6</v>
      </c>
      <c r="AD16" s="332">
        <v>8</v>
      </c>
      <c r="AE16" s="332">
        <v>11.2</v>
      </c>
      <c r="AF16" s="332">
        <v>10.7</v>
      </c>
      <c r="AG16" s="332">
        <v>10.8</v>
      </c>
      <c r="AH16" s="332">
        <v>8.5</v>
      </c>
      <c r="AI16" s="158" t="s">
        <v>20</v>
      </c>
      <c r="AJ16" s="332">
        <v>31.4</v>
      </c>
      <c r="AK16" s="332">
        <v>33.6</v>
      </c>
      <c r="AL16" s="332">
        <v>34.6</v>
      </c>
      <c r="AM16" s="332">
        <v>40.4</v>
      </c>
      <c r="AN16" s="332">
        <v>22.4</v>
      </c>
      <c r="AO16" s="332">
        <v>22.6</v>
      </c>
      <c r="AP16" s="332">
        <v>33.9</v>
      </c>
      <c r="AQ16" s="332">
        <v>24.8</v>
      </c>
      <c r="AR16" s="332">
        <v>13.5</v>
      </c>
      <c r="AS16" s="332">
        <v>18.899999999999999</v>
      </c>
      <c r="AT16" s="158" t="s">
        <v>20</v>
      </c>
      <c r="AU16" s="332">
        <v>51.6</v>
      </c>
      <c r="AV16" s="332">
        <v>55.4</v>
      </c>
      <c r="AW16" s="332">
        <v>50</v>
      </c>
      <c r="AX16" s="332">
        <v>39.4</v>
      </c>
      <c r="AY16" s="332">
        <v>47.3</v>
      </c>
      <c r="AZ16" s="332">
        <v>43.2</v>
      </c>
      <c r="BA16" s="332">
        <v>43.4</v>
      </c>
      <c r="BB16" s="332">
        <v>31.6</v>
      </c>
      <c r="BC16" s="332">
        <v>36.200000000000003</v>
      </c>
      <c r="BD16" s="332">
        <v>39.200000000000003</v>
      </c>
      <c r="BE16" s="158" t="s">
        <v>20</v>
      </c>
      <c r="BF16" s="280">
        <v>75.3</v>
      </c>
      <c r="BG16" s="280">
        <v>76.900000000000006</v>
      </c>
      <c r="BH16" s="280">
        <v>65.7</v>
      </c>
      <c r="BI16" s="280">
        <v>67.900000000000006</v>
      </c>
      <c r="BJ16" s="280">
        <v>72</v>
      </c>
      <c r="BK16" s="280">
        <v>73.400000000000006</v>
      </c>
      <c r="BL16" s="280">
        <v>63.4</v>
      </c>
      <c r="BM16" s="280">
        <v>62.4</v>
      </c>
      <c r="BN16" s="280">
        <v>59.7</v>
      </c>
      <c r="BO16" s="280">
        <v>55.8</v>
      </c>
      <c r="BP16" s="158" t="s">
        <v>20</v>
      </c>
      <c r="BQ16" s="7">
        <v>68.699999999999989</v>
      </c>
      <c r="BR16" s="7">
        <v>62.5</v>
      </c>
      <c r="BS16" s="7">
        <v>66.8</v>
      </c>
      <c r="BT16" s="7">
        <v>63.6</v>
      </c>
      <c r="BU16" s="7">
        <v>75.5</v>
      </c>
      <c r="BV16" s="7">
        <v>68.5</v>
      </c>
      <c r="BW16" s="7">
        <v>63.8</v>
      </c>
      <c r="BX16" s="7">
        <v>63.199999999999996</v>
      </c>
      <c r="BY16" s="7">
        <v>70.7</v>
      </c>
      <c r="BZ16" s="7">
        <v>66.800000000000011</v>
      </c>
      <c r="CA16" s="158" t="s">
        <v>20</v>
      </c>
      <c r="CB16" s="7">
        <v>115.19999999999999</v>
      </c>
      <c r="CC16" s="7">
        <v>108.30000000000001</v>
      </c>
      <c r="CD16" s="7">
        <v>101.7</v>
      </c>
      <c r="CE16" s="7">
        <v>105.9</v>
      </c>
      <c r="CF16" s="7">
        <v>115.30000000000001</v>
      </c>
      <c r="CG16" s="7">
        <v>115</v>
      </c>
      <c r="CH16" s="7">
        <v>104.8</v>
      </c>
      <c r="CI16" s="7">
        <v>113.6</v>
      </c>
      <c r="CJ16" s="7">
        <v>100.89999999999999</v>
      </c>
      <c r="CK16" s="7">
        <v>107.89999999999999</v>
      </c>
      <c r="CL16" s="158" t="s">
        <v>20</v>
      </c>
      <c r="CM16" s="280">
        <v>97.2</v>
      </c>
      <c r="CN16" s="280">
        <v>102.8</v>
      </c>
      <c r="CO16" s="280">
        <v>92.1</v>
      </c>
      <c r="CP16" s="280">
        <v>91.7</v>
      </c>
      <c r="CQ16" s="280">
        <v>119.6</v>
      </c>
      <c r="CR16" s="280">
        <v>109.7</v>
      </c>
      <c r="CS16" s="280">
        <v>108.8</v>
      </c>
      <c r="CT16" s="280">
        <v>105.5</v>
      </c>
      <c r="CU16" s="280">
        <v>101.7</v>
      </c>
      <c r="CV16" s="280">
        <v>106.7</v>
      </c>
      <c r="CW16" s="158" t="s">
        <v>20</v>
      </c>
      <c r="CX16" s="280">
        <v>139.5</v>
      </c>
      <c r="CY16" s="280">
        <v>129.9</v>
      </c>
      <c r="CZ16" s="280">
        <v>126.9</v>
      </c>
      <c r="DA16" s="280">
        <v>124.6</v>
      </c>
      <c r="DB16" s="280">
        <v>104.6</v>
      </c>
      <c r="DC16" s="280">
        <v>115.8</v>
      </c>
      <c r="DD16" s="280">
        <v>112.8</v>
      </c>
      <c r="DE16" s="280">
        <v>106.2</v>
      </c>
      <c r="DF16" s="280">
        <v>97.7</v>
      </c>
      <c r="DG16" s="280">
        <v>106.3</v>
      </c>
      <c r="DH16" s="158" t="s">
        <v>20</v>
      </c>
      <c r="DI16" s="280">
        <v>96.1</v>
      </c>
      <c r="DJ16" s="280">
        <v>99</v>
      </c>
      <c r="DK16" s="280">
        <v>96.1</v>
      </c>
      <c r="DL16" s="280">
        <v>90.1</v>
      </c>
      <c r="DM16" s="280">
        <v>95.6</v>
      </c>
      <c r="DN16" s="280">
        <v>90.2</v>
      </c>
      <c r="DO16" s="280">
        <v>83.1</v>
      </c>
      <c r="DP16" s="280">
        <v>85.8</v>
      </c>
      <c r="DQ16" s="280">
        <v>85.8</v>
      </c>
      <c r="DR16" s="280">
        <v>76</v>
      </c>
      <c r="DS16" s="158" t="s">
        <v>20</v>
      </c>
      <c r="DT16" s="280">
        <v>19.8</v>
      </c>
      <c r="DU16" s="280">
        <v>20.5</v>
      </c>
      <c r="DV16" s="280">
        <v>16.5</v>
      </c>
      <c r="DW16" s="280">
        <v>22.2</v>
      </c>
      <c r="DX16" s="280">
        <v>22.3</v>
      </c>
      <c r="DY16" s="280">
        <v>15.1</v>
      </c>
      <c r="DZ16" s="280">
        <v>15.7</v>
      </c>
      <c r="EA16" s="280">
        <v>9</v>
      </c>
      <c r="EB16" s="280">
        <v>7</v>
      </c>
      <c r="EC16" s="280">
        <v>8.1</v>
      </c>
      <c r="ED16" s="158" t="s">
        <v>20</v>
      </c>
      <c r="EE16" s="281"/>
      <c r="EF16" s="281"/>
      <c r="EG16" s="281"/>
      <c r="EH16" s="281"/>
      <c r="EI16" s="281"/>
      <c r="EJ16" s="281"/>
      <c r="EK16" s="281"/>
      <c r="EL16" s="281"/>
      <c r="EM16" s="281"/>
      <c r="EN16" s="281"/>
      <c r="EO16" s="158" t="s">
        <v>20</v>
      </c>
      <c r="EP16" s="280">
        <v>73.7</v>
      </c>
      <c r="EQ16" s="280">
        <v>75.3</v>
      </c>
      <c r="ER16" s="280">
        <v>74.400000000000006</v>
      </c>
      <c r="ES16" s="280">
        <v>79.400000000000006</v>
      </c>
      <c r="ET16" s="280">
        <v>72.5</v>
      </c>
      <c r="EU16" s="280">
        <v>70.900000000000006</v>
      </c>
      <c r="EV16" s="280">
        <v>66.400000000000006</v>
      </c>
      <c r="EW16" s="280">
        <v>65.3</v>
      </c>
      <c r="EX16" s="280">
        <v>63.9</v>
      </c>
      <c r="EY16" s="280">
        <v>54.5</v>
      </c>
      <c r="EZ16" s="158" t="s">
        <v>20</v>
      </c>
      <c r="FA16" s="280">
        <v>30.6</v>
      </c>
      <c r="FB16" s="280">
        <v>35.6</v>
      </c>
      <c r="FC16" s="280">
        <v>35.4</v>
      </c>
      <c r="FD16" s="280">
        <v>25.5</v>
      </c>
      <c r="FE16" s="280">
        <v>29</v>
      </c>
      <c r="FF16" s="280">
        <v>35.299999999999997</v>
      </c>
      <c r="FG16" s="280">
        <v>26.5</v>
      </c>
      <c r="FH16" s="280">
        <v>24.8</v>
      </c>
      <c r="FI16" s="280">
        <v>27.1</v>
      </c>
      <c r="FJ16" s="280">
        <v>24.5</v>
      </c>
      <c r="FK16" s="158" t="s">
        <v>20</v>
      </c>
      <c r="FL16" s="280">
        <v>23.9</v>
      </c>
      <c r="FM16" s="280">
        <v>23.5</v>
      </c>
      <c r="FN16" s="280">
        <v>29.4</v>
      </c>
      <c r="FO16" s="280">
        <v>28</v>
      </c>
      <c r="FP16" s="280">
        <v>23.2</v>
      </c>
      <c r="FQ16" s="280">
        <v>22.2</v>
      </c>
      <c r="FR16" s="280">
        <v>25.5</v>
      </c>
      <c r="FS16" s="280">
        <v>25.9</v>
      </c>
      <c r="FT16" s="280">
        <v>18.7</v>
      </c>
      <c r="FU16" s="280">
        <v>18.2</v>
      </c>
      <c r="FV16" s="158" t="s">
        <v>20</v>
      </c>
      <c r="FW16" s="280">
        <v>115.9</v>
      </c>
      <c r="FX16" s="280">
        <v>115.4</v>
      </c>
      <c r="FY16" s="280">
        <v>93.5</v>
      </c>
      <c r="FZ16" s="280">
        <v>101.8</v>
      </c>
      <c r="GA16" s="280">
        <v>110.4</v>
      </c>
      <c r="GB16" s="280">
        <v>101.8</v>
      </c>
      <c r="GC16" s="280">
        <v>103.3</v>
      </c>
      <c r="GD16" s="280">
        <v>100.7</v>
      </c>
      <c r="GE16" s="280">
        <v>94.2</v>
      </c>
      <c r="GF16" s="280">
        <v>98.6</v>
      </c>
      <c r="GG16" s="158" t="s">
        <v>20</v>
      </c>
      <c r="GH16" s="281"/>
      <c r="GI16" s="281"/>
      <c r="GJ16" s="280">
        <v>5.3</v>
      </c>
      <c r="GK16" s="280">
        <v>6.3</v>
      </c>
      <c r="GL16" s="281"/>
      <c r="GM16" s="280">
        <v>6.2</v>
      </c>
      <c r="GN16" s="281"/>
      <c r="GO16" s="281"/>
      <c r="GP16" s="280">
        <v>4.9000000000000004</v>
      </c>
      <c r="GQ16" s="280">
        <v>4.8</v>
      </c>
      <c r="GR16" s="158" t="s">
        <v>20</v>
      </c>
      <c r="GS16" s="280">
        <v>29.4</v>
      </c>
      <c r="GT16" s="280">
        <v>28.9</v>
      </c>
      <c r="GU16" s="280">
        <v>23.4</v>
      </c>
      <c r="GV16" s="280">
        <v>24.1</v>
      </c>
      <c r="GW16" s="280">
        <v>28.5</v>
      </c>
      <c r="GX16" s="280">
        <v>29.4</v>
      </c>
      <c r="GY16" s="280">
        <v>27.2</v>
      </c>
      <c r="GZ16" s="280">
        <v>22.3</v>
      </c>
      <c r="HA16" s="280">
        <v>24.2</v>
      </c>
      <c r="HB16" s="280">
        <v>25.6</v>
      </c>
      <c r="HC16" s="158" t="s">
        <v>20</v>
      </c>
      <c r="HD16" s="280">
        <v>7.3</v>
      </c>
      <c r="HE16" s="280">
        <v>9.6999999999999993</v>
      </c>
      <c r="HF16" s="280">
        <v>8.3000000000000007</v>
      </c>
      <c r="HG16" s="280">
        <v>9.6</v>
      </c>
      <c r="HH16" s="280">
        <v>7.5</v>
      </c>
      <c r="HI16" s="280">
        <v>10.6</v>
      </c>
      <c r="HJ16" s="280">
        <v>8.8000000000000007</v>
      </c>
      <c r="HK16" s="280">
        <v>6.4</v>
      </c>
      <c r="HL16" s="280">
        <v>5.5</v>
      </c>
      <c r="HM16" s="280">
        <v>8.5</v>
      </c>
      <c r="HN16" s="158" t="s">
        <v>20</v>
      </c>
      <c r="HO16" s="280">
        <v>34.299999999999997</v>
      </c>
      <c r="HP16" s="280">
        <v>54.1</v>
      </c>
      <c r="HQ16" s="280">
        <v>54.9</v>
      </c>
      <c r="HR16" s="280">
        <v>48.6</v>
      </c>
      <c r="HS16" s="280">
        <v>54.7</v>
      </c>
      <c r="HT16" s="280">
        <v>50.8</v>
      </c>
      <c r="HU16" s="280">
        <v>56.9</v>
      </c>
      <c r="HV16" s="280">
        <v>53</v>
      </c>
      <c r="HW16" s="280">
        <v>50.5</v>
      </c>
      <c r="HX16" s="280">
        <v>55.2</v>
      </c>
      <c r="HY16" s="158" t="s">
        <v>20</v>
      </c>
      <c r="HZ16" s="281"/>
      <c r="IA16" s="281"/>
      <c r="IB16" s="281"/>
      <c r="IC16" s="281"/>
      <c r="ID16" s="281"/>
      <c r="IE16" s="281"/>
      <c r="IF16" s="281"/>
      <c r="IG16" s="281"/>
      <c r="IH16" s="281"/>
      <c r="II16" s="281"/>
      <c r="IJ16" s="158" t="s">
        <v>20</v>
      </c>
      <c r="IK16" s="280"/>
      <c r="IL16" s="281"/>
      <c r="IM16" s="281"/>
      <c r="IN16" s="281"/>
      <c r="IO16" s="280"/>
      <c r="IP16" s="281"/>
      <c r="IQ16" s="281"/>
      <c r="IR16" s="281"/>
      <c r="IS16" s="281"/>
      <c r="IT16" s="281"/>
      <c r="IU16" s="158" t="s">
        <v>20</v>
      </c>
      <c r="IV16" s="281"/>
      <c r="IW16" s="280">
        <v>7.5</v>
      </c>
      <c r="IX16" s="280">
        <v>9.6999999999999993</v>
      </c>
      <c r="IY16" s="280">
        <v>9.4</v>
      </c>
      <c r="IZ16" s="280">
        <v>5.4</v>
      </c>
      <c r="JA16" s="280">
        <v>6.9</v>
      </c>
      <c r="JB16" s="280">
        <v>6.4</v>
      </c>
      <c r="JC16" s="280">
        <v>4.4000000000000004</v>
      </c>
      <c r="JD16" s="280">
        <v>5.8</v>
      </c>
      <c r="JE16" s="281"/>
      <c r="JF16" s="158" t="s">
        <v>20</v>
      </c>
      <c r="JG16" s="280">
        <v>26</v>
      </c>
      <c r="JH16" s="280">
        <v>25.7</v>
      </c>
      <c r="JI16" s="280">
        <v>24.3</v>
      </c>
      <c r="JJ16" s="280">
        <v>23</v>
      </c>
      <c r="JK16" s="280">
        <v>22.1</v>
      </c>
      <c r="JL16" s="280">
        <v>25.1</v>
      </c>
      <c r="JM16" s="280">
        <v>24.2</v>
      </c>
      <c r="JN16" s="280">
        <v>21.1</v>
      </c>
      <c r="JO16" s="280">
        <v>22.6</v>
      </c>
      <c r="JP16" s="280">
        <v>22.6</v>
      </c>
      <c r="JQ16" s="158" t="s">
        <v>20</v>
      </c>
      <c r="JR16" s="280">
        <v>19.8</v>
      </c>
      <c r="JS16" s="280">
        <v>18.399999999999999</v>
      </c>
      <c r="JT16" s="280">
        <v>17.3</v>
      </c>
      <c r="JU16" s="280">
        <v>15.7</v>
      </c>
      <c r="JV16" s="280">
        <v>20</v>
      </c>
      <c r="JW16" s="280">
        <v>17</v>
      </c>
      <c r="JX16" s="280">
        <v>18.2</v>
      </c>
      <c r="JY16" s="280">
        <v>16.8</v>
      </c>
      <c r="JZ16" s="280">
        <v>13.9</v>
      </c>
      <c r="KA16" s="280">
        <v>12.5</v>
      </c>
      <c r="KB16" s="158" t="s">
        <v>20</v>
      </c>
      <c r="KC16" s="280">
        <v>44.8</v>
      </c>
      <c r="KD16" s="280">
        <v>47.1</v>
      </c>
      <c r="KE16" s="280">
        <v>47.6</v>
      </c>
      <c r="KF16" s="280">
        <v>56.5</v>
      </c>
      <c r="KG16" s="280">
        <v>62.7</v>
      </c>
      <c r="KH16" s="280">
        <v>56.7</v>
      </c>
      <c r="KI16" s="280">
        <v>60.5</v>
      </c>
      <c r="KJ16" s="280">
        <v>61.7</v>
      </c>
      <c r="KK16" s="280">
        <v>59.9</v>
      </c>
      <c r="KL16" s="280">
        <v>61.4</v>
      </c>
      <c r="KM16" s="158" t="s">
        <v>20</v>
      </c>
      <c r="KN16" s="280">
        <v>5.6</v>
      </c>
      <c r="KO16" s="280">
        <v>8.6999999999999993</v>
      </c>
      <c r="KP16" s="280">
        <v>9.4</v>
      </c>
      <c r="KQ16" s="280">
        <v>9.8000000000000007</v>
      </c>
      <c r="KR16" s="280">
        <v>10.4</v>
      </c>
      <c r="KS16" s="280">
        <v>13.2</v>
      </c>
      <c r="KT16" s="280">
        <v>10.5</v>
      </c>
      <c r="KU16" s="280">
        <v>8.4</v>
      </c>
      <c r="KV16" s="280">
        <v>6.6</v>
      </c>
      <c r="KW16" s="280">
        <v>8.1999999999999993</v>
      </c>
      <c r="KX16" s="158" t="s">
        <v>20</v>
      </c>
      <c r="KY16" s="280">
        <v>17.3</v>
      </c>
      <c r="KZ16" s="280">
        <v>20.3</v>
      </c>
      <c r="LA16" s="280">
        <v>20.7</v>
      </c>
      <c r="LB16" s="280">
        <v>13.8</v>
      </c>
      <c r="LC16" s="280">
        <v>14.4</v>
      </c>
      <c r="LD16" s="280">
        <v>18.8</v>
      </c>
      <c r="LE16" s="280">
        <v>22.4</v>
      </c>
      <c r="LF16" s="280">
        <v>17.399999999999999</v>
      </c>
      <c r="LG16" s="280">
        <v>14.8</v>
      </c>
      <c r="LH16" s="280">
        <v>19.7</v>
      </c>
      <c r="LI16" s="158" t="s">
        <v>20</v>
      </c>
      <c r="LJ16" s="280">
        <v>12.1</v>
      </c>
      <c r="LK16" s="280">
        <v>10.4</v>
      </c>
      <c r="LL16" s="280">
        <v>9.3000000000000007</v>
      </c>
      <c r="LM16" s="280">
        <v>7.7</v>
      </c>
      <c r="LN16" s="280">
        <v>10.7</v>
      </c>
      <c r="LO16" s="280">
        <v>9.1</v>
      </c>
      <c r="LP16" s="280">
        <v>7.9</v>
      </c>
      <c r="LQ16" s="280">
        <v>9</v>
      </c>
      <c r="LR16" s="280">
        <v>8.1999999999999993</v>
      </c>
      <c r="LS16" s="280">
        <v>5.6</v>
      </c>
      <c r="LT16" s="158" t="s">
        <v>20</v>
      </c>
      <c r="LU16" s="281"/>
      <c r="LV16" s="280">
        <v>4.0999999999999996</v>
      </c>
      <c r="LW16" s="281"/>
      <c r="LX16" s="281"/>
      <c r="LY16" s="281"/>
      <c r="LZ16" s="281"/>
      <c r="MA16" s="281"/>
      <c r="MB16" s="281"/>
      <c r="MC16" s="281"/>
      <c r="MD16" s="281"/>
      <c r="ME16" s="158" t="s">
        <v>20</v>
      </c>
      <c r="MF16" s="280">
        <v>11.2</v>
      </c>
      <c r="MG16" s="280">
        <v>10.3</v>
      </c>
      <c r="MH16" s="280">
        <v>13</v>
      </c>
      <c r="MI16" s="280">
        <v>14</v>
      </c>
      <c r="MJ16" s="280">
        <v>9</v>
      </c>
      <c r="MK16" s="280">
        <v>6</v>
      </c>
      <c r="ML16" s="280">
        <v>9.8000000000000007</v>
      </c>
      <c r="MM16" s="280">
        <v>9.6</v>
      </c>
      <c r="MN16" s="280">
        <v>7.5</v>
      </c>
      <c r="MO16" s="280">
        <v>9.9</v>
      </c>
      <c r="MP16" s="158" t="s">
        <v>20</v>
      </c>
      <c r="MQ16" s="280">
        <v>12.9</v>
      </c>
      <c r="MR16" s="280">
        <v>9.9</v>
      </c>
      <c r="MS16" s="280">
        <v>12.2</v>
      </c>
      <c r="MT16" s="280">
        <v>8.6999999999999993</v>
      </c>
      <c r="MU16" s="280">
        <v>8.1</v>
      </c>
      <c r="MV16" s="280">
        <v>8.8000000000000007</v>
      </c>
      <c r="MW16" s="280">
        <v>13.6</v>
      </c>
      <c r="MX16" s="280">
        <v>11.1</v>
      </c>
      <c r="MY16" s="280">
        <v>8</v>
      </c>
      <c r="MZ16" s="280">
        <v>10.1</v>
      </c>
      <c r="NA16" s="158" t="s">
        <v>20</v>
      </c>
      <c r="NB16" s="280">
        <v>13.5</v>
      </c>
      <c r="NC16" s="280">
        <v>14.4</v>
      </c>
      <c r="ND16" s="280">
        <v>15.6</v>
      </c>
      <c r="NE16" s="280">
        <v>15.5</v>
      </c>
      <c r="NF16" s="280">
        <v>11.8</v>
      </c>
      <c r="NG16" s="280">
        <v>17.2</v>
      </c>
      <c r="NH16" s="280">
        <v>13.7</v>
      </c>
      <c r="NI16" s="280">
        <v>15.6</v>
      </c>
      <c r="NJ16" s="280">
        <v>9.4</v>
      </c>
      <c r="NK16" s="280">
        <v>10.5</v>
      </c>
      <c r="NL16" s="158" t="s">
        <v>20</v>
      </c>
      <c r="NM16" s="280">
        <v>48.2</v>
      </c>
      <c r="NN16" s="280">
        <v>54.2</v>
      </c>
      <c r="NO16" s="280">
        <v>40.9</v>
      </c>
      <c r="NP16" s="280">
        <v>42.1</v>
      </c>
      <c r="NQ16" s="280">
        <v>44.7</v>
      </c>
      <c r="NR16" s="280">
        <v>43.8</v>
      </c>
      <c r="NS16" s="280">
        <v>35</v>
      </c>
      <c r="NT16" s="280">
        <v>39.9</v>
      </c>
      <c r="NU16" s="280">
        <v>36</v>
      </c>
      <c r="NV16" s="280">
        <v>40.9</v>
      </c>
      <c r="NW16" s="158" t="s">
        <v>20</v>
      </c>
      <c r="NX16" s="280">
        <v>86.3</v>
      </c>
      <c r="NY16" s="280">
        <v>88.4</v>
      </c>
      <c r="NZ16" s="280">
        <v>78.599999999999994</v>
      </c>
      <c r="OA16" s="280">
        <v>81.599999999999994</v>
      </c>
      <c r="OB16" s="280">
        <v>75.8</v>
      </c>
      <c r="OC16" s="280">
        <v>77.2</v>
      </c>
      <c r="OD16" s="280">
        <v>72.5</v>
      </c>
      <c r="OE16" s="280">
        <v>66.400000000000006</v>
      </c>
      <c r="OF16" s="280">
        <v>70.400000000000006</v>
      </c>
      <c r="OG16" s="280">
        <v>64.400000000000006</v>
      </c>
      <c r="OH16" s="191" t="s">
        <v>20</v>
      </c>
      <c r="OI16" s="192">
        <v>6.5</v>
      </c>
      <c r="OJ16" s="192">
        <v>6.1</v>
      </c>
      <c r="OK16" s="192">
        <v>6.6</v>
      </c>
      <c r="OL16" s="192">
        <v>6</v>
      </c>
      <c r="OM16" s="192">
        <v>6.2</v>
      </c>
      <c r="ON16" s="192">
        <v>5.8</v>
      </c>
      <c r="OO16" s="192">
        <v>6.3</v>
      </c>
      <c r="OP16" s="192">
        <v>6</v>
      </c>
      <c r="OQ16" s="192">
        <v>6.3</v>
      </c>
      <c r="OR16" s="192">
        <v>6.1</v>
      </c>
      <c r="OS16" s="158" t="s">
        <v>20</v>
      </c>
      <c r="OT16" s="340">
        <v>0.6</v>
      </c>
      <c r="OU16" s="340">
        <v>1.4</v>
      </c>
      <c r="OV16" s="340">
        <v>0.2</v>
      </c>
      <c r="OW16" s="340">
        <v>0.8</v>
      </c>
      <c r="OX16" s="340">
        <v>2.5</v>
      </c>
      <c r="OY16" s="340">
        <v>-1.2</v>
      </c>
      <c r="OZ16" s="340">
        <v>-1.1000000000000001</v>
      </c>
      <c r="PA16" s="340">
        <v>0.8</v>
      </c>
      <c r="PB16" s="340">
        <v>0.4</v>
      </c>
      <c r="PC16" s="340">
        <v>0.2</v>
      </c>
      <c r="PE16" s="185">
        <f>E16-'[1]Data-temp_employment'!F16</f>
        <v>3.7999999999999989</v>
      </c>
      <c r="PF16" s="185">
        <f>F16-'[1]Data-temp_employment'!G16</f>
        <v>4.7999999999999989</v>
      </c>
      <c r="PG16" s="185">
        <f>O16-'[1]Data-temp_employment'!P16</f>
        <v>127</v>
      </c>
      <c r="PH16" s="185">
        <f>P16-'[1]Data-temp_employment'!Q16</f>
        <v>103.5</v>
      </c>
      <c r="PI16" s="185">
        <f>AD16-'[1]Data-temp_employment'!AE16</f>
        <v>-7.4</v>
      </c>
      <c r="PJ16" s="185">
        <f>AE16-'[1]Data-temp_employment'!AF16</f>
        <v>-1.6000000000000014</v>
      </c>
      <c r="PK16" s="185">
        <f>BR16-'[1]Data-temp_employment'!BS16</f>
        <v>26.4</v>
      </c>
      <c r="PL16" s="185">
        <f>BS16-'[1]Data-temp_employment'!BT16</f>
        <v>21.9</v>
      </c>
      <c r="PM16" s="185">
        <f>CC16-'[1]Data-temp_employment'!CD16</f>
        <v>39.400000000000006</v>
      </c>
      <c r="PN16" s="185">
        <f>CD16-'[1]Data-temp_employment'!CE16</f>
        <v>46.5</v>
      </c>
      <c r="PO16" s="185">
        <f>CR16-'[1]Data-temp_employment'!CS16</f>
        <v>6.9000000000000057</v>
      </c>
      <c r="PP16" s="185">
        <f>CS16-'[1]Data-temp_employment'!CT16</f>
        <v>16.700000000000003</v>
      </c>
      <c r="PQ16" s="185">
        <f>DC16-'[1]Data-temp_employment'!DD16</f>
        <v>-14.100000000000009</v>
      </c>
      <c r="PR16" s="185">
        <f>DD16-'[1]Data-temp_employment'!DE16</f>
        <v>-14.100000000000009</v>
      </c>
      <c r="PS16" s="185">
        <f>DN16-'[1]Data-temp_employment'!DO16</f>
        <v>-8.7999999999999972</v>
      </c>
      <c r="PT16" s="185">
        <f>DO16-'[1]Data-temp_employment'!DP16</f>
        <v>-13</v>
      </c>
      <c r="PU16" s="185">
        <f>EF16-'[1]Data-temp_employment'!EG16</f>
        <v>0</v>
      </c>
      <c r="PV16" s="185">
        <f>EG16-'[1]Data-temp_employment'!EH16</f>
        <v>0</v>
      </c>
      <c r="PW16" s="185">
        <f>EU16-'[1]Data-temp_employment'!EV16</f>
        <v>-4.3999999999999915</v>
      </c>
      <c r="PX16" s="185">
        <f>EV16-'[1]Data-temp_employment'!EW16</f>
        <v>-8</v>
      </c>
      <c r="PY16" s="185">
        <f>FF16-'[1]Data-temp_employment'!FG16</f>
        <v>-0.30000000000000426</v>
      </c>
      <c r="PZ16" s="185">
        <f>FG16-'[1]Data-temp_employment'!FH16</f>
        <v>-8.8999999999999986</v>
      </c>
      <c r="QA16" s="185">
        <f>FQ16-'[1]Data-temp_employment'!FR16</f>
        <v>-1.3000000000000007</v>
      </c>
      <c r="QB16" s="185">
        <f>FR16-'[1]Data-temp_employment'!FS16</f>
        <v>-3.8999999999999986</v>
      </c>
      <c r="QC16" s="185">
        <f>GB16-'[1]Data-temp_employment'!GC16</f>
        <v>-13.600000000000009</v>
      </c>
      <c r="QD16" s="185">
        <f>GC16-'[1]Data-temp_employment'!GD16</f>
        <v>9.7999999999999972</v>
      </c>
      <c r="QE16" s="185">
        <f>GM16-'[1]Data-temp_employment'!GN16</f>
        <v>6.2</v>
      </c>
      <c r="QF16" s="185">
        <f>GN16-'[1]Data-temp_employment'!GO16</f>
        <v>-5.3</v>
      </c>
      <c r="QG16" s="185">
        <f>GX16-'[1]Data-temp_employment'!GY16</f>
        <v>0.5</v>
      </c>
      <c r="QH16" s="185">
        <f>GY16-'[1]Data-temp_employment'!GZ16</f>
        <v>3.8000000000000007</v>
      </c>
      <c r="QI16" s="185">
        <f>HI16-'[1]Data-temp_employment'!HJ16</f>
        <v>0.90000000000000036</v>
      </c>
      <c r="QJ16" s="185">
        <f>HJ16-'[1]Data-temp_employment'!HK16</f>
        <v>0.5</v>
      </c>
      <c r="QK16" s="185">
        <f>HT16-'[1]Data-temp_employment'!HU16</f>
        <v>-3.3000000000000043</v>
      </c>
      <c r="QL16" s="185">
        <f>HU16-'[1]Data-temp_employment'!HV16</f>
        <v>2</v>
      </c>
      <c r="QM16" s="185">
        <f>IE16-'[1]Data-temp_employment'!IF16</f>
        <v>0</v>
      </c>
      <c r="QN16" s="185">
        <f>IF16-'[1]Data-temp_employment'!IG16</f>
        <v>0</v>
      </c>
      <c r="QO16" s="185">
        <f>JA16-'[1]Data-temp_employment'!JB16</f>
        <v>-0.59999999999999964</v>
      </c>
      <c r="QP16" s="185">
        <f>JB16-'[1]Data-temp_employment'!JC16</f>
        <v>-3.2999999999999989</v>
      </c>
      <c r="QQ16" s="185">
        <f>JH16-'[1]Data-temp_employment'!JI16</f>
        <v>8.3999999999999986</v>
      </c>
      <c r="QR16" s="185">
        <f>JI16-'[1]Data-temp_employment'!JJ16</f>
        <v>5.1999999999999993</v>
      </c>
      <c r="QS16" s="185">
        <f>JS16-'[1]Data-temp_employment'!JT16</f>
        <v>3.8999999999999986</v>
      </c>
      <c r="QT16" s="185">
        <f>JT16-'[1]Data-temp_employment'!JU16</f>
        <v>3.1000000000000014</v>
      </c>
      <c r="QU16" s="185">
        <f>KD16-'[1]Data-temp_employment'!KE16</f>
        <v>13.399999999999999</v>
      </c>
      <c r="QV16" s="185">
        <f>KE16-'[1]Data-temp_employment'!KF16</f>
        <v>12.600000000000001</v>
      </c>
      <c r="QW16" s="185">
        <f>KO16-'[1]Data-temp_employment'!KP16</f>
        <v>2.0999999999999996</v>
      </c>
      <c r="QX16" s="185">
        <f>KP16-'[1]Data-temp_employment'!KQ16</f>
        <v>0</v>
      </c>
      <c r="QY16" s="185">
        <f>LD16-'[1]Data-temp_employment'!LE16</f>
        <v>-1.5</v>
      </c>
      <c r="QZ16" s="185">
        <f>LE16-'[1]Data-temp_employment'!LF16</f>
        <v>1.6999999999999993</v>
      </c>
      <c r="RA16" s="185">
        <f>LK16-'[1]Data-temp_employment'!LL16</f>
        <v>4</v>
      </c>
      <c r="RB16" s="185">
        <f>LL16-'[1]Data-temp_employment'!LM16</f>
        <v>3.7000000000000011</v>
      </c>
      <c r="RC16" s="185">
        <f>LV16-'[1]Data-temp_employment'!LW16</f>
        <v>4.0999999999999996</v>
      </c>
      <c r="RD16" s="185">
        <f>LW16-'[1]Data-temp_employment'!LX16</f>
        <v>0</v>
      </c>
      <c r="RE16" s="185">
        <f>MK16-'[1]Data-temp_employment'!ML16</f>
        <v>-4.3000000000000007</v>
      </c>
      <c r="RF16" s="185">
        <f>ML16-'[1]Data-temp_employment'!MM16</f>
        <v>-3.1999999999999993</v>
      </c>
      <c r="RG16" s="185">
        <f>MV16-'[1]Data-temp_employment'!MW16</f>
        <v>-1.0999999999999996</v>
      </c>
      <c r="RH16" s="185">
        <f>MW16-'[1]Data-temp_employment'!MX16</f>
        <v>1.4000000000000004</v>
      </c>
      <c r="RI16" s="185">
        <f>NG16-'[1]Data-temp_employment'!NH16</f>
        <v>2.7999999999999989</v>
      </c>
      <c r="RJ16" s="185">
        <f>NH16-'[1]Data-temp_employment'!NI16</f>
        <v>-1.9000000000000004</v>
      </c>
      <c r="RK16" s="185">
        <f>NR16-'[1]Data-temp_employment'!NS16</f>
        <v>-10.400000000000006</v>
      </c>
      <c r="RL16" s="185">
        <f>NS16-'[1]Data-temp_employment'!NT16</f>
        <v>-5.8999999999999986</v>
      </c>
      <c r="RM16" s="185">
        <f>OC16-'[1]Data-temp_employment'!OD16</f>
        <v>-11.200000000000003</v>
      </c>
      <c r="RN16" s="185">
        <f>OD16-'[1]Data-temp_employment'!OE16</f>
        <v>-6.0999999999999943</v>
      </c>
      <c r="RO16" s="193">
        <f>OT16-'[1]Data-temp_employment'!OV16</f>
        <v>-9.9999999999999978E-2</v>
      </c>
      <c r="RP16" s="193">
        <f>OU16-'[1]Data-temp_employment'!OW16</f>
        <v>1.7999999999999998</v>
      </c>
    </row>
    <row r="17" spans="1:485" s="345" customFormat="1">
      <c r="A17" s="345">
        <v>14</v>
      </c>
      <c r="B17" s="346" t="s">
        <v>21</v>
      </c>
      <c r="C17" s="347">
        <v>3</v>
      </c>
      <c r="D17" s="347">
        <v>4.0999999999999996</v>
      </c>
      <c r="E17" s="347">
        <v>4.9000000000000004</v>
      </c>
      <c r="F17" s="347">
        <v>2.8</v>
      </c>
      <c r="G17" s="347">
        <v>2.6</v>
      </c>
      <c r="H17" s="347">
        <v>3.3</v>
      </c>
      <c r="I17" s="347">
        <v>3.3</v>
      </c>
      <c r="J17" s="347">
        <v>3.2</v>
      </c>
      <c r="K17" s="347">
        <v>2.2000000000000002</v>
      </c>
      <c r="L17" s="347">
        <v>3.7</v>
      </c>
      <c r="M17" s="346" t="s">
        <v>21</v>
      </c>
      <c r="N17" s="347">
        <v>16.2</v>
      </c>
      <c r="O17" s="347">
        <v>23.2</v>
      </c>
      <c r="P17" s="347">
        <v>27.3</v>
      </c>
      <c r="Q17" s="347">
        <v>15.6</v>
      </c>
      <c r="R17" s="347">
        <v>14.5</v>
      </c>
      <c r="S17" s="347">
        <v>18.5</v>
      </c>
      <c r="T17" s="347">
        <v>18.5</v>
      </c>
      <c r="U17" s="347">
        <v>18.2</v>
      </c>
      <c r="V17" s="347">
        <v>12.2</v>
      </c>
      <c r="W17" s="347">
        <v>20.5</v>
      </c>
      <c r="X17" s="346" t="s">
        <v>21</v>
      </c>
      <c r="Y17" s="348"/>
      <c r="Z17" s="348"/>
      <c r="AA17" s="348"/>
      <c r="AB17" s="348"/>
      <c r="AC17" s="348"/>
      <c r="AD17" s="348"/>
      <c r="AE17" s="348"/>
      <c r="AF17" s="348"/>
      <c r="AG17" s="348"/>
      <c r="AH17" s="348"/>
      <c r="AI17" s="346" t="s">
        <v>21</v>
      </c>
      <c r="AJ17" s="348"/>
      <c r="AK17" s="347">
        <v>7</v>
      </c>
      <c r="AL17" s="347">
        <v>7.7</v>
      </c>
      <c r="AM17" s="348"/>
      <c r="AN17" s="347">
        <v>6.9</v>
      </c>
      <c r="AO17" s="347">
        <v>4.5</v>
      </c>
      <c r="AP17" s="347">
        <v>6.9</v>
      </c>
      <c r="AQ17" s="347">
        <v>5.6</v>
      </c>
      <c r="AR17" s="348"/>
      <c r="AS17" s="347">
        <v>7.6</v>
      </c>
      <c r="AT17" s="346" t="s">
        <v>21</v>
      </c>
      <c r="AU17" s="347">
        <v>5.9</v>
      </c>
      <c r="AV17" s="347">
        <v>6.2</v>
      </c>
      <c r="AW17" s="347">
        <v>9.1999999999999993</v>
      </c>
      <c r="AX17" s="347">
        <v>5.8</v>
      </c>
      <c r="AY17" s="348"/>
      <c r="AZ17" s="347">
        <v>6.6</v>
      </c>
      <c r="BA17" s="347">
        <v>6.9</v>
      </c>
      <c r="BB17" s="347">
        <v>4.9000000000000004</v>
      </c>
      <c r="BC17" s="347">
        <v>4.7</v>
      </c>
      <c r="BD17" s="347">
        <v>5.3</v>
      </c>
      <c r="BE17" s="346" t="s">
        <v>21</v>
      </c>
      <c r="BF17" s="349"/>
      <c r="BG17" s="349"/>
      <c r="BH17" s="349"/>
      <c r="BI17" s="349"/>
      <c r="BJ17" s="349"/>
      <c r="BK17" s="349"/>
      <c r="BL17" s="349"/>
      <c r="BM17" s="349"/>
      <c r="BN17" s="349"/>
      <c r="BO17" s="349"/>
      <c r="BP17" s="346" t="s">
        <v>21</v>
      </c>
      <c r="BQ17" s="350"/>
      <c r="BR17" s="350"/>
      <c r="BS17" s="350"/>
      <c r="BT17" s="350"/>
      <c r="BU17" s="350"/>
      <c r="BV17" s="350"/>
      <c r="BW17" s="350"/>
      <c r="BX17" s="350"/>
      <c r="BY17" s="350"/>
      <c r="BZ17" s="350"/>
      <c r="CA17" s="346" t="s">
        <v>21</v>
      </c>
      <c r="CB17" s="350"/>
      <c r="CC17" s="350"/>
      <c r="CD17" s="350"/>
      <c r="CE17" s="350"/>
      <c r="CF17" s="350"/>
      <c r="CG17" s="350"/>
      <c r="CH17" s="350"/>
      <c r="CI17" s="350"/>
      <c r="CJ17" s="350"/>
      <c r="CK17" s="350"/>
      <c r="CL17" s="346" t="s">
        <v>21</v>
      </c>
      <c r="CM17" s="349"/>
      <c r="CN17" s="351">
        <v>7.1</v>
      </c>
      <c r="CO17" s="351">
        <v>9.4</v>
      </c>
      <c r="CP17" s="349"/>
      <c r="CQ17" s="349"/>
      <c r="CR17" s="351">
        <v>4.5999999999999996</v>
      </c>
      <c r="CS17" s="351">
        <v>5.9</v>
      </c>
      <c r="CT17" s="351">
        <v>4.5999999999999996</v>
      </c>
      <c r="CU17" s="349"/>
      <c r="CV17" s="351">
        <v>7.5</v>
      </c>
      <c r="CW17" s="346" t="s">
        <v>21</v>
      </c>
      <c r="CX17" s="351">
        <v>9.5</v>
      </c>
      <c r="CY17" s="351">
        <v>12.4</v>
      </c>
      <c r="CZ17" s="351">
        <v>13.8</v>
      </c>
      <c r="DA17" s="351">
        <v>9.1</v>
      </c>
      <c r="DB17" s="351">
        <v>8.1999999999999993</v>
      </c>
      <c r="DC17" s="351">
        <v>10.9</v>
      </c>
      <c r="DD17" s="351">
        <v>9.1999999999999993</v>
      </c>
      <c r="DE17" s="351">
        <v>8.6999999999999993</v>
      </c>
      <c r="DF17" s="351">
        <v>5.9</v>
      </c>
      <c r="DG17" s="351">
        <v>9.3000000000000007</v>
      </c>
      <c r="DH17" s="346" t="s">
        <v>21</v>
      </c>
      <c r="DI17" s="351"/>
      <c r="DJ17" s="349"/>
      <c r="DK17" s="349"/>
      <c r="DL17" s="351"/>
      <c r="DM17" s="349"/>
      <c r="DN17" s="349"/>
      <c r="DO17" s="349"/>
      <c r="DP17" s="351"/>
      <c r="DQ17" s="349"/>
      <c r="DR17" s="349"/>
      <c r="DS17" s="346" t="s">
        <v>21</v>
      </c>
      <c r="DT17" s="349"/>
      <c r="DU17" s="349"/>
      <c r="DV17" s="349"/>
      <c r="DW17" s="349"/>
      <c r="DX17" s="349"/>
      <c r="DY17" s="349"/>
      <c r="DZ17" s="349"/>
      <c r="EA17" s="349"/>
      <c r="EB17" s="349"/>
      <c r="EC17" s="349"/>
      <c r="ED17" s="346" t="s">
        <v>21</v>
      </c>
      <c r="EE17" s="349"/>
      <c r="EF17" s="349"/>
      <c r="EG17" s="349"/>
      <c r="EH17" s="349"/>
      <c r="EI17" s="349"/>
      <c r="EJ17" s="349"/>
      <c r="EK17" s="349"/>
      <c r="EL17" s="349"/>
      <c r="EM17" s="349"/>
      <c r="EN17" s="349"/>
      <c r="EO17" s="346" t="s">
        <v>21</v>
      </c>
      <c r="EP17" s="349"/>
      <c r="EQ17" s="349"/>
      <c r="ER17" s="349"/>
      <c r="ES17" s="349"/>
      <c r="ET17" s="349"/>
      <c r="EU17" s="349"/>
      <c r="EV17" s="349"/>
      <c r="EW17" s="349"/>
      <c r="EX17" s="349"/>
      <c r="EY17" s="349"/>
      <c r="EZ17" s="346" t="s">
        <v>21</v>
      </c>
      <c r="FA17" s="349"/>
      <c r="FB17" s="349"/>
      <c r="FC17" s="349"/>
      <c r="FD17" s="349"/>
      <c r="FE17" s="349"/>
      <c r="FF17" s="349"/>
      <c r="FG17" s="349"/>
      <c r="FH17" s="349"/>
      <c r="FI17" s="349"/>
      <c r="FJ17" s="349"/>
      <c r="FK17" s="346" t="s">
        <v>21</v>
      </c>
      <c r="FL17" s="349"/>
      <c r="FM17" s="349"/>
      <c r="FN17" s="349"/>
      <c r="FO17" s="349"/>
      <c r="FP17" s="349"/>
      <c r="FQ17" s="349"/>
      <c r="FR17" s="349"/>
      <c r="FS17" s="349"/>
      <c r="FT17" s="349"/>
      <c r="FU17" s="349"/>
      <c r="FV17" s="346" t="s">
        <v>21</v>
      </c>
      <c r="FW17" s="349"/>
      <c r="FX17" s="349"/>
      <c r="FY17" s="351"/>
      <c r="FZ17" s="349"/>
      <c r="GA17" s="349"/>
      <c r="GB17" s="349"/>
      <c r="GC17" s="349"/>
      <c r="GD17" s="349"/>
      <c r="GE17" s="349"/>
      <c r="GF17" s="351"/>
      <c r="GG17" s="346" t="s">
        <v>21</v>
      </c>
      <c r="GH17" s="349"/>
      <c r="GI17" s="349"/>
      <c r="GJ17" s="349"/>
      <c r="GK17" s="349"/>
      <c r="GL17" s="349"/>
      <c r="GM17" s="349"/>
      <c r="GN17" s="349"/>
      <c r="GO17" s="349"/>
      <c r="GP17" s="349"/>
      <c r="GQ17" s="349"/>
      <c r="GR17" s="346" t="s">
        <v>21</v>
      </c>
      <c r="GS17" s="349"/>
      <c r="GT17" s="351"/>
      <c r="GU17" s="351"/>
      <c r="GV17" s="349"/>
      <c r="GW17" s="349"/>
      <c r="GX17" s="349"/>
      <c r="GY17" s="349"/>
      <c r="GZ17" s="349"/>
      <c r="HA17" s="349"/>
      <c r="HB17" s="349"/>
      <c r="HC17" s="346" t="s">
        <v>21</v>
      </c>
      <c r="HD17" s="349"/>
      <c r="HE17" s="349"/>
      <c r="HF17" s="349"/>
      <c r="HG17" s="349"/>
      <c r="HH17" s="349"/>
      <c r="HI17" s="349"/>
      <c r="HJ17" s="349"/>
      <c r="HK17" s="349"/>
      <c r="HL17" s="349"/>
      <c r="HM17" s="349"/>
      <c r="HN17" s="346" t="s">
        <v>21</v>
      </c>
      <c r="HO17" s="349"/>
      <c r="HP17" s="351">
        <v>5</v>
      </c>
      <c r="HQ17" s="351">
        <v>4.4000000000000004</v>
      </c>
      <c r="HR17" s="349"/>
      <c r="HS17" s="349"/>
      <c r="HT17" s="351">
        <v>5.4</v>
      </c>
      <c r="HU17" s="351">
        <v>6</v>
      </c>
      <c r="HV17" s="351">
        <v>4.4000000000000004</v>
      </c>
      <c r="HW17" s="349"/>
      <c r="HX17" s="351">
        <v>4.8</v>
      </c>
      <c r="HY17" s="346" t="s">
        <v>21</v>
      </c>
      <c r="HZ17" s="349"/>
      <c r="IA17" s="349"/>
      <c r="IB17" s="349"/>
      <c r="IC17" s="349"/>
      <c r="ID17" s="349"/>
      <c r="IE17" s="349"/>
      <c r="IF17" s="349"/>
      <c r="IG17" s="349"/>
      <c r="IH17" s="349"/>
      <c r="II17" s="349"/>
      <c r="IJ17" s="346" t="s">
        <v>21</v>
      </c>
      <c r="IK17" s="349"/>
      <c r="IL17" s="349"/>
      <c r="IM17" s="349"/>
      <c r="IN17" s="349"/>
      <c r="IO17" s="349"/>
      <c r="IP17" s="349"/>
      <c r="IQ17" s="349"/>
      <c r="IR17" s="349"/>
      <c r="IS17" s="349"/>
      <c r="IT17" s="349"/>
      <c r="IU17" s="346" t="s">
        <v>21</v>
      </c>
      <c r="IV17" s="349"/>
      <c r="IW17" s="349"/>
      <c r="IX17" s="349"/>
      <c r="IY17" s="349"/>
      <c r="IZ17" s="349"/>
      <c r="JA17" s="349"/>
      <c r="JB17" s="349"/>
      <c r="JC17" s="349"/>
      <c r="JD17" s="349"/>
      <c r="JE17" s="349"/>
      <c r="JF17" s="346" t="s">
        <v>21</v>
      </c>
      <c r="JG17" s="349"/>
      <c r="JH17" s="349"/>
      <c r="JI17" s="351"/>
      <c r="JJ17" s="349"/>
      <c r="JK17" s="349"/>
      <c r="JL17" s="349"/>
      <c r="JM17" s="349"/>
      <c r="JN17" s="351"/>
      <c r="JO17" s="349"/>
      <c r="JP17" s="349"/>
      <c r="JQ17" s="346" t="s">
        <v>21</v>
      </c>
      <c r="JR17" s="349"/>
      <c r="JS17" s="349"/>
      <c r="JT17" s="351"/>
      <c r="JU17" s="349"/>
      <c r="JV17" s="349"/>
      <c r="JW17" s="349"/>
      <c r="JX17" s="349"/>
      <c r="JY17" s="349"/>
      <c r="JZ17" s="349"/>
      <c r="KA17" s="349"/>
      <c r="KB17" s="346" t="s">
        <v>21</v>
      </c>
      <c r="KC17" s="349"/>
      <c r="KD17" s="349"/>
      <c r="KE17" s="349"/>
      <c r="KF17" s="349"/>
      <c r="KG17" s="349"/>
      <c r="KH17" s="349"/>
      <c r="KI17" s="349"/>
      <c r="KJ17" s="349"/>
      <c r="KK17" s="349"/>
      <c r="KL17" s="349"/>
      <c r="KM17" s="346" t="s">
        <v>21</v>
      </c>
      <c r="KN17" s="349"/>
      <c r="KO17" s="349"/>
      <c r="KP17" s="349"/>
      <c r="KQ17" s="349"/>
      <c r="KR17" s="349"/>
      <c r="KS17" s="349"/>
      <c r="KT17" s="349"/>
      <c r="KU17" s="349"/>
      <c r="KV17" s="349"/>
      <c r="KW17" s="349"/>
      <c r="KX17" s="346" t="s">
        <v>21</v>
      </c>
      <c r="KY17" s="349"/>
      <c r="KZ17" s="349"/>
      <c r="LA17" s="349"/>
      <c r="LB17" s="349"/>
      <c r="LC17" s="349"/>
      <c r="LD17" s="349"/>
      <c r="LE17" s="349"/>
      <c r="LF17" s="349"/>
      <c r="LG17" s="349"/>
      <c r="LH17" s="349"/>
      <c r="LI17" s="346" t="s">
        <v>21</v>
      </c>
      <c r="LJ17" s="349"/>
      <c r="LK17" s="349"/>
      <c r="LL17" s="349"/>
      <c r="LM17" s="349"/>
      <c r="LN17" s="349"/>
      <c r="LO17" s="349"/>
      <c r="LP17" s="349"/>
      <c r="LQ17" s="349"/>
      <c r="LR17" s="349"/>
      <c r="LS17" s="349"/>
      <c r="LT17" s="346" t="s">
        <v>21</v>
      </c>
      <c r="LU17" s="349"/>
      <c r="LV17" s="349"/>
      <c r="LW17" s="349"/>
      <c r="LX17" s="349"/>
      <c r="LY17" s="349"/>
      <c r="LZ17" s="349"/>
      <c r="MA17" s="349"/>
      <c r="MB17" s="349"/>
      <c r="MC17" s="349"/>
      <c r="MD17" s="349"/>
      <c r="ME17" s="346" t="s">
        <v>21</v>
      </c>
      <c r="MF17" s="349"/>
      <c r="MG17" s="349"/>
      <c r="MH17" s="349"/>
      <c r="MI17" s="349"/>
      <c r="MJ17" s="349"/>
      <c r="MK17" s="349"/>
      <c r="ML17" s="349"/>
      <c r="MM17" s="349"/>
      <c r="MN17" s="349"/>
      <c r="MO17" s="349"/>
      <c r="MP17" s="346" t="s">
        <v>21</v>
      </c>
      <c r="MQ17" s="349"/>
      <c r="MR17" s="349"/>
      <c r="MS17" s="349"/>
      <c r="MT17" s="349"/>
      <c r="MU17" s="349"/>
      <c r="MV17" s="349"/>
      <c r="MW17" s="349"/>
      <c r="MX17" s="349"/>
      <c r="MY17" s="349"/>
      <c r="MZ17" s="349"/>
      <c r="NA17" s="346" t="s">
        <v>21</v>
      </c>
      <c r="NB17" s="349"/>
      <c r="NC17" s="349"/>
      <c r="ND17" s="349"/>
      <c r="NE17" s="349"/>
      <c r="NF17" s="349"/>
      <c r="NG17" s="349"/>
      <c r="NH17" s="349"/>
      <c r="NI17" s="349"/>
      <c r="NJ17" s="349"/>
      <c r="NK17" s="349"/>
      <c r="NL17" s="346" t="s">
        <v>21</v>
      </c>
      <c r="NM17" s="349"/>
      <c r="NN17" s="349"/>
      <c r="NO17" s="349"/>
      <c r="NP17" s="349"/>
      <c r="NQ17" s="349"/>
      <c r="NR17" s="349"/>
      <c r="NS17" s="349"/>
      <c r="NT17" s="349"/>
      <c r="NU17" s="349"/>
      <c r="NV17" s="349"/>
      <c r="NW17" s="346" t="s">
        <v>21</v>
      </c>
      <c r="NX17" s="349"/>
      <c r="NY17" s="349"/>
      <c r="NZ17" s="349"/>
      <c r="OA17" s="349"/>
      <c r="OB17" s="349"/>
      <c r="OC17" s="349"/>
      <c r="OD17" s="349"/>
      <c r="OE17" s="349"/>
      <c r="OF17" s="349"/>
      <c r="OG17" s="349"/>
      <c r="OH17" s="346" t="s">
        <v>21</v>
      </c>
      <c r="OI17" s="352">
        <v>7.5</v>
      </c>
      <c r="OJ17" s="352">
        <v>6.3</v>
      </c>
      <c r="OK17" s="352">
        <v>6.6</v>
      </c>
      <c r="OL17" s="352">
        <v>6.5</v>
      </c>
      <c r="OM17" s="352">
        <v>5.2</v>
      </c>
      <c r="ON17" s="352">
        <v>6.4</v>
      </c>
      <c r="OO17" s="352">
        <v>6.5</v>
      </c>
      <c r="OP17" s="352">
        <v>6.5</v>
      </c>
      <c r="OQ17" s="352">
        <v>7.5</v>
      </c>
      <c r="OR17" s="352">
        <v>6.6</v>
      </c>
      <c r="OS17" s="346" t="s">
        <v>21</v>
      </c>
      <c r="OT17" s="353">
        <v>1.3</v>
      </c>
      <c r="OU17" s="353">
        <v>0.2</v>
      </c>
      <c r="OV17" s="353">
        <v>1.8</v>
      </c>
      <c r="OW17" s="353">
        <v>1</v>
      </c>
      <c r="OX17" s="353">
        <v>1.4</v>
      </c>
      <c r="OY17" s="353">
        <v>1.2</v>
      </c>
      <c r="OZ17" s="353">
        <v>0.3</v>
      </c>
      <c r="PA17" s="353">
        <v>1.9</v>
      </c>
      <c r="PB17" s="353">
        <v>0.1</v>
      </c>
      <c r="PC17" s="353">
        <v>1.4</v>
      </c>
      <c r="PE17" s="354">
        <f>E17-'[1]Data-temp_employment'!F17</f>
        <v>0.90000000000000036</v>
      </c>
      <c r="PF17" s="354">
        <f>F17-'[1]Data-temp_employment'!G17</f>
        <v>-0.60000000000000009</v>
      </c>
      <c r="PG17" s="354">
        <f>O17-'[1]Data-temp_employment'!P17</f>
        <v>1.3999999999999986</v>
      </c>
      <c r="PH17" s="354">
        <f>P17-'[1]Data-temp_employment'!Q17</f>
        <v>4.5</v>
      </c>
      <c r="PI17" s="354">
        <f>AD17-'[1]Data-temp_employment'!AE17</f>
        <v>0</v>
      </c>
      <c r="PJ17" s="354">
        <f>AE17-'[1]Data-temp_employment'!AF17</f>
        <v>0</v>
      </c>
      <c r="PK17" s="354">
        <f>BR17-'[1]Data-temp_employment'!BS17</f>
        <v>0</v>
      </c>
      <c r="PL17" s="354">
        <f>BS17-'[1]Data-temp_employment'!BT17</f>
        <v>0</v>
      </c>
      <c r="PM17" s="354">
        <f>CC17-'[1]Data-temp_employment'!CD17</f>
        <v>0</v>
      </c>
      <c r="PN17" s="354">
        <f>CD17-'[1]Data-temp_employment'!CE17</f>
        <v>0</v>
      </c>
      <c r="PO17" s="354">
        <f>CR17-'[1]Data-temp_employment'!CS17</f>
        <v>-2.5</v>
      </c>
      <c r="PP17" s="354">
        <f>CS17-'[1]Data-temp_employment'!CT17</f>
        <v>-3.5</v>
      </c>
      <c r="PQ17" s="354">
        <f>DC17-'[1]Data-temp_employment'!DD17</f>
        <v>-1.5</v>
      </c>
      <c r="PR17" s="354">
        <f>DD17-'[1]Data-temp_employment'!DE17</f>
        <v>-4.6000000000000014</v>
      </c>
      <c r="PS17" s="354">
        <f>DN17-'[1]Data-temp_employment'!DO17</f>
        <v>0</v>
      </c>
      <c r="PT17" s="354">
        <f>DO17-'[1]Data-temp_employment'!DP17</f>
        <v>0</v>
      </c>
      <c r="PU17" s="354">
        <f>EF17-'[1]Data-temp_employment'!EG17</f>
        <v>0</v>
      </c>
      <c r="PV17" s="354">
        <f>EG17-'[1]Data-temp_employment'!EH17</f>
        <v>0</v>
      </c>
      <c r="PW17" s="354">
        <f>EU17-'[1]Data-temp_employment'!EV17</f>
        <v>0</v>
      </c>
      <c r="PX17" s="354">
        <f>EV17-'[1]Data-temp_employment'!EW17</f>
        <v>0</v>
      </c>
      <c r="PY17" s="354">
        <f>FF17-'[1]Data-temp_employment'!FG17</f>
        <v>0</v>
      </c>
      <c r="PZ17" s="354">
        <f>FG17-'[1]Data-temp_employment'!FH17</f>
        <v>0</v>
      </c>
      <c r="QA17" s="354">
        <f>FQ17-'[1]Data-temp_employment'!FR17</f>
        <v>0</v>
      </c>
      <c r="QB17" s="354">
        <f>FR17-'[1]Data-temp_employment'!FS17</f>
        <v>0</v>
      </c>
      <c r="QC17" s="354">
        <f>GB17-'[1]Data-temp_employment'!GC17</f>
        <v>0</v>
      </c>
      <c r="QD17" s="354">
        <f>GC17-'[1]Data-temp_employment'!GD17</f>
        <v>0</v>
      </c>
      <c r="QE17" s="354">
        <f>GM17-'[1]Data-temp_employment'!GN17</f>
        <v>0</v>
      </c>
      <c r="QF17" s="354">
        <f>GN17-'[1]Data-temp_employment'!GO17</f>
        <v>0</v>
      </c>
      <c r="QG17" s="354">
        <f>GX17-'[1]Data-temp_employment'!GY17</f>
        <v>0</v>
      </c>
      <c r="QH17" s="354">
        <f>GY17-'[1]Data-temp_employment'!GZ17</f>
        <v>0</v>
      </c>
      <c r="QI17" s="354">
        <f>HI17-'[1]Data-temp_employment'!HJ17</f>
        <v>0</v>
      </c>
      <c r="QJ17" s="354">
        <f>HJ17-'[1]Data-temp_employment'!HK17</f>
        <v>0</v>
      </c>
      <c r="QK17" s="354">
        <f>HT17-'[1]Data-temp_employment'!HU17</f>
        <v>5.4</v>
      </c>
      <c r="QL17" s="354">
        <f>HU17-'[1]Data-temp_employment'!HV17</f>
        <v>6</v>
      </c>
      <c r="QM17" s="354">
        <f>IE17-'[1]Data-temp_employment'!IF17</f>
        <v>0</v>
      </c>
      <c r="QN17" s="354">
        <f>IF17-'[1]Data-temp_employment'!IG17</f>
        <v>0</v>
      </c>
      <c r="QO17" s="354">
        <f>JA17-'[1]Data-temp_employment'!JB17</f>
        <v>0</v>
      </c>
      <c r="QP17" s="354">
        <f>JB17-'[1]Data-temp_employment'!JC17</f>
        <v>0</v>
      </c>
      <c r="QQ17" s="354">
        <f>JH17-'[1]Data-temp_employment'!JI17</f>
        <v>0</v>
      </c>
      <c r="QR17" s="354">
        <f>JI17-'[1]Data-temp_employment'!JJ17</f>
        <v>0</v>
      </c>
      <c r="QS17" s="354">
        <f>JS17-'[1]Data-temp_employment'!JT17</f>
        <v>0</v>
      </c>
      <c r="QT17" s="354">
        <f>JT17-'[1]Data-temp_employment'!JU17</f>
        <v>0</v>
      </c>
      <c r="QU17" s="354">
        <f>KD17-'[1]Data-temp_employment'!KE17</f>
        <v>0</v>
      </c>
      <c r="QV17" s="354">
        <f>KE17-'[1]Data-temp_employment'!KF17</f>
        <v>0</v>
      </c>
      <c r="QW17" s="354">
        <f>KO17-'[1]Data-temp_employment'!KP17</f>
        <v>0</v>
      </c>
      <c r="QX17" s="354">
        <f>KP17-'[1]Data-temp_employment'!KQ17</f>
        <v>0</v>
      </c>
      <c r="QY17" s="354">
        <f>LD17-'[1]Data-temp_employment'!LE17</f>
        <v>0</v>
      </c>
      <c r="QZ17" s="354">
        <f>LE17-'[1]Data-temp_employment'!LF17</f>
        <v>0</v>
      </c>
      <c r="RA17" s="354">
        <f>LK17-'[1]Data-temp_employment'!LL17</f>
        <v>0</v>
      </c>
      <c r="RB17" s="354">
        <f>LL17-'[1]Data-temp_employment'!LM17</f>
        <v>0</v>
      </c>
      <c r="RC17" s="354">
        <f>LV17-'[1]Data-temp_employment'!LW17</f>
        <v>0</v>
      </c>
      <c r="RD17" s="354">
        <f>LW17-'[1]Data-temp_employment'!LX17</f>
        <v>0</v>
      </c>
      <c r="RE17" s="354">
        <f>MK17-'[1]Data-temp_employment'!ML17</f>
        <v>0</v>
      </c>
      <c r="RF17" s="354">
        <f>ML17-'[1]Data-temp_employment'!MM17</f>
        <v>0</v>
      </c>
      <c r="RG17" s="354">
        <f>MV17-'[1]Data-temp_employment'!MW17</f>
        <v>0</v>
      </c>
      <c r="RH17" s="354">
        <f>MW17-'[1]Data-temp_employment'!MX17</f>
        <v>0</v>
      </c>
      <c r="RI17" s="354">
        <f>NG17-'[1]Data-temp_employment'!NH17</f>
        <v>0</v>
      </c>
      <c r="RJ17" s="354">
        <f>NH17-'[1]Data-temp_employment'!NI17</f>
        <v>0</v>
      </c>
      <c r="RK17" s="354">
        <f>NR17-'[1]Data-temp_employment'!NS17</f>
        <v>0</v>
      </c>
      <c r="RL17" s="354">
        <f>NS17-'[1]Data-temp_employment'!NT17</f>
        <v>0</v>
      </c>
      <c r="RM17" s="354">
        <f>OC17-'[1]Data-temp_employment'!OD17</f>
        <v>0</v>
      </c>
      <c r="RN17" s="354">
        <f>OD17-'[1]Data-temp_employment'!OE17</f>
        <v>0</v>
      </c>
      <c r="RO17" s="354">
        <f>OT17-'[1]Data-temp_employment'!OV17</f>
        <v>-9.9999999999999867E-2</v>
      </c>
      <c r="RP17" s="354">
        <f>OU17-'[1]Data-temp_employment'!OW17</f>
        <v>0.60000000000000009</v>
      </c>
    </row>
    <row r="18" spans="1:485">
      <c r="A18">
        <v>15</v>
      </c>
      <c r="B18" s="158" t="s">
        <v>41</v>
      </c>
      <c r="C18" s="332">
        <v>13.3</v>
      </c>
      <c r="D18" s="332">
        <v>16.8</v>
      </c>
      <c r="E18" s="332">
        <v>17.7</v>
      </c>
      <c r="F18" s="332">
        <v>14.4</v>
      </c>
      <c r="G18" s="332">
        <v>13.7</v>
      </c>
      <c r="H18" s="332">
        <v>17.5</v>
      </c>
      <c r="I18" s="332">
        <v>17.2</v>
      </c>
      <c r="J18" s="332">
        <v>14.6</v>
      </c>
      <c r="K18" s="332">
        <v>14.1</v>
      </c>
      <c r="L18" s="332">
        <v>18</v>
      </c>
      <c r="M18" s="158" t="s">
        <v>41</v>
      </c>
      <c r="N18" s="332">
        <v>268</v>
      </c>
      <c r="O18" s="332">
        <v>353.2</v>
      </c>
      <c r="P18" s="332">
        <v>374.1</v>
      </c>
      <c r="Q18" s="332">
        <v>296.3</v>
      </c>
      <c r="R18" s="332">
        <v>281.3</v>
      </c>
      <c r="S18" s="332">
        <v>372.9</v>
      </c>
      <c r="T18" s="332">
        <v>369.3</v>
      </c>
      <c r="U18" s="332">
        <v>312.7</v>
      </c>
      <c r="V18" s="332">
        <v>297.60000000000002</v>
      </c>
      <c r="W18" s="332">
        <v>396.7</v>
      </c>
      <c r="X18" s="158" t="s">
        <v>41</v>
      </c>
      <c r="Y18" s="332">
        <v>22.8</v>
      </c>
      <c r="Z18" s="332">
        <v>21.6</v>
      </c>
      <c r="AA18" s="332">
        <v>22.1</v>
      </c>
      <c r="AB18" s="332">
        <v>22.6</v>
      </c>
      <c r="AC18" s="332">
        <v>16.2</v>
      </c>
      <c r="AD18" s="332">
        <v>23.3</v>
      </c>
      <c r="AE18" s="332">
        <v>21.2</v>
      </c>
      <c r="AF18" s="332">
        <v>18.3</v>
      </c>
      <c r="AG18" s="332">
        <v>20.6</v>
      </c>
      <c r="AH18" s="332">
        <v>28.8</v>
      </c>
      <c r="AI18" s="158" t="s">
        <v>41</v>
      </c>
      <c r="AJ18" s="332">
        <v>29.8</v>
      </c>
      <c r="AK18" s="332">
        <v>87</v>
      </c>
      <c r="AL18" s="332">
        <v>111.8</v>
      </c>
      <c r="AM18" s="332">
        <v>47.5</v>
      </c>
      <c r="AN18" s="332">
        <v>37.1</v>
      </c>
      <c r="AO18" s="332">
        <v>91.2</v>
      </c>
      <c r="AP18" s="332">
        <v>102.9</v>
      </c>
      <c r="AQ18" s="332">
        <v>48.3</v>
      </c>
      <c r="AR18" s="332">
        <v>34.6</v>
      </c>
      <c r="AS18" s="332">
        <v>96.8</v>
      </c>
      <c r="AT18" s="158" t="s">
        <v>41</v>
      </c>
      <c r="AU18" s="332">
        <v>63.1</v>
      </c>
      <c r="AV18" s="332">
        <v>80.8</v>
      </c>
      <c r="AW18" s="332">
        <v>85.8</v>
      </c>
      <c r="AX18" s="332">
        <v>70.900000000000006</v>
      </c>
      <c r="AY18" s="332">
        <v>63.9</v>
      </c>
      <c r="AZ18" s="332">
        <v>94</v>
      </c>
      <c r="BA18" s="332">
        <v>89.4</v>
      </c>
      <c r="BB18" s="332">
        <v>73.400000000000006</v>
      </c>
      <c r="BC18" s="332">
        <v>69.900000000000006</v>
      </c>
      <c r="BD18" s="332">
        <v>94.3</v>
      </c>
      <c r="BE18" s="158" t="s">
        <v>41</v>
      </c>
      <c r="BF18" s="280">
        <v>85.8</v>
      </c>
      <c r="BG18" s="280">
        <v>89.7</v>
      </c>
      <c r="BH18" s="280">
        <v>89</v>
      </c>
      <c r="BI18" s="280">
        <v>90.5</v>
      </c>
      <c r="BJ18" s="280">
        <v>97</v>
      </c>
      <c r="BK18" s="280">
        <v>96.7</v>
      </c>
      <c r="BL18" s="280">
        <v>89.6</v>
      </c>
      <c r="BM18" s="280">
        <v>100.5</v>
      </c>
      <c r="BN18" s="280">
        <v>100.1</v>
      </c>
      <c r="BO18" s="280">
        <v>99.2</v>
      </c>
      <c r="BP18" s="158" t="s">
        <v>41</v>
      </c>
      <c r="BQ18" s="7">
        <v>35.5</v>
      </c>
      <c r="BR18" s="7">
        <v>44.4</v>
      </c>
      <c r="BS18" s="7">
        <v>34.700000000000003</v>
      </c>
      <c r="BT18" s="7">
        <v>35.9</v>
      </c>
      <c r="BU18" s="7">
        <v>36</v>
      </c>
      <c r="BV18" s="7">
        <v>37.299999999999997</v>
      </c>
      <c r="BW18" s="7">
        <v>35</v>
      </c>
      <c r="BX18" s="7">
        <v>40.200000000000003</v>
      </c>
      <c r="BY18" s="7">
        <v>39.1</v>
      </c>
      <c r="BZ18" s="7">
        <v>43.3</v>
      </c>
      <c r="CA18" s="158" t="s">
        <v>41</v>
      </c>
      <c r="CB18" s="7">
        <v>26.4</v>
      </c>
      <c r="CC18" s="7">
        <v>23.8</v>
      </c>
      <c r="CD18" s="7">
        <v>25.6</v>
      </c>
      <c r="CE18" s="7">
        <v>22.700000000000003</v>
      </c>
      <c r="CF18" s="7">
        <v>24.5</v>
      </c>
      <c r="CG18" s="7">
        <v>25.3</v>
      </c>
      <c r="CH18" s="7">
        <v>23.6</v>
      </c>
      <c r="CI18" s="7">
        <v>25.4</v>
      </c>
      <c r="CJ18" s="7">
        <v>26.9</v>
      </c>
      <c r="CK18" s="7">
        <v>29.1</v>
      </c>
      <c r="CL18" s="158" t="s">
        <v>41</v>
      </c>
      <c r="CM18" s="280">
        <v>27.1</v>
      </c>
      <c r="CN18" s="280">
        <v>53.2</v>
      </c>
      <c r="CO18" s="280">
        <v>59.7</v>
      </c>
      <c r="CP18" s="280">
        <v>36.299999999999997</v>
      </c>
      <c r="CQ18" s="280">
        <v>30.9</v>
      </c>
      <c r="CR18" s="280">
        <v>61.6</v>
      </c>
      <c r="CS18" s="280">
        <v>61.5</v>
      </c>
      <c r="CT18" s="280">
        <v>39.799999999999997</v>
      </c>
      <c r="CU18" s="280">
        <v>42</v>
      </c>
      <c r="CV18" s="280">
        <v>79.099999999999994</v>
      </c>
      <c r="CW18" s="158" t="s">
        <v>41</v>
      </c>
      <c r="CX18" s="280">
        <v>118.2</v>
      </c>
      <c r="CY18" s="280">
        <v>175.9</v>
      </c>
      <c r="CZ18" s="280">
        <v>191.4</v>
      </c>
      <c r="DA18" s="280">
        <v>141.9</v>
      </c>
      <c r="DB18" s="280">
        <v>124.8</v>
      </c>
      <c r="DC18" s="280">
        <v>182.3</v>
      </c>
      <c r="DD18" s="280">
        <v>187.4</v>
      </c>
      <c r="DE18" s="280">
        <v>150</v>
      </c>
      <c r="DF18" s="280">
        <v>143.80000000000001</v>
      </c>
      <c r="DG18" s="280">
        <v>196.7</v>
      </c>
      <c r="DH18" s="158" t="s">
        <v>41</v>
      </c>
      <c r="DI18" s="280">
        <v>122.6</v>
      </c>
      <c r="DJ18" s="280">
        <v>124.1</v>
      </c>
      <c r="DK18" s="280">
        <v>123.1</v>
      </c>
      <c r="DL18" s="280">
        <v>117.9</v>
      </c>
      <c r="DM18" s="280">
        <v>125.5</v>
      </c>
      <c r="DN18" s="280">
        <v>129</v>
      </c>
      <c r="DO18" s="280">
        <v>120.4</v>
      </c>
      <c r="DP18" s="280">
        <v>122.9</v>
      </c>
      <c r="DQ18" s="280">
        <v>111.8</v>
      </c>
      <c r="DR18" s="280">
        <v>121</v>
      </c>
      <c r="DS18" s="158" t="s">
        <v>41</v>
      </c>
      <c r="DT18" s="281"/>
      <c r="DU18" s="281"/>
      <c r="DV18" s="281"/>
      <c r="DW18" s="281"/>
      <c r="DX18" s="281"/>
      <c r="DY18" s="281"/>
      <c r="DZ18" s="281"/>
      <c r="EA18" s="281"/>
      <c r="EB18" s="281"/>
      <c r="EC18" s="281"/>
      <c r="ED18" s="158" t="s">
        <v>41</v>
      </c>
      <c r="EE18" s="280">
        <v>3.3</v>
      </c>
      <c r="EF18" s="280">
        <v>2.5</v>
      </c>
      <c r="EG18" s="280">
        <v>2.8</v>
      </c>
      <c r="EH18" s="280">
        <v>2.4</v>
      </c>
      <c r="EI18" s="280">
        <v>2</v>
      </c>
      <c r="EJ18" s="281"/>
      <c r="EK18" s="281"/>
      <c r="EL18" s="280">
        <v>2.9</v>
      </c>
      <c r="EM18" s="280">
        <v>3.9</v>
      </c>
      <c r="EN18" s="280">
        <v>3.4</v>
      </c>
      <c r="EO18" s="158" t="s">
        <v>41</v>
      </c>
      <c r="EP18" s="280">
        <v>75.8</v>
      </c>
      <c r="EQ18" s="280">
        <v>74.599999999999994</v>
      </c>
      <c r="ER18" s="280">
        <v>72</v>
      </c>
      <c r="ES18" s="280">
        <v>78.400000000000006</v>
      </c>
      <c r="ET18" s="280">
        <v>75.900000000000006</v>
      </c>
      <c r="EU18" s="280">
        <v>78.2</v>
      </c>
      <c r="EV18" s="280">
        <v>76.099999999999994</v>
      </c>
      <c r="EW18" s="280">
        <v>81.7</v>
      </c>
      <c r="EX18" s="280">
        <v>73.2</v>
      </c>
      <c r="EY18" s="280">
        <v>85.2</v>
      </c>
      <c r="EZ18" s="158" t="s">
        <v>41</v>
      </c>
      <c r="FA18" s="280">
        <v>50</v>
      </c>
      <c r="FB18" s="280">
        <v>63.6</v>
      </c>
      <c r="FC18" s="280">
        <v>65.5</v>
      </c>
      <c r="FD18" s="280">
        <v>50.3</v>
      </c>
      <c r="FE18" s="280">
        <v>55.5</v>
      </c>
      <c r="FF18" s="280">
        <v>70.099999999999994</v>
      </c>
      <c r="FG18" s="280">
        <v>69.2</v>
      </c>
      <c r="FH18" s="280">
        <v>61.1</v>
      </c>
      <c r="FI18" s="280">
        <v>53.3</v>
      </c>
      <c r="FJ18" s="280">
        <v>65.5</v>
      </c>
      <c r="FK18" s="158" t="s">
        <v>41</v>
      </c>
      <c r="FL18" s="280">
        <v>18.2</v>
      </c>
      <c r="FM18" s="280">
        <v>21.1</v>
      </c>
      <c r="FN18" s="280">
        <v>22.2</v>
      </c>
      <c r="FO18" s="280">
        <v>18</v>
      </c>
      <c r="FP18" s="280">
        <v>18.5</v>
      </c>
      <c r="FQ18" s="280">
        <v>25.1</v>
      </c>
      <c r="FR18" s="280">
        <v>27</v>
      </c>
      <c r="FS18" s="280">
        <v>22.7</v>
      </c>
      <c r="FT18" s="280">
        <v>19.399999999999999</v>
      </c>
      <c r="FU18" s="280">
        <v>26.2</v>
      </c>
      <c r="FV18" s="158" t="s">
        <v>41</v>
      </c>
      <c r="FW18" s="280">
        <v>71.7</v>
      </c>
      <c r="FX18" s="280">
        <v>95.8</v>
      </c>
      <c r="FY18" s="280">
        <v>101.8</v>
      </c>
      <c r="FZ18" s="280">
        <v>78.900000000000006</v>
      </c>
      <c r="GA18" s="280">
        <v>73.599999999999994</v>
      </c>
      <c r="GB18" s="280">
        <v>94.6</v>
      </c>
      <c r="GC18" s="280">
        <v>89.1</v>
      </c>
      <c r="GD18" s="280">
        <v>74.3</v>
      </c>
      <c r="GE18" s="280">
        <v>76.2</v>
      </c>
      <c r="GF18" s="280">
        <v>101.3</v>
      </c>
      <c r="GG18" s="158" t="s">
        <v>41</v>
      </c>
      <c r="GH18" s="281"/>
      <c r="GI18" s="280">
        <v>8</v>
      </c>
      <c r="GJ18" s="280">
        <v>9.4</v>
      </c>
      <c r="GK18" s="280">
        <v>4.5</v>
      </c>
      <c r="GL18" s="280">
        <v>2.2000000000000002</v>
      </c>
      <c r="GM18" s="280">
        <v>9.6999999999999993</v>
      </c>
      <c r="GN18" s="280">
        <v>10.1</v>
      </c>
      <c r="GO18" s="280">
        <v>4.0999999999999996</v>
      </c>
      <c r="GP18" s="280">
        <v>3.1</v>
      </c>
      <c r="GQ18" s="280">
        <v>10</v>
      </c>
      <c r="GR18" s="158" t="s">
        <v>41</v>
      </c>
      <c r="GS18" s="280">
        <v>13.2</v>
      </c>
      <c r="GT18" s="280">
        <v>26.3</v>
      </c>
      <c r="GU18" s="280">
        <v>26.2</v>
      </c>
      <c r="GV18" s="280">
        <v>20</v>
      </c>
      <c r="GW18" s="280">
        <v>15.2</v>
      </c>
      <c r="GX18" s="280">
        <v>28.8</v>
      </c>
      <c r="GY18" s="280">
        <v>28.3</v>
      </c>
      <c r="GZ18" s="280">
        <v>20.100000000000001</v>
      </c>
      <c r="HA18" s="280">
        <v>19.3</v>
      </c>
      <c r="HB18" s="280">
        <v>27</v>
      </c>
      <c r="HC18" s="158" t="s">
        <v>41</v>
      </c>
      <c r="HD18" s="280">
        <v>12.7</v>
      </c>
      <c r="HE18" s="280">
        <v>17.399999999999999</v>
      </c>
      <c r="HF18" s="280">
        <v>22.6</v>
      </c>
      <c r="HG18" s="280">
        <v>14.6</v>
      </c>
      <c r="HH18" s="280">
        <v>11.1</v>
      </c>
      <c r="HI18" s="280">
        <v>20.8</v>
      </c>
      <c r="HJ18" s="280">
        <v>23.1</v>
      </c>
      <c r="HK18" s="280">
        <v>14.8</v>
      </c>
      <c r="HL18" s="280">
        <v>17.2</v>
      </c>
      <c r="HM18" s="280">
        <v>25.6</v>
      </c>
      <c r="HN18" s="158" t="s">
        <v>41</v>
      </c>
      <c r="HO18" s="280">
        <v>21</v>
      </c>
      <c r="HP18" s="280">
        <v>42.4</v>
      </c>
      <c r="HQ18" s="280">
        <v>48.4</v>
      </c>
      <c r="HR18" s="280">
        <v>27.3</v>
      </c>
      <c r="HS18" s="280">
        <v>26.1</v>
      </c>
      <c r="HT18" s="280">
        <v>43.3</v>
      </c>
      <c r="HU18" s="280">
        <v>43.2</v>
      </c>
      <c r="HV18" s="280">
        <v>29.6</v>
      </c>
      <c r="HW18" s="280">
        <v>30.8</v>
      </c>
      <c r="HX18" s="280">
        <v>50.8</v>
      </c>
      <c r="HY18" s="158" t="s">
        <v>41</v>
      </c>
      <c r="HZ18" s="281"/>
      <c r="IA18" s="281"/>
      <c r="IB18" s="281"/>
      <c r="IC18" s="281"/>
      <c r="ID18" s="281"/>
      <c r="IE18" s="281"/>
      <c r="IF18" s="281"/>
      <c r="IG18" s="281"/>
      <c r="IH18" s="281"/>
      <c r="II18" s="281"/>
      <c r="IJ18" s="158" t="s">
        <v>41</v>
      </c>
      <c r="IK18" s="281"/>
      <c r="IL18" s="281"/>
      <c r="IM18" s="281"/>
      <c r="IN18" s="281"/>
      <c r="IO18" s="281"/>
      <c r="IP18" s="281"/>
      <c r="IQ18" s="281"/>
      <c r="IR18" s="281"/>
      <c r="IS18" s="281"/>
      <c r="IT18" s="281"/>
      <c r="IU18" s="158" t="s">
        <v>41</v>
      </c>
      <c r="IV18" s="281"/>
      <c r="IW18" s="280">
        <v>4.9000000000000004</v>
      </c>
      <c r="IX18" s="280">
        <v>8</v>
      </c>
      <c r="IY18" s="280">
        <v>3</v>
      </c>
      <c r="IZ18" s="280">
        <v>2.1</v>
      </c>
      <c r="JA18" s="280">
        <v>6.1</v>
      </c>
      <c r="JB18" s="280">
        <v>7.6</v>
      </c>
      <c r="JC18" s="280">
        <v>4.0999999999999996</v>
      </c>
      <c r="JD18" s="280">
        <v>3.2</v>
      </c>
      <c r="JE18" s="280">
        <v>6.9</v>
      </c>
      <c r="JF18" s="158" t="s">
        <v>41</v>
      </c>
      <c r="JG18" s="280">
        <v>19.5</v>
      </c>
      <c r="JH18" s="280">
        <v>31.8</v>
      </c>
      <c r="JI18" s="280">
        <v>34</v>
      </c>
      <c r="JJ18" s="280">
        <v>25.8</v>
      </c>
      <c r="JK18" s="280">
        <v>22.7</v>
      </c>
      <c r="JL18" s="280">
        <v>37.200000000000003</v>
      </c>
      <c r="JM18" s="280">
        <v>39.1</v>
      </c>
      <c r="JN18" s="280">
        <v>23.8</v>
      </c>
      <c r="JO18" s="280">
        <v>26.2</v>
      </c>
      <c r="JP18" s="280">
        <v>38.9</v>
      </c>
      <c r="JQ18" s="158" t="s">
        <v>41</v>
      </c>
      <c r="JR18" s="280">
        <v>5.7</v>
      </c>
      <c r="JS18" s="280">
        <v>15.1</v>
      </c>
      <c r="JT18" s="280">
        <v>18</v>
      </c>
      <c r="JU18" s="280">
        <v>11.9</v>
      </c>
      <c r="JV18" s="280">
        <v>8.6999999999999993</v>
      </c>
      <c r="JW18" s="280">
        <v>17.899999999999999</v>
      </c>
      <c r="JX18" s="280">
        <v>20</v>
      </c>
      <c r="JY18" s="280">
        <v>13.7</v>
      </c>
      <c r="JZ18" s="280">
        <v>11.9</v>
      </c>
      <c r="KA18" s="280">
        <v>18.8</v>
      </c>
      <c r="KB18" s="158" t="s">
        <v>41</v>
      </c>
      <c r="KC18" s="280">
        <v>22.6</v>
      </c>
      <c r="KD18" s="280">
        <v>39.1</v>
      </c>
      <c r="KE18" s="280">
        <v>43.8</v>
      </c>
      <c r="KF18" s="280">
        <v>30.8</v>
      </c>
      <c r="KG18" s="280">
        <v>21.2</v>
      </c>
      <c r="KH18" s="280">
        <v>39.799999999999997</v>
      </c>
      <c r="KI18" s="280">
        <v>38.700000000000003</v>
      </c>
      <c r="KJ18" s="280">
        <v>29.5</v>
      </c>
      <c r="KK18" s="280">
        <v>25.5</v>
      </c>
      <c r="KL18" s="280">
        <v>46.3</v>
      </c>
      <c r="KM18" s="158" t="s">
        <v>41</v>
      </c>
      <c r="KN18" s="280">
        <v>8.6999999999999993</v>
      </c>
      <c r="KO18" s="280">
        <v>10.3</v>
      </c>
      <c r="KP18" s="280">
        <v>12.6</v>
      </c>
      <c r="KQ18" s="280">
        <v>8.3000000000000007</v>
      </c>
      <c r="KR18" s="280">
        <v>8.1</v>
      </c>
      <c r="KS18" s="280">
        <v>10.1</v>
      </c>
      <c r="KT18" s="280">
        <v>12.4</v>
      </c>
      <c r="KU18" s="280">
        <v>10.6</v>
      </c>
      <c r="KV18" s="280">
        <v>7</v>
      </c>
      <c r="KW18" s="280">
        <v>13.6</v>
      </c>
      <c r="KX18" s="158" t="s">
        <v>41</v>
      </c>
      <c r="KY18" s="280">
        <v>10</v>
      </c>
      <c r="KZ18" s="280">
        <v>14.3</v>
      </c>
      <c r="LA18" s="280">
        <v>20.8</v>
      </c>
      <c r="LB18" s="280">
        <v>10.199999999999999</v>
      </c>
      <c r="LC18" s="280">
        <v>12.6</v>
      </c>
      <c r="LD18" s="280">
        <v>13.1</v>
      </c>
      <c r="LE18" s="280">
        <v>15.8</v>
      </c>
      <c r="LF18" s="280">
        <v>10.8</v>
      </c>
      <c r="LG18" s="280">
        <v>10.4</v>
      </c>
      <c r="LH18" s="280">
        <v>15.7</v>
      </c>
      <c r="LI18" s="158" t="s">
        <v>41</v>
      </c>
      <c r="LJ18" s="280">
        <v>6.6</v>
      </c>
      <c r="LK18" s="280">
        <v>7.4</v>
      </c>
      <c r="LL18" s="280">
        <v>5.9</v>
      </c>
      <c r="LM18" s="280">
        <v>5.4</v>
      </c>
      <c r="LN18" s="280">
        <v>4.7</v>
      </c>
      <c r="LO18" s="280">
        <v>5.2</v>
      </c>
      <c r="LP18" s="280">
        <v>6.9</v>
      </c>
      <c r="LQ18" s="280">
        <v>6.8</v>
      </c>
      <c r="LR18" s="280">
        <v>5</v>
      </c>
      <c r="LS18" s="280">
        <v>8</v>
      </c>
      <c r="LT18" s="158" t="s">
        <v>41</v>
      </c>
      <c r="LU18" s="280">
        <v>4.2</v>
      </c>
      <c r="LV18" s="280">
        <v>5.2</v>
      </c>
      <c r="LW18" s="280">
        <v>5.2</v>
      </c>
      <c r="LX18" s="280">
        <v>4.4000000000000004</v>
      </c>
      <c r="LY18" s="280">
        <v>5.6</v>
      </c>
      <c r="LZ18" s="280">
        <v>6.5</v>
      </c>
      <c r="MA18" s="280">
        <v>6.3</v>
      </c>
      <c r="MB18" s="280">
        <v>4</v>
      </c>
      <c r="MC18" s="280">
        <v>3.6</v>
      </c>
      <c r="MD18" s="280">
        <v>5.6</v>
      </c>
      <c r="ME18" s="158" t="s">
        <v>41</v>
      </c>
      <c r="MF18" s="280">
        <v>14</v>
      </c>
      <c r="MG18" s="280">
        <v>17.5</v>
      </c>
      <c r="MH18" s="280">
        <v>18.600000000000001</v>
      </c>
      <c r="MI18" s="280">
        <v>16.2</v>
      </c>
      <c r="MJ18" s="280">
        <v>16.5</v>
      </c>
      <c r="MK18" s="280">
        <v>16.600000000000001</v>
      </c>
      <c r="ML18" s="280">
        <v>18.7</v>
      </c>
      <c r="MM18" s="280">
        <v>17.899999999999999</v>
      </c>
      <c r="MN18" s="280">
        <v>16.2</v>
      </c>
      <c r="MO18" s="280">
        <v>17</v>
      </c>
      <c r="MP18" s="158" t="s">
        <v>41</v>
      </c>
      <c r="MQ18" s="280">
        <v>8.9</v>
      </c>
      <c r="MR18" s="280">
        <v>16.399999999999999</v>
      </c>
      <c r="MS18" s="280">
        <v>16</v>
      </c>
      <c r="MT18" s="280">
        <v>10.6</v>
      </c>
      <c r="MU18" s="280">
        <v>10.4</v>
      </c>
      <c r="MV18" s="280">
        <v>17.600000000000001</v>
      </c>
      <c r="MW18" s="280">
        <v>15</v>
      </c>
      <c r="MX18" s="280">
        <v>11</v>
      </c>
      <c r="MY18" s="280">
        <v>12.1</v>
      </c>
      <c r="MZ18" s="280">
        <v>20.100000000000001</v>
      </c>
      <c r="NA18" s="158" t="s">
        <v>41</v>
      </c>
      <c r="NB18" s="280">
        <v>12.9</v>
      </c>
      <c r="NC18" s="280">
        <v>17.7</v>
      </c>
      <c r="ND18" s="280">
        <v>20.399999999999999</v>
      </c>
      <c r="NE18" s="280">
        <v>14.8</v>
      </c>
      <c r="NF18" s="280">
        <v>14.5</v>
      </c>
      <c r="NG18" s="280">
        <v>20.100000000000001</v>
      </c>
      <c r="NH18" s="280">
        <v>20.6</v>
      </c>
      <c r="NI18" s="280">
        <v>21.1</v>
      </c>
      <c r="NJ18" s="280">
        <v>17.2</v>
      </c>
      <c r="NK18" s="280">
        <v>18.600000000000001</v>
      </c>
      <c r="NL18" s="158" t="s">
        <v>41</v>
      </c>
      <c r="NM18" s="280">
        <v>47.7</v>
      </c>
      <c r="NN18" s="280">
        <v>43.7</v>
      </c>
      <c r="NO18" s="280">
        <v>36.4</v>
      </c>
      <c r="NP18" s="280">
        <v>44.5</v>
      </c>
      <c r="NQ18" s="280">
        <v>46.4</v>
      </c>
      <c r="NR18" s="280">
        <v>42.5</v>
      </c>
      <c r="NS18" s="280">
        <v>33.5</v>
      </c>
      <c r="NT18" s="280">
        <v>44.5</v>
      </c>
      <c r="NU18" s="280">
        <v>42.8</v>
      </c>
      <c r="NV18" s="280">
        <v>45.5</v>
      </c>
      <c r="NW18" s="158" t="s">
        <v>41</v>
      </c>
      <c r="NX18" s="280">
        <v>75.2</v>
      </c>
      <c r="NY18" s="280">
        <v>87.5</v>
      </c>
      <c r="NZ18" s="280">
        <v>89.1</v>
      </c>
      <c r="OA18" s="280">
        <v>76.900000000000006</v>
      </c>
      <c r="OB18" s="280">
        <v>76.2</v>
      </c>
      <c r="OC18" s="280">
        <v>95.1</v>
      </c>
      <c r="OD18" s="280">
        <v>88.3</v>
      </c>
      <c r="OE18" s="280">
        <v>83</v>
      </c>
      <c r="OF18" s="280">
        <v>84.4</v>
      </c>
      <c r="OG18" s="280">
        <v>100.6</v>
      </c>
      <c r="OH18" s="191" t="s">
        <v>41</v>
      </c>
      <c r="OI18" s="192">
        <v>7.5</v>
      </c>
      <c r="OJ18" s="192">
        <v>8.4</v>
      </c>
      <c r="OK18" s="192">
        <v>9.6999999999999993</v>
      </c>
      <c r="OL18" s="192">
        <v>10.7</v>
      </c>
      <c r="OM18" s="192">
        <v>8.4</v>
      </c>
      <c r="ON18" s="192">
        <v>8.6999999999999993</v>
      </c>
      <c r="OO18" s="192">
        <v>9.6</v>
      </c>
      <c r="OP18" s="192">
        <v>10</v>
      </c>
      <c r="OQ18" s="192">
        <v>7.6</v>
      </c>
      <c r="OR18" s="192">
        <v>8</v>
      </c>
      <c r="OS18" s="158" t="s">
        <v>41</v>
      </c>
      <c r="OT18" s="340">
        <v>0.9</v>
      </c>
      <c r="OU18" s="340">
        <v>0.3</v>
      </c>
      <c r="OV18" s="340">
        <v>1.1000000000000001</v>
      </c>
      <c r="OW18" s="340">
        <v>0.4</v>
      </c>
      <c r="OX18" s="340">
        <v>1.1000000000000001</v>
      </c>
      <c r="OY18" s="340">
        <v>0.5</v>
      </c>
      <c r="OZ18" s="340">
        <v>0.3</v>
      </c>
      <c r="PA18" s="340">
        <v>0.7</v>
      </c>
      <c r="PB18" s="340">
        <v>0.9</v>
      </c>
      <c r="PC18" s="340">
        <v>0.3</v>
      </c>
      <c r="PE18" s="185">
        <f>E18-'[1]Data-temp_employment'!F18</f>
        <v>1</v>
      </c>
      <c r="PF18" s="185">
        <f>F18-'[1]Data-temp_employment'!G18</f>
        <v>0.80000000000000071</v>
      </c>
      <c r="PG18" s="185">
        <f>O18-'[1]Data-temp_employment'!P18</f>
        <v>6.8000000000000114</v>
      </c>
      <c r="PH18" s="185">
        <f>P18-'[1]Data-temp_employment'!Q18</f>
        <v>23.700000000000045</v>
      </c>
      <c r="PI18" s="185">
        <f>AD18-'[1]Data-temp_employment'!AE18</f>
        <v>1.6999999999999993</v>
      </c>
      <c r="PJ18" s="185">
        <f>AE18-'[1]Data-temp_employment'!AF18</f>
        <v>-0.90000000000000213</v>
      </c>
      <c r="PK18" s="185">
        <f>BR18-'[1]Data-temp_employment'!BS18</f>
        <v>12.399999999999999</v>
      </c>
      <c r="PL18" s="185">
        <f>BS18-'[1]Data-temp_employment'!BT18</f>
        <v>-6.6999999999999957</v>
      </c>
      <c r="PM18" s="185">
        <f>CC18-'[1]Data-temp_employment'!CD18</f>
        <v>-5.7999999999999972</v>
      </c>
      <c r="PN18" s="185">
        <f>CD18-'[1]Data-temp_employment'!CE18</f>
        <v>0.90000000000000213</v>
      </c>
      <c r="PO18" s="185">
        <f>CR18-'[1]Data-temp_employment'!CS18</f>
        <v>8.3999999999999986</v>
      </c>
      <c r="PP18" s="185">
        <f>CS18-'[1]Data-temp_employment'!CT18</f>
        <v>1.7999999999999972</v>
      </c>
      <c r="PQ18" s="185">
        <f>DC18-'[1]Data-temp_employment'!DD18</f>
        <v>6.4000000000000057</v>
      </c>
      <c r="PR18" s="185">
        <f>DD18-'[1]Data-temp_employment'!DE18</f>
        <v>-4</v>
      </c>
      <c r="PS18" s="185">
        <f>DN18-'[1]Data-temp_employment'!DO18</f>
        <v>4.9000000000000057</v>
      </c>
      <c r="PT18" s="185">
        <f>DO18-'[1]Data-temp_employment'!DP18</f>
        <v>-2.6999999999999886</v>
      </c>
      <c r="PU18" s="185">
        <f>EF18-'[1]Data-temp_employment'!EG18</f>
        <v>-0.10000000000000009</v>
      </c>
      <c r="PV18" s="185">
        <f>EG18-'[1]Data-temp_employment'!EH18</f>
        <v>9.9999999999999645E-2</v>
      </c>
      <c r="PW18" s="185">
        <f>EU18-'[1]Data-temp_employment'!EV18</f>
        <v>3.6000000000000085</v>
      </c>
      <c r="PX18" s="185">
        <f>EV18-'[1]Data-temp_employment'!EW18</f>
        <v>4.0999999999999943</v>
      </c>
      <c r="PY18" s="185">
        <f>FF18-'[1]Data-temp_employment'!FG18</f>
        <v>6.4999999999999929</v>
      </c>
      <c r="PZ18" s="185">
        <f>FG18-'[1]Data-temp_employment'!FH18</f>
        <v>3.7000000000000028</v>
      </c>
      <c r="QA18" s="185">
        <f>FQ18-'[1]Data-temp_employment'!FR18</f>
        <v>4</v>
      </c>
      <c r="QB18" s="185">
        <f>FR18-'[1]Data-temp_employment'!FS18</f>
        <v>4.8000000000000007</v>
      </c>
      <c r="QC18" s="185">
        <f>GB18-'[1]Data-temp_employment'!GC18</f>
        <v>-1.2000000000000028</v>
      </c>
      <c r="QD18" s="185">
        <f>GC18-'[1]Data-temp_employment'!GD18</f>
        <v>-12.700000000000003</v>
      </c>
      <c r="QE18" s="185">
        <f>GM18-'[1]Data-temp_employment'!GN18</f>
        <v>1.6999999999999993</v>
      </c>
      <c r="QF18" s="185">
        <f>GN18-'[1]Data-temp_employment'!GO18</f>
        <v>0.69999999999999929</v>
      </c>
      <c r="QG18" s="185">
        <f>GX18-'[1]Data-temp_employment'!GY18</f>
        <v>2.5</v>
      </c>
      <c r="QH18" s="185">
        <f>GY18-'[1]Data-temp_employment'!GZ18</f>
        <v>2.1000000000000014</v>
      </c>
      <c r="QI18" s="185">
        <f>HI18-'[1]Data-temp_employment'!HJ18</f>
        <v>3.4000000000000021</v>
      </c>
      <c r="QJ18" s="185">
        <f>HJ18-'[1]Data-temp_employment'!HK18</f>
        <v>0.5</v>
      </c>
      <c r="QK18" s="185">
        <f>HT18-'[1]Data-temp_employment'!HU18</f>
        <v>0.89999999999999858</v>
      </c>
      <c r="QL18" s="185">
        <f>HU18-'[1]Data-temp_employment'!HV18</f>
        <v>-5.1999999999999957</v>
      </c>
      <c r="QM18" s="185">
        <f>IE18-'[1]Data-temp_employment'!IF18</f>
        <v>0</v>
      </c>
      <c r="QN18" s="185">
        <f>IF18-'[1]Data-temp_employment'!IG18</f>
        <v>0</v>
      </c>
      <c r="QO18" s="185">
        <f>JA18-'[1]Data-temp_employment'!JB18</f>
        <v>1.1999999999999993</v>
      </c>
      <c r="QP18" s="185">
        <f>JB18-'[1]Data-temp_employment'!JC18</f>
        <v>-0.40000000000000036</v>
      </c>
      <c r="QQ18" s="185">
        <f>JH18-'[1]Data-temp_employment'!JI18</f>
        <v>2</v>
      </c>
      <c r="QR18" s="185">
        <f>JI18-'[1]Data-temp_employment'!JJ18</f>
        <v>2.3999999999999986</v>
      </c>
      <c r="QS18" s="185">
        <f>JS18-'[1]Data-temp_employment'!JT18</f>
        <v>0.59999999999999964</v>
      </c>
      <c r="QT18" s="185">
        <f>JT18-'[1]Data-temp_employment'!JU18</f>
        <v>-2.8000000000000007</v>
      </c>
      <c r="QU18" s="185">
        <f>KD18-'[1]Data-temp_employment'!KE18</f>
        <v>4.7000000000000028</v>
      </c>
      <c r="QV18" s="185">
        <f>KE18-'[1]Data-temp_employment'!KF18</f>
        <v>7.1999999999999957</v>
      </c>
      <c r="QW18" s="185">
        <f>KO18-'[1]Data-temp_employment'!KP18</f>
        <v>-3.1999999999999993</v>
      </c>
      <c r="QX18" s="185">
        <f>KP18-'[1]Data-temp_employment'!KQ18</f>
        <v>1</v>
      </c>
      <c r="QY18" s="185">
        <f>LD18-'[1]Data-temp_employment'!LE18</f>
        <v>-1.2000000000000011</v>
      </c>
      <c r="QZ18" s="185">
        <f>LE18-'[1]Data-temp_employment'!LF18</f>
        <v>-5</v>
      </c>
      <c r="RA18" s="185">
        <f>LK18-'[1]Data-temp_employment'!LL18</f>
        <v>1.6000000000000005</v>
      </c>
      <c r="RB18" s="185">
        <f>LL18-'[1]Data-temp_employment'!LM18</f>
        <v>-2.6999999999999993</v>
      </c>
      <c r="RC18" s="185">
        <f>LV18-'[1]Data-temp_employment'!LW18</f>
        <v>1.5</v>
      </c>
      <c r="RD18" s="185">
        <f>LW18-'[1]Data-temp_employment'!LX18</f>
        <v>1</v>
      </c>
      <c r="RE18" s="185">
        <f>MK18-'[1]Data-temp_employment'!ML18</f>
        <v>-0.89999999999999858</v>
      </c>
      <c r="RF18" s="185">
        <f>ML18-'[1]Data-temp_employment'!MM18</f>
        <v>9.9999999999997868E-2</v>
      </c>
      <c r="RG18" s="185">
        <f>MV18-'[1]Data-temp_employment'!MW18</f>
        <v>1.2000000000000028</v>
      </c>
      <c r="RH18" s="185">
        <f>MW18-'[1]Data-temp_employment'!MX18</f>
        <v>-1</v>
      </c>
      <c r="RI18" s="185">
        <f>NG18-'[1]Data-temp_employment'!NH18</f>
        <v>2.4000000000000021</v>
      </c>
      <c r="RJ18" s="185">
        <f>NH18-'[1]Data-temp_employment'!NI18</f>
        <v>0.20000000000000284</v>
      </c>
      <c r="RK18" s="185">
        <f>NR18-'[1]Data-temp_employment'!NS18</f>
        <v>-1.2000000000000028</v>
      </c>
      <c r="RL18" s="185">
        <f>NS18-'[1]Data-temp_employment'!NT18</f>
        <v>-2.8999999999999986</v>
      </c>
      <c r="RM18" s="185">
        <f>OC18-'[1]Data-temp_employment'!OD18</f>
        <v>7.5999999999999943</v>
      </c>
      <c r="RN18" s="185">
        <f>OD18-'[1]Data-temp_employment'!OE18</f>
        <v>-0.79999999999999716</v>
      </c>
      <c r="RO18" s="185">
        <f>OT18-'[1]Data-temp_employment'!OV18</f>
        <v>-9.9999999999999978E-2</v>
      </c>
      <c r="RP18" s="185">
        <f>OU18-'[1]Data-temp_employment'!OW18</f>
        <v>0.7</v>
      </c>
    </row>
    <row r="19" spans="1:485">
      <c r="A19">
        <v>16</v>
      </c>
      <c r="B19" s="158" t="s">
        <v>25</v>
      </c>
      <c r="C19" s="332">
        <v>15.3</v>
      </c>
      <c r="D19" s="332">
        <v>16.399999999999999</v>
      </c>
      <c r="E19" s="332">
        <v>16.8</v>
      </c>
      <c r="F19" s="332">
        <v>16</v>
      </c>
      <c r="G19" s="332">
        <v>16</v>
      </c>
      <c r="H19" s="332">
        <v>16.899999999999999</v>
      </c>
      <c r="I19" s="332">
        <v>17.399999999999999</v>
      </c>
      <c r="J19" s="332">
        <v>16.8</v>
      </c>
      <c r="K19" s="332">
        <v>16.5</v>
      </c>
      <c r="L19" s="332">
        <v>16.899999999999999</v>
      </c>
      <c r="M19" s="158" t="s">
        <v>25</v>
      </c>
      <c r="N19" s="332">
        <v>3545.7</v>
      </c>
      <c r="O19" s="332">
        <v>3835.3</v>
      </c>
      <c r="P19" s="332">
        <v>3929.1</v>
      </c>
      <c r="Q19" s="332">
        <v>3702.9</v>
      </c>
      <c r="R19" s="332">
        <v>3724</v>
      </c>
      <c r="S19" s="332">
        <v>4003.1</v>
      </c>
      <c r="T19" s="332">
        <v>4116.3999999999996</v>
      </c>
      <c r="U19" s="332">
        <v>3981.9</v>
      </c>
      <c r="V19" s="332">
        <v>3890</v>
      </c>
      <c r="W19" s="332">
        <v>4025.1</v>
      </c>
      <c r="X19" s="158" t="s">
        <v>25</v>
      </c>
      <c r="Y19" s="332">
        <v>471.1</v>
      </c>
      <c r="Z19" s="332">
        <v>548.29999999999995</v>
      </c>
      <c r="AA19" s="332">
        <v>571.20000000000005</v>
      </c>
      <c r="AB19" s="332">
        <v>534.5</v>
      </c>
      <c r="AC19" s="332">
        <v>571.29999999999995</v>
      </c>
      <c r="AD19" s="332">
        <v>601.29999999999995</v>
      </c>
      <c r="AE19" s="332">
        <v>590.20000000000005</v>
      </c>
      <c r="AF19" s="332">
        <v>587.6</v>
      </c>
      <c r="AG19" s="332">
        <v>557.5</v>
      </c>
      <c r="AH19" s="332">
        <v>556.20000000000005</v>
      </c>
      <c r="AI19" s="158" t="s">
        <v>25</v>
      </c>
      <c r="AJ19" s="332">
        <v>509.2</v>
      </c>
      <c r="AK19" s="332">
        <v>537.4</v>
      </c>
      <c r="AL19" s="332">
        <v>702.7</v>
      </c>
      <c r="AM19" s="332">
        <v>557.6</v>
      </c>
      <c r="AN19" s="332">
        <v>533.9</v>
      </c>
      <c r="AO19" s="332">
        <v>559.29999999999995</v>
      </c>
      <c r="AP19" s="332">
        <v>755.6</v>
      </c>
      <c r="AQ19" s="332">
        <v>622.1</v>
      </c>
      <c r="AR19" s="332">
        <v>569</v>
      </c>
      <c r="AS19" s="332">
        <v>603</v>
      </c>
      <c r="AT19" s="158" t="s">
        <v>25</v>
      </c>
      <c r="AU19" s="332">
        <v>482</v>
      </c>
      <c r="AV19" s="332">
        <v>562.6</v>
      </c>
      <c r="AW19" s="332">
        <v>585.20000000000005</v>
      </c>
      <c r="AX19" s="332">
        <v>509.2</v>
      </c>
      <c r="AY19" s="332">
        <v>503.2</v>
      </c>
      <c r="AZ19" s="332">
        <v>559.70000000000005</v>
      </c>
      <c r="BA19" s="332">
        <v>586.6</v>
      </c>
      <c r="BB19" s="332">
        <v>566.4</v>
      </c>
      <c r="BC19" s="332">
        <v>519.79999999999995</v>
      </c>
      <c r="BD19" s="332">
        <v>656.5</v>
      </c>
      <c r="BE19" s="158" t="s">
        <v>25</v>
      </c>
      <c r="BF19" s="280">
        <v>777.5</v>
      </c>
      <c r="BG19" s="280">
        <v>835.5</v>
      </c>
      <c r="BH19" s="280">
        <v>797.2</v>
      </c>
      <c r="BI19" s="280">
        <v>787.8</v>
      </c>
      <c r="BJ19" s="280">
        <v>798.1</v>
      </c>
      <c r="BK19" s="280">
        <v>883.9</v>
      </c>
      <c r="BL19" s="280">
        <v>818.3</v>
      </c>
      <c r="BM19" s="280">
        <v>851.3</v>
      </c>
      <c r="BN19" s="280">
        <v>887.5</v>
      </c>
      <c r="BO19" s="280">
        <v>946.7</v>
      </c>
      <c r="BP19" s="158" t="s">
        <v>25</v>
      </c>
      <c r="BQ19" s="7">
        <v>578.1</v>
      </c>
      <c r="BR19" s="7">
        <v>591</v>
      </c>
      <c r="BS19" s="7">
        <v>568.20000000000005</v>
      </c>
      <c r="BT19" s="7">
        <v>624.40000000000009</v>
      </c>
      <c r="BU19" s="7">
        <v>603.59999999999991</v>
      </c>
      <c r="BV19" s="7">
        <v>626.79999999999995</v>
      </c>
      <c r="BW19" s="7">
        <v>617.20000000000005</v>
      </c>
      <c r="BX19" s="7">
        <v>605.79999999999995</v>
      </c>
      <c r="BY19" s="7">
        <v>604</v>
      </c>
      <c r="BZ19" s="7">
        <v>579.1</v>
      </c>
      <c r="CA19" s="158" t="s">
        <v>25</v>
      </c>
      <c r="CB19" s="7">
        <v>309</v>
      </c>
      <c r="CC19" s="7">
        <v>298.8</v>
      </c>
      <c r="CD19" s="7">
        <v>309.2</v>
      </c>
      <c r="CE19" s="7">
        <v>325.10000000000002</v>
      </c>
      <c r="CF19" s="7">
        <v>326.7</v>
      </c>
      <c r="CG19" s="7">
        <v>329.1</v>
      </c>
      <c r="CH19" s="7">
        <v>333.9</v>
      </c>
      <c r="CI19" s="7">
        <v>320.3</v>
      </c>
      <c r="CJ19" s="7">
        <v>318.7</v>
      </c>
      <c r="CK19" s="7">
        <v>306.7</v>
      </c>
      <c r="CL19" s="158" t="s">
        <v>25</v>
      </c>
      <c r="CM19" s="280">
        <v>717.4</v>
      </c>
      <c r="CN19" s="280">
        <v>768.1</v>
      </c>
      <c r="CO19" s="280">
        <v>745.4</v>
      </c>
      <c r="CP19" s="280">
        <v>718.8</v>
      </c>
      <c r="CQ19" s="280">
        <v>733.4</v>
      </c>
      <c r="CR19" s="280">
        <v>834.2</v>
      </c>
      <c r="CS19" s="280">
        <v>848.9</v>
      </c>
      <c r="CT19" s="280">
        <v>819.4</v>
      </c>
      <c r="CU19" s="280">
        <v>775.2</v>
      </c>
      <c r="CV19" s="280">
        <v>823.4</v>
      </c>
      <c r="CW19" s="158" t="s">
        <v>25</v>
      </c>
      <c r="CX19" s="280">
        <v>1665.6</v>
      </c>
      <c r="CY19" s="280">
        <v>1836.5</v>
      </c>
      <c r="CZ19" s="280">
        <v>1903</v>
      </c>
      <c r="DA19" s="280">
        <v>1762.1</v>
      </c>
      <c r="DB19" s="280">
        <v>1806</v>
      </c>
      <c r="DC19" s="280">
        <v>1913</v>
      </c>
      <c r="DD19" s="280">
        <v>2001.5</v>
      </c>
      <c r="DE19" s="280">
        <v>1915.3</v>
      </c>
      <c r="DF19" s="280">
        <v>1859.3</v>
      </c>
      <c r="DG19" s="280">
        <v>1913.1</v>
      </c>
      <c r="DH19" s="158" t="s">
        <v>25</v>
      </c>
      <c r="DI19" s="280">
        <v>1139.9000000000001</v>
      </c>
      <c r="DJ19" s="280">
        <v>1208.5999999999999</v>
      </c>
      <c r="DK19" s="280">
        <v>1260.4000000000001</v>
      </c>
      <c r="DL19" s="280">
        <v>1204.8</v>
      </c>
      <c r="DM19" s="280">
        <v>1163.5</v>
      </c>
      <c r="DN19" s="280">
        <v>1240.3</v>
      </c>
      <c r="DO19" s="280">
        <v>1244.7</v>
      </c>
      <c r="DP19" s="280">
        <v>1219.3</v>
      </c>
      <c r="DQ19" s="280">
        <v>1231.2</v>
      </c>
      <c r="DR19" s="280">
        <v>1270.0999999999999</v>
      </c>
      <c r="DS19" s="158" t="s">
        <v>25</v>
      </c>
      <c r="DT19" s="280">
        <v>22.8</v>
      </c>
      <c r="DU19" s="280">
        <v>22.1</v>
      </c>
      <c r="DV19" s="280">
        <v>20.2</v>
      </c>
      <c r="DW19" s="281"/>
      <c r="DX19" s="280">
        <v>21.1</v>
      </c>
      <c r="DY19" s="281"/>
      <c r="DZ19" s="280">
        <v>21.3</v>
      </c>
      <c r="EA19" s="280">
        <v>27.9</v>
      </c>
      <c r="EB19" s="280">
        <v>24.3</v>
      </c>
      <c r="EC19" s="281"/>
      <c r="ED19" s="158" t="s">
        <v>25</v>
      </c>
      <c r="EE19" s="280">
        <v>51.9</v>
      </c>
      <c r="EF19" s="280">
        <v>58.9</v>
      </c>
      <c r="EG19" s="280">
        <v>60.3</v>
      </c>
      <c r="EH19" s="280">
        <v>56</v>
      </c>
      <c r="EI19" s="280">
        <v>54.8</v>
      </c>
      <c r="EJ19" s="280">
        <v>56.4</v>
      </c>
      <c r="EK19" s="280">
        <v>65.2</v>
      </c>
      <c r="EL19" s="280">
        <v>59.8</v>
      </c>
      <c r="EM19" s="280">
        <v>54</v>
      </c>
      <c r="EN19" s="280">
        <v>40</v>
      </c>
      <c r="EO19" s="158" t="s">
        <v>25</v>
      </c>
      <c r="EP19" s="280">
        <v>445.5</v>
      </c>
      <c r="EQ19" s="280">
        <v>483.3</v>
      </c>
      <c r="ER19" s="280">
        <v>451.1</v>
      </c>
      <c r="ES19" s="280">
        <v>474.5</v>
      </c>
      <c r="ET19" s="280">
        <v>479.8</v>
      </c>
      <c r="EU19" s="280">
        <v>498.9</v>
      </c>
      <c r="EV19" s="280">
        <v>469.6</v>
      </c>
      <c r="EW19" s="280">
        <v>472</v>
      </c>
      <c r="EX19" s="280">
        <v>507.4</v>
      </c>
      <c r="EY19" s="280">
        <v>510.6</v>
      </c>
      <c r="EZ19" s="158" t="s">
        <v>25</v>
      </c>
      <c r="FA19" s="280">
        <v>681.3</v>
      </c>
      <c r="FB19" s="280">
        <v>688.7</v>
      </c>
      <c r="FC19" s="280">
        <v>654.79999999999995</v>
      </c>
      <c r="FD19" s="280">
        <v>640.1</v>
      </c>
      <c r="FE19" s="280">
        <v>666.6</v>
      </c>
      <c r="FF19" s="280">
        <v>673.1</v>
      </c>
      <c r="FG19" s="280">
        <v>649.9</v>
      </c>
      <c r="FH19" s="280">
        <v>678.4</v>
      </c>
      <c r="FI19" s="280">
        <v>662.6</v>
      </c>
      <c r="FJ19" s="280">
        <v>687.8</v>
      </c>
      <c r="FK19" s="158" t="s">
        <v>25</v>
      </c>
      <c r="FL19" s="280">
        <v>312.10000000000002</v>
      </c>
      <c r="FM19" s="280">
        <v>333.9</v>
      </c>
      <c r="FN19" s="280">
        <v>360.8</v>
      </c>
      <c r="FO19" s="280">
        <v>362.2</v>
      </c>
      <c r="FP19" s="280">
        <v>349.9</v>
      </c>
      <c r="FQ19" s="280">
        <v>389.9</v>
      </c>
      <c r="FR19" s="280">
        <v>386.7</v>
      </c>
      <c r="FS19" s="280">
        <v>365.8</v>
      </c>
      <c r="FT19" s="280">
        <v>349</v>
      </c>
      <c r="FU19" s="280">
        <v>348.1</v>
      </c>
      <c r="FV19" s="158" t="s">
        <v>25</v>
      </c>
      <c r="FW19" s="280">
        <v>609.6</v>
      </c>
      <c r="FX19" s="280">
        <v>668.7</v>
      </c>
      <c r="FY19" s="280">
        <v>708.5</v>
      </c>
      <c r="FZ19" s="280">
        <v>614.4</v>
      </c>
      <c r="GA19" s="280">
        <v>642.5</v>
      </c>
      <c r="GB19" s="280">
        <v>705.3</v>
      </c>
      <c r="GC19" s="280">
        <v>718.6</v>
      </c>
      <c r="GD19" s="280">
        <v>698.9</v>
      </c>
      <c r="GE19" s="280">
        <v>691.9</v>
      </c>
      <c r="GF19" s="280">
        <v>723.9</v>
      </c>
      <c r="GG19" s="158" t="s">
        <v>25</v>
      </c>
      <c r="GH19" s="280">
        <v>123.7</v>
      </c>
      <c r="GI19" s="280">
        <v>157.69999999999999</v>
      </c>
      <c r="GJ19" s="280">
        <v>159.69999999999999</v>
      </c>
      <c r="GK19" s="280">
        <v>116.4</v>
      </c>
      <c r="GL19" s="280">
        <v>126.9</v>
      </c>
      <c r="GM19" s="280">
        <v>134</v>
      </c>
      <c r="GN19" s="280">
        <v>170.1</v>
      </c>
      <c r="GO19" s="280">
        <v>136</v>
      </c>
      <c r="GP19" s="280">
        <v>129.1</v>
      </c>
      <c r="GQ19" s="280">
        <v>154</v>
      </c>
      <c r="GR19" s="158" t="s">
        <v>25</v>
      </c>
      <c r="GS19" s="280">
        <v>366.8</v>
      </c>
      <c r="GT19" s="280">
        <v>409.9</v>
      </c>
      <c r="GU19" s="280">
        <v>403.6</v>
      </c>
      <c r="GV19" s="280">
        <v>414.3</v>
      </c>
      <c r="GW19" s="280">
        <v>387</v>
      </c>
      <c r="GX19" s="280">
        <v>416.6</v>
      </c>
      <c r="GY19" s="280">
        <v>423.7</v>
      </c>
      <c r="GZ19" s="280">
        <v>422.8</v>
      </c>
      <c r="HA19" s="280">
        <v>398.6</v>
      </c>
      <c r="HB19" s="280">
        <v>403.2</v>
      </c>
      <c r="HC19" s="158" t="s">
        <v>25</v>
      </c>
      <c r="HD19" s="280">
        <v>329.4</v>
      </c>
      <c r="HE19" s="280">
        <v>379.6</v>
      </c>
      <c r="HF19" s="280">
        <v>423.1</v>
      </c>
      <c r="HG19" s="280">
        <v>391.3</v>
      </c>
      <c r="HH19" s="280">
        <v>365.7</v>
      </c>
      <c r="HI19" s="280">
        <v>410.5</v>
      </c>
      <c r="HJ19" s="280">
        <v>444.5</v>
      </c>
      <c r="HK19" s="280">
        <v>442.4</v>
      </c>
      <c r="HL19" s="280">
        <v>421.8</v>
      </c>
      <c r="HM19" s="280">
        <v>458.5</v>
      </c>
      <c r="HN19" s="158" t="s">
        <v>25</v>
      </c>
      <c r="HO19" s="280">
        <v>584.79999999999995</v>
      </c>
      <c r="HP19" s="280">
        <v>622.6</v>
      </c>
      <c r="HQ19" s="280">
        <v>676.4</v>
      </c>
      <c r="HR19" s="280">
        <v>599.1</v>
      </c>
      <c r="HS19" s="280">
        <v>613.79999999999995</v>
      </c>
      <c r="HT19" s="280">
        <v>680.8</v>
      </c>
      <c r="HU19" s="280">
        <v>756.2</v>
      </c>
      <c r="HV19" s="280">
        <v>665.8</v>
      </c>
      <c r="HW19" s="280">
        <v>631.70000000000005</v>
      </c>
      <c r="HX19" s="280">
        <v>660.5</v>
      </c>
      <c r="HY19" s="158" t="s">
        <v>25</v>
      </c>
      <c r="HZ19" s="280">
        <v>23</v>
      </c>
      <c r="IA19" s="280">
        <v>23.1</v>
      </c>
      <c r="IB19" s="280">
        <v>21.5</v>
      </c>
      <c r="IC19" s="280">
        <v>26.7</v>
      </c>
      <c r="ID19" s="280">
        <v>28.4</v>
      </c>
      <c r="IE19" s="280">
        <v>30.1</v>
      </c>
      <c r="IF19" s="280">
        <v>25.4</v>
      </c>
      <c r="IG19" s="280">
        <v>29.9</v>
      </c>
      <c r="IH19" s="280">
        <v>32.4</v>
      </c>
      <c r="II19" s="280">
        <v>30.2</v>
      </c>
      <c r="IJ19" s="158" t="s">
        <v>25</v>
      </c>
      <c r="IK19" s="281"/>
      <c r="IL19" s="281"/>
      <c r="IM19" s="281"/>
      <c r="IN19" s="281"/>
      <c r="IO19" s="281"/>
      <c r="IP19" s="281"/>
      <c r="IQ19" s="281"/>
      <c r="IR19" s="281"/>
      <c r="IS19" s="281"/>
      <c r="IT19" s="281"/>
      <c r="IU19" s="158" t="s">
        <v>25</v>
      </c>
      <c r="IV19" s="280">
        <v>72</v>
      </c>
      <c r="IW19" s="280">
        <v>97.2</v>
      </c>
      <c r="IX19" s="280">
        <v>107.3</v>
      </c>
      <c r="IY19" s="280">
        <v>73</v>
      </c>
      <c r="IZ19" s="280">
        <v>77.8</v>
      </c>
      <c r="JA19" s="280">
        <v>84.7</v>
      </c>
      <c r="JB19" s="280">
        <v>103.8</v>
      </c>
      <c r="JC19" s="280">
        <v>81.3</v>
      </c>
      <c r="JD19" s="280">
        <v>77.7</v>
      </c>
      <c r="JE19" s="280">
        <v>94</v>
      </c>
      <c r="JF19" s="158" t="s">
        <v>25</v>
      </c>
      <c r="JG19" s="280">
        <v>405.6</v>
      </c>
      <c r="JH19" s="280">
        <v>433.1</v>
      </c>
      <c r="JI19" s="280">
        <v>473.9</v>
      </c>
      <c r="JJ19" s="280">
        <v>459.5</v>
      </c>
      <c r="JK19" s="280">
        <v>469.9</v>
      </c>
      <c r="JL19" s="280">
        <v>479.5</v>
      </c>
      <c r="JM19" s="280">
        <v>480.7</v>
      </c>
      <c r="JN19" s="280">
        <v>462.1</v>
      </c>
      <c r="JO19" s="280">
        <v>439.9</v>
      </c>
      <c r="JP19" s="280">
        <v>485.1</v>
      </c>
      <c r="JQ19" s="158" t="s">
        <v>25</v>
      </c>
      <c r="JR19" s="280">
        <v>214.9</v>
      </c>
      <c r="JS19" s="280">
        <v>245</v>
      </c>
      <c r="JT19" s="280">
        <v>229.8</v>
      </c>
      <c r="JU19" s="280">
        <v>247.7</v>
      </c>
      <c r="JV19" s="280">
        <v>240.7</v>
      </c>
      <c r="JW19" s="280">
        <v>269.10000000000002</v>
      </c>
      <c r="JX19" s="280">
        <v>274.5</v>
      </c>
      <c r="JY19" s="280">
        <v>276.2</v>
      </c>
      <c r="JZ19" s="280">
        <v>263</v>
      </c>
      <c r="KA19" s="280">
        <v>267.89999999999998</v>
      </c>
      <c r="KB19" s="158" t="s">
        <v>25</v>
      </c>
      <c r="KC19" s="280">
        <v>337.3</v>
      </c>
      <c r="KD19" s="280">
        <v>384.8</v>
      </c>
      <c r="KE19" s="280">
        <v>438.2</v>
      </c>
      <c r="KF19" s="280">
        <v>364.8</v>
      </c>
      <c r="KG19" s="280">
        <v>343.9</v>
      </c>
      <c r="KH19" s="280">
        <v>376</v>
      </c>
      <c r="KI19" s="280">
        <v>421.1</v>
      </c>
      <c r="KJ19" s="280">
        <v>426.7</v>
      </c>
      <c r="KK19" s="280">
        <v>406.2</v>
      </c>
      <c r="KL19" s="280">
        <v>426.6</v>
      </c>
      <c r="KM19" s="158" t="s">
        <v>25</v>
      </c>
      <c r="KN19" s="280">
        <v>160.5</v>
      </c>
      <c r="KO19" s="280">
        <v>164</v>
      </c>
      <c r="KP19" s="280">
        <v>167.4</v>
      </c>
      <c r="KQ19" s="280">
        <v>152.4</v>
      </c>
      <c r="KR19" s="280">
        <v>152.69999999999999</v>
      </c>
      <c r="KS19" s="280">
        <v>167.3</v>
      </c>
      <c r="KT19" s="280">
        <v>183.7</v>
      </c>
      <c r="KU19" s="280">
        <v>189.9</v>
      </c>
      <c r="KV19" s="280">
        <v>162</v>
      </c>
      <c r="KW19" s="280">
        <v>173</v>
      </c>
      <c r="KX19" s="158" t="s">
        <v>25</v>
      </c>
      <c r="KY19" s="280">
        <v>132.30000000000001</v>
      </c>
      <c r="KZ19" s="280">
        <v>189</v>
      </c>
      <c r="LA19" s="280">
        <v>228.1</v>
      </c>
      <c r="LB19" s="280">
        <v>161.30000000000001</v>
      </c>
      <c r="LC19" s="280">
        <v>159.69999999999999</v>
      </c>
      <c r="LD19" s="280">
        <v>217.3</v>
      </c>
      <c r="LE19" s="280">
        <v>265.5</v>
      </c>
      <c r="LF19" s="280">
        <v>175.4</v>
      </c>
      <c r="LG19" s="280">
        <v>171.7</v>
      </c>
      <c r="LH19" s="280">
        <v>214.9</v>
      </c>
      <c r="LI19" s="158" t="s">
        <v>25</v>
      </c>
      <c r="LJ19" s="280">
        <v>79.099999999999994</v>
      </c>
      <c r="LK19" s="280">
        <v>87.8</v>
      </c>
      <c r="LL19" s="280">
        <v>87.6</v>
      </c>
      <c r="LM19" s="280">
        <v>94</v>
      </c>
      <c r="LN19" s="280">
        <v>95.5</v>
      </c>
      <c r="LO19" s="280">
        <v>115</v>
      </c>
      <c r="LP19" s="280">
        <v>110.1</v>
      </c>
      <c r="LQ19" s="280">
        <v>93.6</v>
      </c>
      <c r="LR19" s="280">
        <v>89.6</v>
      </c>
      <c r="LS19" s="280">
        <v>85.6</v>
      </c>
      <c r="LT19" s="158" t="s">
        <v>25</v>
      </c>
      <c r="LU19" s="280">
        <v>57.8</v>
      </c>
      <c r="LV19" s="280">
        <v>74.3</v>
      </c>
      <c r="LW19" s="280">
        <v>75.5</v>
      </c>
      <c r="LX19" s="280">
        <v>63.2</v>
      </c>
      <c r="LY19" s="280">
        <v>67.400000000000006</v>
      </c>
      <c r="LZ19" s="280">
        <v>85.6</v>
      </c>
      <c r="MA19" s="280">
        <v>68.099999999999994</v>
      </c>
      <c r="MB19" s="280">
        <v>58.8</v>
      </c>
      <c r="MC19" s="280">
        <v>63.8</v>
      </c>
      <c r="MD19" s="280">
        <v>66.2</v>
      </c>
      <c r="ME19" s="158" t="s">
        <v>25</v>
      </c>
      <c r="MF19" s="280">
        <v>134.69999999999999</v>
      </c>
      <c r="MG19" s="280">
        <v>149.9</v>
      </c>
      <c r="MH19" s="280">
        <v>136.80000000000001</v>
      </c>
      <c r="MI19" s="280">
        <v>137</v>
      </c>
      <c r="MJ19" s="280">
        <v>128.19999999999999</v>
      </c>
      <c r="MK19" s="280">
        <v>145.69999999999999</v>
      </c>
      <c r="ML19" s="280">
        <v>160.1</v>
      </c>
      <c r="MM19" s="280">
        <v>137.5</v>
      </c>
      <c r="MN19" s="280">
        <v>144.19999999999999</v>
      </c>
      <c r="MO19" s="280">
        <v>152.30000000000001</v>
      </c>
      <c r="MP19" s="158" t="s">
        <v>25</v>
      </c>
      <c r="MQ19" s="280">
        <v>149.19999999999999</v>
      </c>
      <c r="MR19" s="280">
        <v>179.6</v>
      </c>
      <c r="MS19" s="280">
        <v>200.4</v>
      </c>
      <c r="MT19" s="280">
        <v>186.5</v>
      </c>
      <c r="MU19" s="280">
        <v>165.1</v>
      </c>
      <c r="MV19" s="280">
        <v>193</v>
      </c>
      <c r="MW19" s="280">
        <v>207</v>
      </c>
      <c r="MX19" s="280">
        <v>198.9</v>
      </c>
      <c r="MY19" s="280">
        <v>186.2</v>
      </c>
      <c r="MZ19" s="280">
        <v>183.6</v>
      </c>
      <c r="NA19" s="158" t="s">
        <v>25</v>
      </c>
      <c r="NB19" s="280">
        <v>357</v>
      </c>
      <c r="NC19" s="280">
        <v>356.9</v>
      </c>
      <c r="ND19" s="280">
        <v>364.5</v>
      </c>
      <c r="NE19" s="280">
        <v>353.5</v>
      </c>
      <c r="NF19" s="280">
        <v>352.8</v>
      </c>
      <c r="NG19" s="280">
        <v>371.9</v>
      </c>
      <c r="NH19" s="280">
        <v>370</v>
      </c>
      <c r="NI19" s="280">
        <v>387.2</v>
      </c>
      <c r="NJ19" s="280">
        <v>356</v>
      </c>
      <c r="NK19" s="280">
        <v>354.4</v>
      </c>
      <c r="NL19" s="158" t="s">
        <v>25</v>
      </c>
      <c r="NM19" s="280">
        <v>394</v>
      </c>
      <c r="NN19" s="280">
        <v>388.5</v>
      </c>
      <c r="NO19" s="280">
        <v>327.2</v>
      </c>
      <c r="NP19" s="280">
        <v>357.7</v>
      </c>
      <c r="NQ19" s="280">
        <v>382.1</v>
      </c>
      <c r="NR19" s="280">
        <v>400.7</v>
      </c>
      <c r="NS19" s="280">
        <v>333.2</v>
      </c>
      <c r="NT19" s="280">
        <v>373.4</v>
      </c>
      <c r="NU19" s="280">
        <v>412.3</v>
      </c>
      <c r="NV19" s="280">
        <v>406.7</v>
      </c>
      <c r="NW19" s="158" t="s">
        <v>25</v>
      </c>
      <c r="NX19" s="280">
        <v>570.1</v>
      </c>
      <c r="NY19" s="280">
        <v>574.1</v>
      </c>
      <c r="NZ19" s="280">
        <v>582.4</v>
      </c>
      <c r="OA19" s="280">
        <v>580</v>
      </c>
      <c r="OB19" s="280">
        <v>593</v>
      </c>
      <c r="OC19" s="280">
        <v>582.29999999999995</v>
      </c>
      <c r="OD19" s="280">
        <v>617.20000000000005</v>
      </c>
      <c r="OE19" s="280">
        <v>601.79999999999995</v>
      </c>
      <c r="OF19" s="280">
        <v>595.5</v>
      </c>
      <c r="OG19" s="280">
        <v>586.20000000000005</v>
      </c>
      <c r="OH19" s="191" t="s">
        <v>25</v>
      </c>
      <c r="OI19" s="192">
        <v>9.9</v>
      </c>
      <c r="OJ19" s="192">
        <v>10.8</v>
      </c>
      <c r="OK19" s="192">
        <v>10.8</v>
      </c>
      <c r="OL19" s="192">
        <v>10.1</v>
      </c>
      <c r="OM19" s="192">
        <v>10</v>
      </c>
      <c r="ON19" s="192">
        <v>10.6</v>
      </c>
      <c r="OO19" s="192">
        <v>10.7</v>
      </c>
      <c r="OP19" s="192">
        <v>9.6</v>
      </c>
      <c r="OQ19" s="192">
        <v>9.6</v>
      </c>
      <c r="OR19" s="192">
        <v>10.3</v>
      </c>
      <c r="OS19" s="158" t="s">
        <v>25</v>
      </c>
      <c r="OT19" s="340">
        <v>0.7</v>
      </c>
      <c r="OU19" s="340">
        <v>-0.2</v>
      </c>
      <c r="OV19" s="340">
        <v>0.2</v>
      </c>
      <c r="OW19" s="340">
        <v>0.6</v>
      </c>
      <c r="OX19" s="340">
        <v>0.8</v>
      </c>
      <c r="OY19" s="340">
        <v>0.7</v>
      </c>
      <c r="OZ19" s="340">
        <v>0.6</v>
      </c>
      <c r="PA19" s="340">
        <v>0.7</v>
      </c>
      <c r="PB19" s="340">
        <v>0.2</v>
      </c>
      <c r="PC19" s="340">
        <v>0.2</v>
      </c>
      <c r="PE19" s="185">
        <f>E19-'[1]Data-temp_employment'!F19</f>
        <v>0.10000000000000142</v>
      </c>
      <c r="PF19" s="185">
        <f>F19-'[1]Data-temp_employment'!G19</f>
        <v>9.9999999999999645E-2</v>
      </c>
      <c r="PG19" s="185">
        <f>O19-'[1]Data-temp_employment'!P19</f>
        <v>32.200000000000273</v>
      </c>
      <c r="PH19" s="185">
        <f>P19-'[1]Data-temp_employment'!Q19</f>
        <v>12.699999999999818</v>
      </c>
      <c r="PI19" s="185">
        <f>AD19-'[1]Data-temp_employment'!AE19</f>
        <v>53</v>
      </c>
      <c r="PJ19" s="185">
        <f>AE19-'[1]Data-temp_employment'!AF19</f>
        <v>19</v>
      </c>
      <c r="PK19" s="185">
        <f>BR19-'[1]Data-temp_employment'!BS19</f>
        <v>-22.900000000000091</v>
      </c>
      <c r="PL19" s="185">
        <f>BS19-'[1]Data-temp_employment'!BT19</f>
        <v>-26.200000000000045</v>
      </c>
      <c r="PM19" s="185">
        <f>CC19-'[1]Data-temp_employment'!CD19</f>
        <v>-29.599999999999966</v>
      </c>
      <c r="PN19" s="185">
        <f>CD19-'[1]Data-temp_employment'!CE19</f>
        <v>-19</v>
      </c>
      <c r="PO19" s="185">
        <f>CR19-'[1]Data-temp_employment'!CS19</f>
        <v>66.100000000000023</v>
      </c>
      <c r="PP19" s="185">
        <f>CS19-'[1]Data-temp_employment'!CT19</f>
        <v>103.5</v>
      </c>
      <c r="PQ19" s="185">
        <f>DC19-'[1]Data-temp_employment'!DD19</f>
        <v>76.5</v>
      </c>
      <c r="PR19" s="185">
        <f>DD19-'[1]Data-temp_employment'!DE19</f>
        <v>98.5</v>
      </c>
      <c r="PS19" s="185">
        <f>DN19-'[1]Data-temp_employment'!DO19</f>
        <v>31.700000000000045</v>
      </c>
      <c r="PT19" s="185">
        <f>DO19-'[1]Data-temp_employment'!DP19</f>
        <v>-15.700000000000045</v>
      </c>
      <c r="PU19" s="185">
        <f>EF19-'[1]Data-temp_employment'!EG19</f>
        <v>0.10000000000000142</v>
      </c>
      <c r="PV19" s="185">
        <f>EG19-'[1]Data-temp_employment'!EH19</f>
        <v>6.7999999999999972</v>
      </c>
      <c r="PW19" s="185">
        <f>EU19-'[1]Data-temp_employment'!EV19</f>
        <v>15.599999999999966</v>
      </c>
      <c r="PX19" s="185">
        <f>EV19-'[1]Data-temp_employment'!EW19</f>
        <v>18.5</v>
      </c>
      <c r="PY19" s="185">
        <f>FF19-'[1]Data-temp_employment'!FG19</f>
        <v>-15.600000000000023</v>
      </c>
      <c r="PZ19" s="185">
        <f>FG19-'[1]Data-temp_employment'!FH19</f>
        <v>-4.8999999999999773</v>
      </c>
      <c r="QA19" s="185">
        <f>FQ19-'[1]Data-temp_employment'!FR19</f>
        <v>56</v>
      </c>
      <c r="QB19" s="185">
        <f>FR19-'[1]Data-temp_employment'!FS19</f>
        <v>25.899999999999977</v>
      </c>
      <c r="QC19" s="185">
        <f>GB19-'[1]Data-temp_employment'!GC19</f>
        <v>36.599999999999909</v>
      </c>
      <c r="QD19" s="185">
        <f>GC19-'[1]Data-temp_employment'!GD19</f>
        <v>10.100000000000023</v>
      </c>
      <c r="QE19" s="185">
        <f>GM19-'[1]Data-temp_employment'!GN19</f>
        <v>-23.699999999999989</v>
      </c>
      <c r="QF19" s="185">
        <f>GN19-'[1]Data-temp_employment'!GO19</f>
        <v>10.400000000000006</v>
      </c>
      <c r="QG19" s="185">
        <f>GX19-'[1]Data-temp_employment'!GY19</f>
        <v>6.7000000000000455</v>
      </c>
      <c r="QH19" s="185">
        <f>GY19-'[1]Data-temp_employment'!GZ19</f>
        <v>20.099999999999966</v>
      </c>
      <c r="QI19" s="185">
        <f>HI19-'[1]Data-temp_employment'!HJ19</f>
        <v>30.899999999999977</v>
      </c>
      <c r="QJ19" s="185">
        <f>HJ19-'[1]Data-temp_employment'!HK19</f>
        <v>21.399999999999977</v>
      </c>
      <c r="QK19" s="185">
        <f>HT19-'[1]Data-temp_employment'!HU19</f>
        <v>58.199999999999932</v>
      </c>
      <c r="QL19" s="185">
        <f>HU19-'[1]Data-temp_employment'!HV19</f>
        <v>79.800000000000068</v>
      </c>
      <c r="QM19" s="185">
        <f>IE19-'[1]Data-temp_employment'!IF19</f>
        <v>7</v>
      </c>
      <c r="QN19" s="185">
        <f>IF19-'[1]Data-temp_employment'!IG19</f>
        <v>3.8999999999999986</v>
      </c>
      <c r="QO19" s="185">
        <f>JA19-'[1]Data-temp_employment'!JB19</f>
        <v>-12.5</v>
      </c>
      <c r="QP19" s="185">
        <f>JB19-'[1]Data-temp_employment'!JC19</f>
        <v>-3.5</v>
      </c>
      <c r="QQ19" s="185">
        <f>JH19-'[1]Data-temp_employment'!JI19</f>
        <v>-32.699999999999989</v>
      </c>
      <c r="QR19" s="185">
        <f>JI19-'[1]Data-temp_employment'!JJ19</f>
        <v>-10.100000000000023</v>
      </c>
      <c r="QS19" s="185">
        <f>JS19-'[1]Data-temp_employment'!JT19</f>
        <v>33.099999999999994</v>
      </c>
      <c r="QT19" s="185">
        <f>JT19-'[1]Data-temp_employment'!JU19</f>
        <v>-0.39999999999997726</v>
      </c>
      <c r="QU19" s="185">
        <f>KD19-'[1]Data-temp_employment'!KE19</f>
        <v>20.100000000000023</v>
      </c>
      <c r="QV19" s="185">
        <f>KE19-'[1]Data-temp_employment'!KF19</f>
        <v>5.5999999999999659</v>
      </c>
      <c r="QW19" s="185">
        <f>KO19-'[1]Data-temp_employment'!KP19</f>
        <v>33</v>
      </c>
      <c r="QX19" s="185">
        <f>KP19-'[1]Data-temp_employment'!KQ19</f>
        <v>9.5</v>
      </c>
      <c r="QY19" s="185">
        <f>LD19-'[1]Data-temp_employment'!LE19</f>
        <v>28.300000000000011</v>
      </c>
      <c r="QZ19" s="185">
        <f>LE19-'[1]Data-temp_employment'!LF19</f>
        <v>37.400000000000006</v>
      </c>
      <c r="RA19" s="185">
        <f>LK19-'[1]Data-temp_employment'!LL19</f>
        <v>14.200000000000003</v>
      </c>
      <c r="RB19" s="185">
        <f>LL19-'[1]Data-temp_employment'!LM19</f>
        <v>0.29999999999999716</v>
      </c>
      <c r="RC19" s="185">
        <f>LV19-'[1]Data-temp_employment'!LW19</f>
        <v>13.099999999999994</v>
      </c>
      <c r="RD19" s="185">
        <f>LW19-'[1]Data-temp_employment'!LX19</f>
        <v>7.2999999999999972</v>
      </c>
      <c r="RE19" s="185">
        <f>MK19-'[1]Data-temp_employment'!ML19</f>
        <v>-4.2000000000000171</v>
      </c>
      <c r="RF19" s="185">
        <f>ML19-'[1]Data-temp_employment'!MM19</f>
        <v>23.299999999999983</v>
      </c>
      <c r="RG19" s="185">
        <f>MV19-'[1]Data-temp_employment'!MW19</f>
        <v>13.400000000000006</v>
      </c>
      <c r="RH19" s="185">
        <f>MW19-'[1]Data-temp_employment'!MX19</f>
        <v>6.5999999999999943</v>
      </c>
      <c r="RI19" s="185">
        <f>NG19-'[1]Data-temp_employment'!NH19</f>
        <v>15</v>
      </c>
      <c r="RJ19" s="185">
        <f>NH19-'[1]Data-temp_employment'!NI19</f>
        <v>5.5</v>
      </c>
      <c r="RK19" s="185">
        <f>NR19-'[1]Data-temp_employment'!NS19</f>
        <v>12.199999999999989</v>
      </c>
      <c r="RL19" s="185">
        <f>NS19-'[1]Data-temp_employment'!NT19</f>
        <v>6</v>
      </c>
      <c r="RM19" s="185">
        <f>OC19-'[1]Data-temp_employment'!OD19</f>
        <v>8.1999999999999318</v>
      </c>
      <c r="RN19" s="185">
        <f>OD19-'[1]Data-temp_employment'!OE19</f>
        <v>34.800000000000068</v>
      </c>
      <c r="RO19" s="185">
        <f>OT19-'[1]Data-temp_employment'!OV19</f>
        <v>0.7</v>
      </c>
      <c r="RP19" s="185">
        <f>OU19-'[1]Data-temp_employment'!OW19</f>
        <v>-0.60000000000000009</v>
      </c>
    </row>
    <row r="20" spans="1:485">
      <c r="A20" s="204">
        <v>17</v>
      </c>
      <c r="B20" s="158" t="s">
        <v>49</v>
      </c>
      <c r="C20" s="332">
        <v>13</v>
      </c>
      <c r="D20" s="332">
        <v>13.1</v>
      </c>
      <c r="E20" s="332">
        <v>13.2</v>
      </c>
      <c r="F20" s="332">
        <v>13.7</v>
      </c>
      <c r="G20" s="332">
        <v>12.8</v>
      </c>
      <c r="H20" s="332">
        <v>12.8</v>
      </c>
      <c r="I20" s="332">
        <v>12.9</v>
      </c>
      <c r="J20" s="332">
        <v>13.2</v>
      </c>
      <c r="K20" s="332">
        <v>12.5</v>
      </c>
      <c r="L20" s="332">
        <v>12.6</v>
      </c>
      <c r="M20" s="158" t="s">
        <v>49</v>
      </c>
      <c r="N20" s="332">
        <v>4690.2</v>
      </c>
      <c r="O20" s="332">
        <v>4709.7</v>
      </c>
      <c r="P20" s="332">
        <v>4785.8999999999996</v>
      </c>
      <c r="Q20" s="332">
        <v>5004.3999999999996</v>
      </c>
      <c r="R20" s="332">
        <v>4656.2</v>
      </c>
      <c r="S20" s="332">
        <v>4652.3</v>
      </c>
      <c r="T20" s="332">
        <v>4767.3999999999996</v>
      </c>
      <c r="U20" s="332">
        <v>4880.8</v>
      </c>
      <c r="V20" s="332">
        <v>4599.3999999999996</v>
      </c>
      <c r="W20" s="332">
        <v>4599.5</v>
      </c>
      <c r="X20" s="158" t="s">
        <v>49</v>
      </c>
      <c r="Y20" s="336"/>
      <c r="Z20" s="336"/>
      <c r="AA20" s="336"/>
      <c r="AB20" s="336"/>
      <c r="AC20" s="336"/>
      <c r="AD20" s="336"/>
      <c r="AE20" s="336"/>
      <c r="AF20" s="336"/>
      <c r="AG20" s="336"/>
      <c r="AH20" s="336"/>
      <c r="AI20" s="158" t="s">
        <v>49</v>
      </c>
      <c r="AJ20" s="332">
        <v>151.6</v>
      </c>
      <c r="AK20" s="332">
        <v>182.3</v>
      </c>
      <c r="AL20" s="332">
        <v>186.7</v>
      </c>
      <c r="AM20" s="332">
        <v>166.2</v>
      </c>
      <c r="AN20" s="332">
        <v>137.80000000000001</v>
      </c>
      <c r="AO20" s="332">
        <v>149.80000000000001</v>
      </c>
      <c r="AP20" s="332">
        <v>185</v>
      </c>
      <c r="AQ20" s="332">
        <v>153</v>
      </c>
      <c r="AR20" s="332">
        <v>113.1</v>
      </c>
      <c r="AS20" s="332">
        <v>144</v>
      </c>
      <c r="AT20" s="158" t="s">
        <v>49</v>
      </c>
      <c r="AU20" s="332">
        <v>543.29999999999995</v>
      </c>
      <c r="AV20" s="332">
        <v>571.20000000000005</v>
      </c>
      <c r="AW20" s="332">
        <v>564.1</v>
      </c>
      <c r="AX20" s="332">
        <v>576.4</v>
      </c>
      <c r="AY20" s="332">
        <v>529.5</v>
      </c>
      <c r="AZ20" s="332">
        <v>532.5</v>
      </c>
      <c r="BA20" s="332">
        <v>574.4</v>
      </c>
      <c r="BB20" s="332">
        <v>552.4</v>
      </c>
      <c r="BC20" s="332">
        <v>521.5</v>
      </c>
      <c r="BD20" s="332">
        <v>534.79999999999995</v>
      </c>
      <c r="BE20" s="158" t="s">
        <v>49</v>
      </c>
      <c r="BF20" s="280">
        <v>1367.9</v>
      </c>
      <c r="BG20" s="280">
        <v>1359.7</v>
      </c>
      <c r="BH20" s="280">
        <v>1369.5</v>
      </c>
      <c r="BI20" s="280">
        <v>1418.2</v>
      </c>
      <c r="BJ20" s="280">
        <v>1328</v>
      </c>
      <c r="BK20" s="280">
        <v>1353.3</v>
      </c>
      <c r="BL20" s="280">
        <v>1365.7</v>
      </c>
      <c r="BM20" s="280">
        <v>1385.5</v>
      </c>
      <c r="BN20" s="280">
        <v>1291.7</v>
      </c>
      <c r="BO20" s="280">
        <v>1323</v>
      </c>
      <c r="BP20" s="158" t="s">
        <v>49</v>
      </c>
      <c r="BQ20" s="7">
        <v>743.59999999999991</v>
      </c>
      <c r="BR20" s="7">
        <v>735</v>
      </c>
      <c r="BS20" s="7">
        <v>738</v>
      </c>
      <c r="BT20" s="7">
        <v>759</v>
      </c>
      <c r="BU20" s="7">
        <v>732.5</v>
      </c>
      <c r="BV20" s="7">
        <v>717.4</v>
      </c>
      <c r="BW20" s="7">
        <v>728.1</v>
      </c>
      <c r="BX20" s="7">
        <v>732.3</v>
      </c>
      <c r="BY20" s="7">
        <v>682.2</v>
      </c>
      <c r="BZ20" s="7">
        <v>708.69999999999993</v>
      </c>
      <c r="CA20" s="158" t="s">
        <v>49</v>
      </c>
      <c r="CB20" s="7">
        <v>1766.1</v>
      </c>
      <c r="CC20" s="7">
        <v>1718.8</v>
      </c>
      <c r="CD20" s="7">
        <v>1772</v>
      </c>
      <c r="CE20" s="7">
        <v>1940.8</v>
      </c>
      <c r="CF20" s="7">
        <v>1787.1</v>
      </c>
      <c r="CG20" s="7">
        <v>1756.6000000000001</v>
      </c>
      <c r="CH20" s="7">
        <v>1758.2</v>
      </c>
      <c r="CI20" s="7">
        <v>1909</v>
      </c>
      <c r="CJ20" s="7">
        <v>1877</v>
      </c>
      <c r="CK20" s="7">
        <v>1756.1</v>
      </c>
      <c r="CL20" s="158" t="s">
        <v>49</v>
      </c>
      <c r="CM20" s="280">
        <v>1379.5</v>
      </c>
      <c r="CN20" s="280">
        <v>1395.7</v>
      </c>
      <c r="CO20" s="280">
        <v>1397.8</v>
      </c>
      <c r="CP20" s="280">
        <v>1538.3</v>
      </c>
      <c r="CQ20" s="280">
        <v>1427.3</v>
      </c>
      <c r="CR20" s="280">
        <v>1376.9</v>
      </c>
      <c r="CS20" s="280">
        <v>1417.1</v>
      </c>
      <c r="CT20" s="280">
        <v>1447.7</v>
      </c>
      <c r="CU20" s="280">
        <v>1436.6</v>
      </c>
      <c r="CV20" s="280">
        <v>1403.2</v>
      </c>
      <c r="CW20" s="158" t="s">
        <v>49</v>
      </c>
      <c r="CX20" s="280">
        <v>2326.1999999999998</v>
      </c>
      <c r="CY20" s="280">
        <v>2315.4</v>
      </c>
      <c r="CZ20" s="280">
        <v>2332.5</v>
      </c>
      <c r="DA20" s="280">
        <v>2427.1999999999998</v>
      </c>
      <c r="DB20" s="280">
        <v>2229.3000000000002</v>
      </c>
      <c r="DC20" s="280">
        <v>2271.3000000000002</v>
      </c>
      <c r="DD20" s="280">
        <v>2294.1999999999998</v>
      </c>
      <c r="DE20" s="280">
        <v>2360.9</v>
      </c>
      <c r="DF20" s="280">
        <v>2186.4</v>
      </c>
      <c r="DG20" s="280">
        <v>2174.3000000000002</v>
      </c>
      <c r="DH20" s="158" t="s">
        <v>49</v>
      </c>
      <c r="DI20" s="280">
        <v>976.1</v>
      </c>
      <c r="DJ20" s="280">
        <v>989.6</v>
      </c>
      <c r="DK20" s="280">
        <v>1043.7</v>
      </c>
      <c r="DL20" s="280">
        <v>1028.4000000000001</v>
      </c>
      <c r="DM20" s="280">
        <v>984.7</v>
      </c>
      <c r="DN20" s="280">
        <v>991.6</v>
      </c>
      <c r="DO20" s="280">
        <v>1043.4000000000001</v>
      </c>
      <c r="DP20" s="280">
        <v>1059.9000000000001</v>
      </c>
      <c r="DQ20" s="280">
        <v>959.3</v>
      </c>
      <c r="DR20" s="280">
        <v>1007</v>
      </c>
      <c r="DS20" s="158" t="s">
        <v>49</v>
      </c>
      <c r="DT20" s="281"/>
      <c r="DU20" s="281"/>
      <c r="DV20" s="281"/>
      <c r="DW20" s="281"/>
      <c r="DX20" s="281"/>
      <c r="DY20" s="281"/>
      <c r="DZ20" s="281"/>
      <c r="EA20" s="281"/>
      <c r="EB20" s="281"/>
      <c r="EC20" s="281"/>
      <c r="ED20" s="158" t="s">
        <v>49</v>
      </c>
      <c r="EE20" s="280">
        <v>46.1</v>
      </c>
      <c r="EF20" s="280">
        <v>53.5</v>
      </c>
      <c r="EG20" s="280">
        <v>59.3</v>
      </c>
      <c r="EH20" s="280">
        <v>57</v>
      </c>
      <c r="EI20" s="280">
        <v>43</v>
      </c>
      <c r="EJ20" s="280">
        <v>47.9</v>
      </c>
      <c r="EK20" s="280">
        <v>51.4</v>
      </c>
      <c r="EL20" s="280">
        <v>49.4</v>
      </c>
      <c r="EM20" s="280">
        <v>39.799999999999997</v>
      </c>
      <c r="EN20" s="280">
        <v>43.9</v>
      </c>
      <c r="EO20" s="158" t="s">
        <v>49</v>
      </c>
      <c r="EP20" s="280">
        <v>767.1</v>
      </c>
      <c r="EQ20" s="280">
        <v>769.6</v>
      </c>
      <c r="ER20" s="280">
        <v>800.8</v>
      </c>
      <c r="ES20" s="280">
        <v>795</v>
      </c>
      <c r="ET20" s="280">
        <v>764.2</v>
      </c>
      <c r="EU20" s="280">
        <v>787</v>
      </c>
      <c r="EV20" s="280">
        <v>801.7</v>
      </c>
      <c r="EW20" s="280">
        <v>813.3</v>
      </c>
      <c r="EX20" s="280">
        <v>758.8</v>
      </c>
      <c r="EY20" s="280">
        <v>779.7</v>
      </c>
      <c r="EZ20" s="158" t="s">
        <v>49</v>
      </c>
      <c r="FA20" s="280">
        <v>1035.4000000000001</v>
      </c>
      <c r="FB20" s="280">
        <v>1005.9</v>
      </c>
      <c r="FC20" s="280">
        <v>992.8</v>
      </c>
      <c r="FD20" s="280">
        <v>1055</v>
      </c>
      <c r="FE20" s="280">
        <v>1008.9</v>
      </c>
      <c r="FF20" s="280">
        <v>992.1</v>
      </c>
      <c r="FG20" s="280">
        <v>983.3</v>
      </c>
      <c r="FH20" s="280">
        <v>1040.5999999999999</v>
      </c>
      <c r="FI20" s="280">
        <v>1025.8</v>
      </c>
      <c r="FJ20" s="280">
        <v>991.6</v>
      </c>
      <c r="FK20" s="158" t="s">
        <v>49</v>
      </c>
      <c r="FL20" s="280">
        <v>612.1</v>
      </c>
      <c r="FM20" s="280">
        <v>619.20000000000005</v>
      </c>
      <c r="FN20" s="280">
        <v>615.9</v>
      </c>
      <c r="FO20" s="280">
        <v>644.70000000000005</v>
      </c>
      <c r="FP20" s="280">
        <v>598.5</v>
      </c>
      <c r="FQ20" s="280">
        <v>607.6</v>
      </c>
      <c r="FR20" s="280">
        <v>614.29999999999995</v>
      </c>
      <c r="FS20" s="280">
        <v>633.20000000000005</v>
      </c>
      <c r="FT20" s="280">
        <v>565.29999999999995</v>
      </c>
      <c r="FU20" s="280">
        <v>574</v>
      </c>
      <c r="FV20" s="158" t="s">
        <v>49</v>
      </c>
      <c r="FW20" s="280">
        <v>794.3</v>
      </c>
      <c r="FX20" s="280">
        <v>831.2</v>
      </c>
      <c r="FY20" s="280">
        <v>818.1</v>
      </c>
      <c r="FZ20" s="280">
        <v>849.3</v>
      </c>
      <c r="GA20" s="280">
        <v>793.4</v>
      </c>
      <c r="GB20" s="280">
        <v>816.3</v>
      </c>
      <c r="GC20" s="280">
        <v>828.8</v>
      </c>
      <c r="GD20" s="280">
        <v>822.5</v>
      </c>
      <c r="GE20" s="280">
        <v>789.7</v>
      </c>
      <c r="GF20" s="280">
        <v>746.2</v>
      </c>
      <c r="GG20" s="158" t="s">
        <v>49</v>
      </c>
      <c r="GH20" s="280">
        <v>48.6</v>
      </c>
      <c r="GI20" s="280">
        <v>43.9</v>
      </c>
      <c r="GJ20" s="280">
        <v>43.8</v>
      </c>
      <c r="GK20" s="280">
        <v>48.9</v>
      </c>
      <c r="GL20" s="280">
        <v>41.4</v>
      </c>
      <c r="GM20" s="280">
        <v>42.3</v>
      </c>
      <c r="GN20" s="280">
        <v>49.9</v>
      </c>
      <c r="GO20" s="280">
        <v>40.4</v>
      </c>
      <c r="GP20" s="280">
        <v>45.5</v>
      </c>
      <c r="GQ20" s="280">
        <v>42.6</v>
      </c>
      <c r="GR20" s="158" t="s">
        <v>49</v>
      </c>
      <c r="GS20" s="280">
        <v>685.7</v>
      </c>
      <c r="GT20" s="280">
        <v>626.29999999999995</v>
      </c>
      <c r="GU20" s="280">
        <v>665.5</v>
      </c>
      <c r="GV20" s="280">
        <v>741.4</v>
      </c>
      <c r="GW20" s="280">
        <v>651.79999999999995</v>
      </c>
      <c r="GX20" s="280">
        <v>633.20000000000005</v>
      </c>
      <c r="GY20" s="280">
        <v>649.6</v>
      </c>
      <c r="GZ20" s="280">
        <v>707.1</v>
      </c>
      <c r="HA20" s="280">
        <v>672.9</v>
      </c>
      <c r="HB20" s="280">
        <v>665.4</v>
      </c>
      <c r="HC20" s="158" t="s">
        <v>49</v>
      </c>
      <c r="HD20" s="280">
        <v>225.4</v>
      </c>
      <c r="HE20" s="280">
        <v>222.6</v>
      </c>
      <c r="HF20" s="280">
        <v>244.9</v>
      </c>
      <c r="HG20" s="280">
        <v>248.2</v>
      </c>
      <c r="HH20" s="280">
        <v>209.4</v>
      </c>
      <c r="HI20" s="280">
        <v>229.5</v>
      </c>
      <c r="HJ20" s="280">
        <v>257.8</v>
      </c>
      <c r="HK20" s="280">
        <v>240.5</v>
      </c>
      <c r="HL20" s="280">
        <v>220.3</v>
      </c>
      <c r="HM20" s="280">
        <v>231.9</v>
      </c>
      <c r="HN20" s="158" t="s">
        <v>49</v>
      </c>
      <c r="HO20" s="280">
        <v>368.7</v>
      </c>
      <c r="HP20" s="280">
        <v>434</v>
      </c>
      <c r="HQ20" s="280">
        <v>443.1</v>
      </c>
      <c r="HR20" s="280">
        <v>437.5</v>
      </c>
      <c r="HS20" s="280">
        <v>429.1</v>
      </c>
      <c r="HT20" s="280">
        <v>385</v>
      </c>
      <c r="HU20" s="280">
        <v>439.3</v>
      </c>
      <c r="HV20" s="280">
        <v>421.8</v>
      </c>
      <c r="HW20" s="280">
        <v>375.6</v>
      </c>
      <c r="HX20" s="280">
        <v>424.8</v>
      </c>
      <c r="HY20" s="158" t="s">
        <v>49</v>
      </c>
      <c r="HZ20" s="280">
        <v>96.3</v>
      </c>
      <c r="IA20" s="280">
        <v>92</v>
      </c>
      <c r="IB20" s="280">
        <v>86.9</v>
      </c>
      <c r="IC20" s="280">
        <v>110.8</v>
      </c>
      <c r="ID20" s="280">
        <v>103.1</v>
      </c>
      <c r="IE20" s="280">
        <v>98.9</v>
      </c>
      <c r="IF20" s="280">
        <v>75.3</v>
      </c>
      <c r="IG20" s="280">
        <v>96.9</v>
      </c>
      <c r="IH20" s="280">
        <v>101</v>
      </c>
      <c r="II20" s="280">
        <v>85.1</v>
      </c>
      <c r="IJ20" s="158" t="s">
        <v>49</v>
      </c>
      <c r="IK20" s="281"/>
      <c r="IL20" s="281"/>
      <c r="IM20" s="281"/>
      <c r="IN20" s="281"/>
      <c r="IO20" s="281"/>
      <c r="IP20" s="281"/>
      <c r="IQ20" s="281"/>
      <c r="IR20" s="281"/>
      <c r="IS20" s="281"/>
      <c r="IT20" s="281"/>
      <c r="IU20" s="158" t="s">
        <v>49</v>
      </c>
      <c r="IV20" s="280">
        <v>29.2</v>
      </c>
      <c r="IW20" s="280">
        <v>32.1</v>
      </c>
      <c r="IX20" s="280">
        <v>37.4</v>
      </c>
      <c r="IY20" s="280">
        <v>25</v>
      </c>
      <c r="IZ20" s="280">
        <v>32.4</v>
      </c>
      <c r="JA20" s="280">
        <v>24.9</v>
      </c>
      <c r="JB20" s="280">
        <v>36.6</v>
      </c>
      <c r="JC20" s="280">
        <v>25.1</v>
      </c>
      <c r="JD20" s="280">
        <v>30.1</v>
      </c>
      <c r="JE20" s="281"/>
      <c r="JF20" s="158" t="s">
        <v>49</v>
      </c>
      <c r="JG20" s="280">
        <v>764.3</v>
      </c>
      <c r="JH20" s="280">
        <v>757.6</v>
      </c>
      <c r="JI20" s="280">
        <v>831.5</v>
      </c>
      <c r="JJ20" s="280">
        <v>852.2</v>
      </c>
      <c r="JK20" s="280">
        <v>777.2</v>
      </c>
      <c r="JL20" s="280">
        <v>762.3</v>
      </c>
      <c r="JM20" s="280">
        <v>804.9</v>
      </c>
      <c r="JN20" s="280">
        <v>824.6</v>
      </c>
      <c r="JO20" s="280">
        <v>736</v>
      </c>
      <c r="JP20" s="280">
        <v>776.9</v>
      </c>
      <c r="JQ20" s="158" t="s">
        <v>49</v>
      </c>
      <c r="JR20" s="280">
        <v>236</v>
      </c>
      <c r="JS20" s="280">
        <v>245</v>
      </c>
      <c r="JT20" s="280">
        <v>238.6</v>
      </c>
      <c r="JU20" s="280">
        <v>256.39999999999998</v>
      </c>
      <c r="JV20" s="280">
        <v>222.2</v>
      </c>
      <c r="JW20" s="280">
        <v>250.3</v>
      </c>
      <c r="JX20" s="280">
        <v>233.3</v>
      </c>
      <c r="JY20" s="280">
        <v>259.2</v>
      </c>
      <c r="JZ20" s="280">
        <v>226.4</v>
      </c>
      <c r="KA20" s="280">
        <v>248.4</v>
      </c>
      <c r="KB20" s="158" t="s">
        <v>49</v>
      </c>
      <c r="KC20" s="280">
        <v>665.5</v>
      </c>
      <c r="KD20" s="280">
        <v>634.6</v>
      </c>
      <c r="KE20" s="280">
        <v>629.20000000000005</v>
      </c>
      <c r="KF20" s="280">
        <v>725.5</v>
      </c>
      <c r="KG20" s="280">
        <v>705</v>
      </c>
      <c r="KH20" s="280">
        <v>638.9</v>
      </c>
      <c r="KI20" s="280">
        <v>684.1</v>
      </c>
      <c r="KJ20" s="280">
        <v>681.7</v>
      </c>
      <c r="KK20" s="280">
        <v>670.7</v>
      </c>
      <c r="KL20" s="280">
        <v>654.20000000000005</v>
      </c>
      <c r="KM20" s="158" t="s">
        <v>49</v>
      </c>
      <c r="KN20" s="280">
        <v>202.5</v>
      </c>
      <c r="KO20" s="280">
        <v>205.1</v>
      </c>
      <c r="KP20" s="280">
        <v>218.2</v>
      </c>
      <c r="KQ20" s="280">
        <v>216</v>
      </c>
      <c r="KR20" s="280">
        <v>189.9</v>
      </c>
      <c r="KS20" s="280">
        <v>210.4</v>
      </c>
      <c r="KT20" s="280">
        <v>218</v>
      </c>
      <c r="KU20" s="280">
        <v>224.5</v>
      </c>
      <c r="KV20" s="280">
        <v>212.1</v>
      </c>
      <c r="KW20" s="280">
        <v>188</v>
      </c>
      <c r="KX20" s="158" t="s">
        <v>49</v>
      </c>
      <c r="KY20" s="280">
        <v>202.1</v>
      </c>
      <c r="KZ20" s="280">
        <v>238.7</v>
      </c>
      <c r="LA20" s="280">
        <v>229.5</v>
      </c>
      <c r="LB20" s="280">
        <v>209.9</v>
      </c>
      <c r="LC20" s="280">
        <v>183.6</v>
      </c>
      <c r="LD20" s="280">
        <v>192.8</v>
      </c>
      <c r="LE20" s="280">
        <v>216</v>
      </c>
      <c r="LF20" s="280">
        <v>200.1</v>
      </c>
      <c r="LG20" s="280">
        <v>179.9</v>
      </c>
      <c r="LH20" s="280">
        <v>200</v>
      </c>
      <c r="LI20" s="158" t="s">
        <v>49</v>
      </c>
      <c r="LJ20" s="280">
        <v>109.3</v>
      </c>
      <c r="LK20" s="280">
        <v>115.2</v>
      </c>
      <c r="LL20" s="280">
        <v>119</v>
      </c>
      <c r="LM20" s="280">
        <v>119</v>
      </c>
      <c r="LN20" s="280">
        <v>107.8</v>
      </c>
      <c r="LO20" s="280">
        <v>107.2</v>
      </c>
      <c r="LP20" s="280">
        <v>115.9</v>
      </c>
      <c r="LQ20" s="280">
        <v>113.5</v>
      </c>
      <c r="LR20" s="280">
        <v>126.3</v>
      </c>
      <c r="LS20" s="280">
        <v>111.5</v>
      </c>
      <c r="LT20" s="158" t="s">
        <v>49</v>
      </c>
      <c r="LU20" s="280">
        <v>87.2</v>
      </c>
      <c r="LV20" s="280">
        <v>90.9</v>
      </c>
      <c r="LW20" s="280">
        <v>94.7</v>
      </c>
      <c r="LX20" s="280">
        <v>93.1</v>
      </c>
      <c r="LY20" s="280">
        <v>73.599999999999994</v>
      </c>
      <c r="LZ20" s="280">
        <v>90.1</v>
      </c>
      <c r="MA20" s="280">
        <v>81.8</v>
      </c>
      <c r="MB20" s="280">
        <v>88.9</v>
      </c>
      <c r="MC20" s="280">
        <v>85.8</v>
      </c>
      <c r="MD20" s="280">
        <v>78</v>
      </c>
      <c r="ME20" s="158" t="s">
        <v>49</v>
      </c>
      <c r="MF20" s="280">
        <v>227.7</v>
      </c>
      <c r="MG20" s="280">
        <v>222.5</v>
      </c>
      <c r="MH20" s="280">
        <v>243.9</v>
      </c>
      <c r="MI20" s="280">
        <v>247.4</v>
      </c>
      <c r="MJ20" s="280">
        <v>213.7</v>
      </c>
      <c r="MK20" s="280">
        <v>223.8</v>
      </c>
      <c r="ML20" s="280">
        <v>239.1</v>
      </c>
      <c r="MM20" s="280">
        <v>237.3</v>
      </c>
      <c r="MN20" s="280">
        <v>206.9</v>
      </c>
      <c r="MO20" s="280">
        <v>198.9</v>
      </c>
      <c r="MP20" s="158" t="s">
        <v>49</v>
      </c>
      <c r="MQ20" s="280">
        <v>240.2</v>
      </c>
      <c r="MR20" s="280">
        <v>246.6</v>
      </c>
      <c r="MS20" s="280">
        <v>262</v>
      </c>
      <c r="MT20" s="280">
        <v>248.3</v>
      </c>
      <c r="MU20" s="280">
        <v>231.8</v>
      </c>
      <c r="MV20" s="280">
        <v>245</v>
      </c>
      <c r="MW20" s="280">
        <v>248.4</v>
      </c>
      <c r="MX20" s="280">
        <v>235.7</v>
      </c>
      <c r="MY20" s="280">
        <v>219</v>
      </c>
      <c r="MZ20" s="280">
        <v>243</v>
      </c>
      <c r="NA20" s="158" t="s">
        <v>49</v>
      </c>
      <c r="NB20" s="280">
        <v>359.8</v>
      </c>
      <c r="NC20" s="280">
        <v>358.8</v>
      </c>
      <c r="ND20" s="280">
        <v>350.2</v>
      </c>
      <c r="NE20" s="280">
        <v>371.7</v>
      </c>
      <c r="NF20" s="280">
        <v>362</v>
      </c>
      <c r="NG20" s="280">
        <v>339.8</v>
      </c>
      <c r="NH20" s="280">
        <v>331.9</v>
      </c>
      <c r="NI20" s="280">
        <v>371.9</v>
      </c>
      <c r="NJ20" s="280">
        <v>345.9</v>
      </c>
      <c r="NK20" s="280">
        <v>328.6</v>
      </c>
      <c r="NL20" s="158" t="s">
        <v>49</v>
      </c>
      <c r="NM20" s="280">
        <v>521.70000000000005</v>
      </c>
      <c r="NN20" s="280">
        <v>521.6</v>
      </c>
      <c r="NO20" s="280">
        <v>486</v>
      </c>
      <c r="NP20" s="280">
        <v>549.9</v>
      </c>
      <c r="NQ20" s="280">
        <v>523.79999999999995</v>
      </c>
      <c r="NR20" s="280">
        <v>523.20000000000005</v>
      </c>
      <c r="NS20" s="280">
        <v>517.1</v>
      </c>
      <c r="NT20" s="280">
        <v>537</v>
      </c>
      <c r="NU20" s="280">
        <v>542.9</v>
      </c>
      <c r="NV20" s="280">
        <v>537.5</v>
      </c>
      <c r="NW20" s="158" t="s">
        <v>49</v>
      </c>
      <c r="NX20" s="280">
        <v>768.2</v>
      </c>
      <c r="NY20" s="280">
        <v>779.8</v>
      </c>
      <c r="NZ20" s="280">
        <v>746</v>
      </c>
      <c r="OA20" s="280">
        <v>803.1</v>
      </c>
      <c r="OB20" s="280">
        <v>750.5</v>
      </c>
      <c r="OC20" s="280">
        <v>768.4</v>
      </c>
      <c r="OD20" s="280">
        <v>755.4</v>
      </c>
      <c r="OE20" s="280">
        <v>771.6</v>
      </c>
      <c r="OF20" s="280">
        <v>754</v>
      </c>
      <c r="OG20" s="280">
        <v>755</v>
      </c>
      <c r="OH20" s="191" t="s">
        <v>49</v>
      </c>
      <c r="OI20" s="192">
        <v>4.8</v>
      </c>
      <c r="OJ20" s="192">
        <v>4.8</v>
      </c>
      <c r="OK20" s="192">
        <v>5</v>
      </c>
      <c r="OL20" s="192">
        <v>4.7</v>
      </c>
      <c r="OM20" s="192">
        <v>4.4000000000000004</v>
      </c>
      <c r="ON20" s="192">
        <v>4.5</v>
      </c>
      <c r="OO20" s="192">
        <v>4.5</v>
      </c>
      <c r="OP20" s="192">
        <v>4.2</v>
      </c>
      <c r="OQ20" s="192">
        <v>4</v>
      </c>
      <c r="OR20" s="192">
        <v>3.8</v>
      </c>
      <c r="OS20" s="158" t="s">
        <v>49</v>
      </c>
      <c r="OT20" s="340">
        <v>0.9</v>
      </c>
      <c r="OU20" s="340">
        <v>0.4</v>
      </c>
      <c r="OV20" s="340">
        <v>0.2</v>
      </c>
      <c r="OW20" s="340">
        <v>0.4</v>
      </c>
      <c r="OX20" s="340">
        <v>1.1000000000000001</v>
      </c>
      <c r="OY20" s="340">
        <v>0.5</v>
      </c>
      <c r="OZ20" s="340">
        <v>0.6</v>
      </c>
      <c r="PA20" s="340">
        <v>0.5</v>
      </c>
      <c r="PB20" s="340">
        <v>0.4</v>
      </c>
      <c r="PC20" s="340">
        <v>0.5</v>
      </c>
      <c r="PE20" s="185">
        <f>E20-'[1]Data-temp_employment'!F20</f>
        <v>0</v>
      </c>
      <c r="PF20" s="185">
        <f>F20-'[1]Data-temp_employment'!G20</f>
        <v>0.29999999999999893</v>
      </c>
      <c r="PG20" s="185">
        <f>O20-'[1]Data-temp_employment'!P20</f>
        <v>182.5</v>
      </c>
      <c r="PH20" s="185">
        <f>P20-'[1]Data-temp_employment'!Q20</f>
        <v>137.69999999999982</v>
      </c>
      <c r="PI20" s="185">
        <f>AD20-'[1]Data-temp_employment'!AE20</f>
        <v>0</v>
      </c>
      <c r="PJ20" s="185">
        <f>AE20-'[1]Data-temp_employment'!AF20</f>
        <v>0</v>
      </c>
      <c r="PK20" s="185">
        <f>BR20-'[1]Data-temp_employment'!BS20</f>
        <v>73.699999999999932</v>
      </c>
      <c r="PL20" s="185">
        <f>BS20-'[1]Data-temp_employment'!BT20</f>
        <v>27.899999999999977</v>
      </c>
      <c r="PM20" s="185">
        <f>CC20-'[1]Data-temp_employment'!CD20</f>
        <v>-7.5000000000002274</v>
      </c>
      <c r="PN20" s="185">
        <f>CD20-'[1]Data-temp_employment'!CE20</f>
        <v>43.300000000000182</v>
      </c>
      <c r="PO20" s="185">
        <f>CR20-'[1]Data-temp_employment'!CS20</f>
        <v>-18.799999999999955</v>
      </c>
      <c r="PP20" s="185">
        <f>CS20-'[1]Data-temp_employment'!CT20</f>
        <v>19.299999999999955</v>
      </c>
      <c r="PQ20" s="185">
        <f>DC20-'[1]Data-temp_employment'!DD20</f>
        <v>-44.099999999999909</v>
      </c>
      <c r="PR20" s="185">
        <f>DD20-'[1]Data-temp_employment'!DE20</f>
        <v>-38.300000000000182</v>
      </c>
      <c r="PS20" s="185">
        <f>DN20-'[1]Data-temp_employment'!DO20</f>
        <v>2</v>
      </c>
      <c r="PT20" s="185">
        <f>DO20-'[1]Data-temp_employment'!DP20</f>
        <v>-0.29999999999995453</v>
      </c>
      <c r="PU20" s="185">
        <f>EF20-'[1]Data-temp_employment'!EG20</f>
        <v>5.3999999999999986</v>
      </c>
      <c r="PV20" s="185">
        <f>EG20-'[1]Data-temp_employment'!EH20</f>
        <v>9.3999999999999986</v>
      </c>
      <c r="PW20" s="185">
        <f>EU20-'[1]Data-temp_employment'!EV20</f>
        <v>17.399999999999977</v>
      </c>
      <c r="PX20" s="185">
        <f>EV20-'[1]Data-temp_employment'!EW20</f>
        <v>0.90000000000009095</v>
      </c>
      <c r="PY20" s="185">
        <f>FF20-'[1]Data-temp_employment'!FG20</f>
        <v>-13.799999999999955</v>
      </c>
      <c r="PZ20" s="185">
        <f>FG20-'[1]Data-temp_employment'!FH20</f>
        <v>-9.5</v>
      </c>
      <c r="QA20" s="185">
        <f>FQ20-'[1]Data-temp_employment'!FR20</f>
        <v>-11.600000000000023</v>
      </c>
      <c r="QB20" s="185">
        <f>FR20-'[1]Data-temp_employment'!FS20</f>
        <v>-1.6000000000000227</v>
      </c>
      <c r="QC20" s="185">
        <f>GB20-'[1]Data-temp_employment'!GC20</f>
        <v>-14.900000000000091</v>
      </c>
      <c r="QD20" s="185">
        <f>GC20-'[1]Data-temp_employment'!GD20</f>
        <v>10.699999999999932</v>
      </c>
      <c r="QE20" s="185">
        <f>GM20-'[1]Data-temp_employment'!GN20</f>
        <v>-1.6000000000000014</v>
      </c>
      <c r="QF20" s="185">
        <f>GN20-'[1]Data-temp_employment'!GO20</f>
        <v>6.1000000000000014</v>
      </c>
      <c r="QG20" s="185">
        <f>GX20-'[1]Data-temp_employment'!GY20</f>
        <v>6.9000000000000909</v>
      </c>
      <c r="QH20" s="185">
        <f>GY20-'[1]Data-temp_employment'!GZ20</f>
        <v>-15.899999999999977</v>
      </c>
      <c r="QI20" s="185">
        <f>HI20-'[1]Data-temp_employment'!HJ20</f>
        <v>6.9000000000000057</v>
      </c>
      <c r="QJ20" s="185">
        <f>HJ20-'[1]Data-temp_employment'!HK20</f>
        <v>12.900000000000006</v>
      </c>
      <c r="QK20" s="185">
        <f>HT20-'[1]Data-temp_employment'!HU20</f>
        <v>-49</v>
      </c>
      <c r="QL20" s="185">
        <f>HU20-'[1]Data-temp_employment'!HV20</f>
        <v>-3.8000000000000114</v>
      </c>
      <c r="QM20" s="185">
        <f>IE20-'[1]Data-temp_employment'!IF20</f>
        <v>6.9000000000000057</v>
      </c>
      <c r="QN20" s="185">
        <f>IF20-'[1]Data-temp_employment'!IG20</f>
        <v>-11.600000000000009</v>
      </c>
      <c r="QO20" s="185">
        <f>JA20-'[1]Data-temp_employment'!JB20</f>
        <v>-7.2000000000000028</v>
      </c>
      <c r="QP20" s="185">
        <f>JB20-'[1]Data-temp_employment'!JC20</f>
        <v>-0.79999999999999716</v>
      </c>
      <c r="QQ20" s="185">
        <f>JH20-'[1]Data-temp_employment'!JI20</f>
        <v>27.300000000000068</v>
      </c>
      <c r="QR20" s="185">
        <f>JI20-'[1]Data-temp_employment'!JJ20</f>
        <v>28.399999999999977</v>
      </c>
      <c r="QS20" s="185">
        <f>JS20-'[1]Data-temp_employment'!JT20</f>
        <v>16.099999999999994</v>
      </c>
      <c r="QT20" s="185">
        <f>JT20-'[1]Data-temp_employment'!JU20</f>
        <v>7.4000000000000057</v>
      </c>
      <c r="QU20" s="185">
        <f>KD20-'[1]Data-temp_employment'!KE20</f>
        <v>11.700000000000045</v>
      </c>
      <c r="QV20" s="185">
        <f>KE20-'[1]Data-temp_employment'!KF20</f>
        <v>-1.0999999999999091</v>
      </c>
      <c r="QW20" s="185">
        <f>KO20-'[1]Data-temp_employment'!KP20</f>
        <v>11</v>
      </c>
      <c r="QX20" s="185">
        <f>KP20-'[1]Data-temp_employment'!KQ20</f>
        <v>32.599999999999994</v>
      </c>
      <c r="QY20" s="185">
        <f>LD20-'[1]Data-temp_employment'!LE20</f>
        <v>-45.899999999999977</v>
      </c>
      <c r="QZ20" s="185">
        <f>LE20-'[1]Data-temp_employment'!LF20</f>
        <v>-13.5</v>
      </c>
      <c r="RA20" s="185">
        <f>LK20-'[1]Data-temp_employment'!LL20</f>
        <v>9.7000000000000028</v>
      </c>
      <c r="RB20" s="185">
        <f>LL20-'[1]Data-temp_employment'!LM20</f>
        <v>22.700000000000003</v>
      </c>
      <c r="RC20" s="185">
        <f>LV20-'[1]Data-temp_employment'!LW20</f>
        <v>11</v>
      </c>
      <c r="RD20" s="185">
        <f>LW20-'[1]Data-temp_employment'!LX20</f>
        <v>5.5</v>
      </c>
      <c r="RE20" s="185">
        <f>MK20-'[1]Data-temp_employment'!ML20</f>
        <v>1.3000000000000114</v>
      </c>
      <c r="RF20" s="185">
        <f>ML20-'[1]Data-temp_employment'!MM20</f>
        <v>-4.8000000000000114</v>
      </c>
      <c r="RG20" s="185">
        <f>MV20-'[1]Data-temp_employment'!MW20</f>
        <v>-1.5999999999999943</v>
      </c>
      <c r="RH20" s="185">
        <f>MW20-'[1]Data-temp_employment'!MX20</f>
        <v>-13.599999999999994</v>
      </c>
      <c r="RI20" s="185">
        <f>NG20-'[1]Data-temp_employment'!NH20</f>
        <v>-19</v>
      </c>
      <c r="RJ20" s="185">
        <f>NH20-'[1]Data-temp_employment'!NI20</f>
        <v>-18.300000000000011</v>
      </c>
      <c r="RK20" s="185">
        <f>NR20-'[1]Data-temp_employment'!NS20</f>
        <v>1.6000000000000227</v>
      </c>
      <c r="RL20" s="185">
        <f>NS20-'[1]Data-temp_employment'!NT20</f>
        <v>31.100000000000023</v>
      </c>
      <c r="RM20" s="185">
        <f>OC20-'[1]Data-temp_employment'!OD20</f>
        <v>-11.399999999999977</v>
      </c>
      <c r="RN20" s="185">
        <f>OD20-'[1]Data-temp_employment'!OE20</f>
        <v>9.3999999999999773</v>
      </c>
      <c r="RO20" s="185">
        <f>OT20-'[1]Data-temp_employment'!OV20</f>
        <v>0.4</v>
      </c>
      <c r="RP20" s="185">
        <f>OU20-'[1]Data-temp_employment'!OW20</f>
        <v>0.2</v>
      </c>
    </row>
    <row r="21" spans="1:485">
      <c r="A21" s="204">
        <v>18</v>
      </c>
      <c r="B21" s="158" t="s">
        <v>23</v>
      </c>
      <c r="C21" s="332">
        <v>10.6</v>
      </c>
      <c r="D21" s="332">
        <v>12.1</v>
      </c>
      <c r="E21" s="332">
        <v>12.1</v>
      </c>
      <c r="F21" s="332">
        <v>10</v>
      </c>
      <c r="G21" s="332">
        <v>9.5</v>
      </c>
      <c r="H21" s="332">
        <v>12.6</v>
      </c>
      <c r="I21" s="332">
        <v>13.2</v>
      </c>
      <c r="J21" s="332">
        <v>10.4</v>
      </c>
      <c r="K21" s="332">
        <v>9.3000000000000007</v>
      </c>
      <c r="L21" s="332">
        <v>12.5</v>
      </c>
      <c r="M21" s="158" t="s">
        <v>23</v>
      </c>
      <c r="N21" s="332">
        <v>250</v>
      </c>
      <c r="O21" s="332">
        <v>293.10000000000002</v>
      </c>
      <c r="P21" s="332">
        <v>298.39999999999998</v>
      </c>
      <c r="Q21" s="332">
        <v>238.7</v>
      </c>
      <c r="R21" s="332">
        <v>225.4</v>
      </c>
      <c r="S21" s="332">
        <v>313.39999999999998</v>
      </c>
      <c r="T21" s="332">
        <v>332</v>
      </c>
      <c r="U21" s="332">
        <v>255.6</v>
      </c>
      <c r="V21" s="332">
        <v>225.3</v>
      </c>
      <c r="W21" s="332">
        <v>319.8</v>
      </c>
      <c r="X21" s="158" t="s">
        <v>23</v>
      </c>
      <c r="Y21" s="332">
        <v>9.1</v>
      </c>
      <c r="Z21" s="332">
        <v>6.8</v>
      </c>
      <c r="AA21" s="332">
        <v>6.5</v>
      </c>
      <c r="AB21" s="332">
        <v>6</v>
      </c>
      <c r="AC21" s="332">
        <v>5.7</v>
      </c>
      <c r="AD21" s="332">
        <v>8.5</v>
      </c>
      <c r="AE21" s="332">
        <v>9.6</v>
      </c>
      <c r="AF21" s="332">
        <v>7</v>
      </c>
      <c r="AG21" s="332">
        <v>6.3</v>
      </c>
      <c r="AH21" s="332">
        <v>6.9</v>
      </c>
      <c r="AI21" s="158" t="s">
        <v>23</v>
      </c>
      <c r="AJ21" s="332">
        <v>26.9</v>
      </c>
      <c r="AK21" s="332">
        <v>28.7</v>
      </c>
      <c r="AL21" s="332">
        <v>37</v>
      </c>
      <c r="AM21" s="332">
        <v>29</v>
      </c>
      <c r="AN21" s="332">
        <v>25.5</v>
      </c>
      <c r="AO21" s="332">
        <v>29.2</v>
      </c>
      <c r="AP21" s="332">
        <v>31.3</v>
      </c>
      <c r="AQ21" s="332">
        <v>26</v>
      </c>
      <c r="AR21" s="332">
        <v>21.9</v>
      </c>
      <c r="AS21" s="332">
        <v>29</v>
      </c>
      <c r="AT21" s="158" t="s">
        <v>23</v>
      </c>
      <c r="AU21" s="332">
        <v>61</v>
      </c>
      <c r="AV21" s="332">
        <v>100.1</v>
      </c>
      <c r="AW21" s="332">
        <v>110.6</v>
      </c>
      <c r="AX21" s="332">
        <v>64.900000000000006</v>
      </c>
      <c r="AY21" s="332">
        <v>46.1</v>
      </c>
      <c r="AZ21" s="332">
        <v>94.2</v>
      </c>
      <c r="BA21" s="332">
        <v>118.8</v>
      </c>
      <c r="BB21" s="332">
        <v>65.400000000000006</v>
      </c>
      <c r="BC21" s="332">
        <v>49.9</v>
      </c>
      <c r="BD21" s="332">
        <v>112.4</v>
      </c>
      <c r="BE21" s="158" t="s">
        <v>23</v>
      </c>
      <c r="BF21" s="280">
        <v>90</v>
      </c>
      <c r="BG21" s="280">
        <v>91.7</v>
      </c>
      <c r="BH21" s="280">
        <v>83</v>
      </c>
      <c r="BI21" s="280">
        <v>81.7</v>
      </c>
      <c r="BJ21" s="280">
        <v>91.5</v>
      </c>
      <c r="BK21" s="280">
        <v>125.9</v>
      </c>
      <c r="BL21" s="280">
        <v>118.5</v>
      </c>
      <c r="BM21" s="280">
        <v>108.7</v>
      </c>
      <c r="BN21" s="280">
        <v>95.9</v>
      </c>
      <c r="BO21" s="280">
        <v>121.4</v>
      </c>
      <c r="BP21" s="158" t="s">
        <v>23</v>
      </c>
      <c r="BQ21" s="7">
        <v>27.4</v>
      </c>
      <c r="BR21" s="7">
        <v>29.3</v>
      </c>
      <c r="BS21" s="7">
        <v>26</v>
      </c>
      <c r="BT21" s="7">
        <v>22.1</v>
      </c>
      <c r="BU21" s="7">
        <v>21.1</v>
      </c>
      <c r="BV21" s="7">
        <v>20</v>
      </c>
      <c r="BW21" s="7">
        <v>20.100000000000001</v>
      </c>
      <c r="BX21" s="7">
        <v>17.8</v>
      </c>
      <c r="BY21" s="7">
        <v>20.7</v>
      </c>
      <c r="BZ21" s="7">
        <v>21.1</v>
      </c>
      <c r="CA21" s="158" t="s">
        <v>23</v>
      </c>
      <c r="CB21" s="7">
        <v>35.700000000000003</v>
      </c>
      <c r="CC21" s="7">
        <v>36.6</v>
      </c>
      <c r="CD21" s="7">
        <v>35.5</v>
      </c>
      <c r="CE21" s="7">
        <v>35</v>
      </c>
      <c r="CF21" s="7">
        <v>35.5</v>
      </c>
      <c r="CG21" s="7">
        <v>35.6</v>
      </c>
      <c r="CH21" s="7">
        <v>33.700000000000003</v>
      </c>
      <c r="CI21" s="7">
        <v>30.7</v>
      </c>
      <c r="CJ21" s="7">
        <v>30.5</v>
      </c>
      <c r="CK21" s="7">
        <v>29</v>
      </c>
      <c r="CL21" s="158" t="s">
        <v>23</v>
      </c>
      <c r="CM21" s="280">
        <v>57.1</v>
      </c>
      <c r="CN21" s="280">
        <v>69.099999999999994</v>
      </c>
      <c r="CO21" s="280">
        <v>76.599999999999994</v>
      </c>
      <c r="CP21" s="280">
        <v>57.8</v>
      </c>
      <c r="CQ21" s="280">
        <v>49.4</v>
      </c>
      <c r="CR21" s="280">
        <v>82.7</v>
      </c>
      <c r="CS21" s="280">
        <v>94.9</v>
      </c>
      <c r="CT21" s="280">
        <v>59.5</v>
      </c>
      <c r="CU21" s="280">
        <v>50.8</v>
      </c>
      <c r="CV21" s="280">
        <v>78.5</v>
      </c>
      <c r="CW21" s="158" t="s">
        <v>23</v>
      </c>
      <c r="CX21" s="280">
        <v>107.4</v>
      </c>
      <c r="CY21" s="280">
        <v>136.6</v>
      </c>
      <c r="CZ21" s="280">
        <v>144</v>
      </c>
      <c r="DA21" s="280">
        <v>106.3</v>
      </c>
      <c r="DB21" s="280">
        <v>96.2</v>
      </c>
      <c r="DC21" s="280">
        <v>137.4</v>
      </c>
      <c r="DD21" s="280">
        <v>144.80000000000001</v>
      </c>
      <c r="DE21" s="280">
        <v>108.8</v>
      </c>
      <c r="DF21" s="280">
        <v>92.3</v>
      </c>
      <c r="DG21" s="280">
        <v>144.19999999999999</v>
      </c>
      <c r="DH21" s="158" t="s">
        <v>23</v>
      </c>
      <c r="DI21" s="280">
        <v>85.5</v>
      </c>
      <c r="DJ21" s="280">
        <v>87.4</v>
      </c>
      <c r="DK21" s="280">
        <v>77.8</v>
      </c>
      <c r="DL21" s="280">
        <v>74.7</v>
      </c>
      <c r="DM21" s="280">
        <v>79.900000000000006</v>
      </c>
      <c r="DN21" s="280">
        <v>93.3</v>
      </c>
      <c r="DO21" s="280">
        <v>92.2</v>
      </c>
      <c r="DP21" s="280">
        <v>87.4</v>
      </c>
      <c r="DQ21" s="280">
        <v>82.3</v>
      </c>
      <c r="DR21" s="280">
        <v>97.1</v>
      </c>
      <c r="DS21" s="158" t="s">
        <v>23</v>
      </c>
      <c r="DT21" s="281"/>
      <c r="DU21" s="281"/>
      <c r="DV21" s="281"/>
      <c r="DW21" s="281"/>
      <c r="DX21" s="281"/>
      <c r="DY21" s="281"/>
      <c r="DZ21" s="281"/>
      <c r="EA21" s="281"/>
      <c r="EB21" s="281"/>
      <c r="EC21" s="281"/>
      <c r="ED21" s="158" t="s">
        <v>23</v>
      </c>
      <c r="EE21" s="281"/>
      <c r="EF21" s="281"/>
      <c r="EG21" s="281"/>
      <c r="EH21" s="281"/>
      <c r="EI21" s="281"/>
      <c r="EJ21" s="281"/>
      <c r="EK21" s="281"/>
      <c r="EL21" s="281"/>
      <c r="EM21" s="281"/>
      <c r="EN21" s="281"/>
      <c r="EO21" s="158" t="s">
        <v>23</v>
      </c>
      <c r="EP21" s="280">
        <v>56.5</v>
      </c>
      <c r="EQ21" s="280">
        <v>50.7</v>
      </c>
      <c r="ER21" s="280">
        <v>36.299999999999997</v>
      </c>
      <c r="ES21" s="280">
        <v>44.6</v>
      </c>
      <c r="ET21" s="280">
        <v>53.5</v>
      </c>
      <c r="EU21" s="280">
        <v>53.2</v>
      </c>
      <c r="EV21" s="280">
        <v>45.8</v>
      </c>
      <c r="EW21" s="280">
        <v>53.6</v>
      </c>
      <c r="EX21" s="280">
        <v>52.7</v>
      </c>
      <c r="EY21" s="280">
        <v>54.7</v>
      </c>
      <c r="EZ21" s="158" t="s">
        <v>23</v>
      </c>
      <c r="FA21" s="280">
        <v>13.9</v>
      </c>
      <c r="FB21" s="280">
        <v>17.600000000000001</v>
      </c>
      <c r="FC21" s="280">
        <v>16.899999999999999</v>
      </c>
      <c r="FD21" s="280">
        <v>16.5</v>
      </c>
      <c r="FE21" s="280">
        <v>16.399999999999999</v>
      </c>
      <c r="FF21" s="280">
        <v>17.5</v>
      </c>
      <c r="FG21" s="280">
        <v>18.8</v>
      </c>
      <c r="FH21" s="280">
        <v>17.399999999999999</v>
      </c>
      <c r="FI21" s="280">
        <v>20.399999999999999</v>
      </c>
      <c r="FJ21" s="280">
        <v>19.399999999999999</v>
      </c>
      <c r="FK21" s="158" t="s">
        <v>23</v>
      </c>
      <c r="FL21" s="280">
        <v>29.3</v>
      </c>
      <c r="FM21" s="280">
        <v>33.4</v>
      </c>
      <c r="FN21" s="280">
        <v>33</v>
      </c>
      <c r="FO21" s="280">
        <v>22.4</v>
      </c>
      <c r="FP21" s="280">
        <v>18.899999999999999</v>
      </c>
      <c r="FQ21" s="280">
        <v>32.200000000000003</v>
      </c>
      <c r="FR21" s="280">
        <v>37.1</v>
      </c>
      <c r="FS21" s="280">
        <v>24.3</v>
      </c>
      <c r="FT21" s="280">
        <v>21.4</v>
      </c>
      <c r="FU21" s="280">
        <v>37.5</v>
      </c>
      <c r="FV21" s="158" t="s">
        <v>23</v>
      </c>
      <c r="FW21" s="280">
        <v>55.4</v>
      </c>
      <c r="FX21" s="280">
        <v>80.099999999999994</v>
      </c>
      <c r="FY21" s="280">
        <v>93.2</v>
      </c>
      <c r="FZ21" s="280">
        <v>66.8</v>
      </c>
      <c r="GA21" s="280">
        <v>55.1</v>
      </c>
      <c r="GB21" s="280">
        <v>85.9</v>
      </c>
      <c r="GC21" s="280">
        <v>92.7</v>
      </c>
      <c r="GD21" s="280">
        <v>57.9</v>
      </c>
      <c r="GE21" s="280">
        <v>41.5</v>
      </c>
      <c r="GF21" s="280">
        <v>85.2</v>
      </c>
      <c r="GG21" s="158" t="s">
        <v>23</v>
      </c>
      <c r="GH21" s="280">
        <v>4.2</v>
      </c>
      <c r="GI21" s="280">
        <v>3.4</v>
      </c>
      <c r="GJ21" s="280">
        <v>2.2999999999999998</v>
      </c>
      <c r="GK21" s="280">
        <v>3</v>
      </c>
      <c r="GL21" s="280">
        <v>2.7</v>
      </c>
      <c r="GM21" s="280">
        <v>2.8</v>
      </c>
      <c r="GN21" s="280">
        <v>3.4</v>
      </c>
      <c r="GO21" s="280">
        <v>3.6</v>
      </c>
      <c r="GP21" s="280">
        <v>3.9</v>
      </c>
      <c r="GQ21" s="280">
        <v>3.8</v>
      </c>
      <c r="GR21" s="158" t="s">
        <v>23</v>
      </c>
      <c r="GS21" s="280">
        <v>27.8</v>
      </c>
      <c r="GT21" s="280">
        <v>31.4</v>
      </c>
      <c r="GU21" s="280">
        <v>30.4</v>
      </c>
      <c r="GV21" s="280">
        <v>24.5</v>
      </c>
      <c r="GW21" s="280">
        <v>23.3</v>
      </c>
      <c r="GX21" s="280">
        <v>27.9</v>
      </c>
      <c r="GY21" s="280">
        <v>33.200000000000003</v>
      </c>
      <c r="GZ21" s="280">
        <v>25.3</v>
      </c>
      <c r="HA21" s="280">
        <v>20.5</v>
      </c>
      <c r="HB21" s="280">
        <v>26.2</v>
      </c>
      <c r="HC21" s="158" t="s">
        <v>23</v>
      </c>
      <c r="HD21" s="280">
        <v>12.5</v>
      </c>
      <c r="HE21" s="280">
        <v>14.6</v>
      </c>
      <c r="HF21" s="280">
        <v>18.2</v>
      </c>
      <c r="HG21" s="280">
        <v>13.9</v>
      </c>
      <c r="HH21" s="280">
        <v>13.7</v>
      </c>
      <c r="HI21" s="280">
        <v>19.100000000000001</v>
      </c>
      <c r="HJ21" s="280">
        <v>21.4</v>
      </c>
      <c r="HK21" s="280">
        <v>17.899999999999999</v>
      </c>
      <c r="HL21" s="280">
        <v>15.9</v>
      </c>
      <c r="HM21" s="280">
        <v>19.8</v>
      </c>
      <c r="HN21" s="158" t="s">
        <v>23</v>
      </c>
      <c r="HO21" s="280">
        <v>49</v>
      </c>
      <c r="HP21" s="280">
        <v>61.1</v>
      </c>
      <c r="HQ21" s="280">
        <v>66.3</v>
      </c>
      <c r="HR21" s="280">
        <v>45.6</v>
      </c>
      <c r="HS21" s="280">
        <v>41.3</v>
      </c>
      <c r="HT21" s="280">
        <v>73.599999999999994</v>
      </c>
      <c r="HU21" s="280">
        <v>78.599999999999994</v>
      </c>
      <c r="HV21" s="280">
        <v>54.2</v>
      </c>
      <c r="HW21" s="280">
        <v>48.7</v>
      </c>
      <c r="HX21" s="280">
        <v>72.099999999999994</v>
      </c>
      <c r="HY21" s="158" t="s">
        <v>23</v>
      </c>
      <c r="HZ21" s="281"/>
      <c r="IA21" s="281"/>
      <c r="IB21" s="281"/>
      <c r="IC21" s="281"/>
      <c r="ID21" s="281"/>
      <c r="IE21" s="281"/>
      <c r="IF21" s="281"/>
      <c r="IG21" s="281"/>
      <c r="IH21" s="281"/>
      <c r="II21" s="281"/>
      <c r="IJ21" s="158" t="s">
        <v>23</v>
      </c>
      <c r="IK21" s="281"/>
      <c r="IL21" s="281"/>
      <c r="IM21" s="281"/>
      <c r="IN21" s="281"/>
      <c r="IO21" s="281"/>
      <c r="IP21" s="281"/>
      <c r="IQ21" s="281"/>
      <c r="IR21" s="281"/>
      <c r="IS21" s="281"/>
      <c r="IT21" s="281"/>
      <c r="IU21" s="158" t="s">
        <v>23</v>
      </c>
      <c r="IV21" s="280">
        <v>14.2</v>
      </c>
      <c r="IW21" s="280">
        <v>14.4</v>
      </c>
      <c r="IX21" s="280">
        <v>13.3</v>
      </c>
      <c r="IY21" s="280">
        <v>11.4</v>
      </c>
      <c r="IZ21" s="280">
        <v>11.5</v>
      </c>
      <c r="JA21" s="280">
        <v>12.9</v>
      </c>
      <c r="JB21" s="280">
        <v>12.2</v>
      </c>
      <c r="JC21" s="280">
        <v>12.8</v>
      </c>
      <c r="JD21" s="280">
        <v>12.6</v>
      </c>
      <c r="JE21" s="280">
        <v>13.5</v>
      </c>
      <c r="JF21" s="158" t="s">
        <v>23</v>
      </c>
      <c r="JG21" s="280">
        <v>14.7</v>
      </c>
      <c r="JH21" s="280">
        <v>18.3</v>
      </c>
      <c r="JI21" s="280">
        <v>24.2</v>
      </c>
      <c r="JJ21" s="280">
        <v>18.3</v>
      </c>
      <c r="JK21" s="280">
        <v>16.399999999999999</v>
      </c>
      <c r="JL21" s="280">
        <v>19.600000000000001</v>
      </c>
      <c r="JM21" s="280">
        <v>24</v>
      </c>
      <c r="JN21" s="280">
        <v>18.100000000000001</v>
      </c>
      <c r="JO21" s="280">
        <v>16</v>
      </c>
      <c r="JP21" s="280">
        <v>18.8</v>
      </c>
      <c r="JQ21" s="158" t="s">
        <v>23</v>
      </c>
      <c r="JR21" s="280">
        <v>19.5</v>
      </c>
      <c r="JS21" s="280">
        <v>18.2</v>
      </c>
      <c r="JT21" s="280">
        <v>15.6</v>
      </c>
      <c r="JU21" s="280">
        <v>13.1</v>
      </c>
      <c r="JV21" s="280">
        <v>13.2</v>
      </c>
      <c r="JW21" s="280">
        <v>14.6</v>
      </c>
      <c r="JX21" s="280">
        <v>17.600000000000001</v>
      </c>
      <c r="JY21" s="280">
        <v>14.3</v>
      </c>
      <c r="JZ21" s="280">
        <v>13.2</v>
      </c>
      <c r="KA21" s="280">
        <v>13.1</v>
      </c>
      <c r="KB21" s="158" t="s">
        <v>23</v>
      </c>
      <c r="KC21" s="280">
        <v>23.8</v>
      </c>
      <c r="KD21" s="280">
        <v>26.8</v>
      </c>
      <c r="KE21" s="280">
        <v>27.1</v>
      </c>
      <c r="KF21" s="280">
        <v>21.7</v>
      </c>
      <c r="KG21" s="280">
        <v>23.2</v>
      </c>
      <c r="KH21" s="280">
        <v>27.2</v>
      </c>
      <c r="KI21" s="280">
        <v>27.2</v>
      </c>
      <c r="KJ21" s="280">
        <v>24.5</v>
      </c>
      <c r="KK21" s="280">
        <v>21.4</v>
      </c>
      <c r="KL21" s="280">
        <v>27.4</v>
      </c>
      <c r="KM21" s="158" t="s">
        <v>23</v>
      </c>
      <c r="KN21" s="280">
        <v>9</v>
      </c>
      <c r="KO21" s="280">
        <v>11.8</v>
      </c>
      <c r="KP21" s="280">
        <v>11.3</v>
      </c>
      <c r="KQ21" s="280">
        <v>8.6999999999999993</v>
      </c>
      <c r="KR21" s="280">
        <v>8.4</v>
      </c>
      <c r="KS21" s="280">
        <v>11.8</v>
      </c>
      <c r="KT21" s="280">
        <v>10.7</v>
      </c>
      <c r="KU21" s="280">
        <v>7.4</v>
      </c>
      <c r="KV21" s="280">
        <v>9.3000000000000007</v>
      </c>
      <c r="KW21" s="280">
        <v>11.9</v>
      </c>
      <c r="KX21" s="158" t="s">
        <v>23</v>
      </c>
      <c r="KY21" s="280">
        <v>37.9</v>
      </c>
      <c r="KZ21" s="280">
        <v>73.7</v>
      </c>
      <c r="LA21" s="280">
        <v>93.4</v>
      </c>
      <c r="LB21" s="280">
        <v>49.6</v>
      </c>
      <c r="LC21" s="280">
        <v>29.2</v>
      </c>
      <c r="LD21" s="280">
        <v>89.6</v>
      </c>
      <c r="LE21" s="280">
        <v>106.3</v>
      </c>
      <c r="LF21" s="280">
        <v>42</v>
      </c>
      <c r="LG21" s="280">
        <v>24.4</v>
      </c>
      <c r="LH21" s="280">
        <v>96.9</v>
      </c>
      <c r="LI21" s="158" t="s">
        <v>23</v>
      </c>
      <c r="LJ21" s="280">
        <v>4.9000000000000004</v>
      </c>
      <c r="LK21" s="280">
        <v>3.2</v>
      </c>
      <c r="LL21" s="281"/>
      <c r="LM21" s="280">
        <v>2.7</v>
      </c>
      <c r="LN21" s="280">
        <v>2.8</v>
      </c>
      <c r="LO21" s="280">
        <v>2.5</v>
      </c>
      <c r="LP21" s="280">
        <v>3.4</v>
      </c>
      <c r="LQ21" s="280">
        <v>5.2</v>
      </c>
      <c r="LR21" s="280">
        <v>4.2</v>
      </c>
      <c r="LS21" s="280">
        <v>4.4000000000000004</v>
      </c>
      <c r="LT21" s="158" t="s">
        <v>23</v>
      </c>
      <c r="LU21" s="280">
        <v>2.2999999999999998</v>
      </c>
      <c r="LV21" s="280">
        <v>2.4</v>
      </c>
      <c r="LW21" s="280">
        <v>2.4</v>
      </c>
      <c r="LX21" s="281"/>
      <c r="LY21" s="280">
        <v>2.2999999999999998</v>
      </c>
      <c r="LZ21" s="281"/>
      <c r="MA21" s="281"/>
      <c r="MB21" s="281"/>
      <c r="MC21" s="281"/>
      <c r="MD21" s="281"/>
      <c r="ME21" s="158" t="s">
        <v>23</v>
      </c>
      <c r="MF21" s="280">
        <v>13</v>
      </c>
      <c r="MG21" s="280">
        <v>8.9</v>
      </c>
      <c r="MH21" s="280">
        <v>8.1999999999999993</v>
      </c>
      <c r="MI21" s="280">
        <v>7.1</v>
      </c>
      <c r="MJ21" s="280">
        <v>6.2</v>
      </c>
      <c r="MK21" s="280">
        <v>5.8</v>
      </c>
      <c r="ML21" s="280">
        <v>7</v>
      </c>
      <c r="MM21" s="280">
        <v>6.2</v>
      </c>
      <c r="MN21" s="280">
        <v>6.1</v>
      </c>
      <c r="MO21" s="280">
        <v>6.4</v>
      </c>
      <c r="MP21" s="158" t="s">
        <v>23</v>
      </c>
      <c r="MQ21" s="280">
        <v>7.4</v>
      </c>
      <c r="MR21" s="280">
        <v>8.6999999999999993</v>
      </c>
      <c r="MS21" s="280">
        <v>10.9</v>
      </c>
      <c r="MT21" s="280">
        <v>9.1999999999999993</v>
      </c>
      <c r="MU21" s="280">
        <v>8.9</v>
      </c>
      <c r="MV21" s="280">
        <v>14.2</v>
      </c>
      <c r="MW21" s="280">
        <v>15.5</v>
      </c>
      <c r="MX21" s="280">
        <v>10.5</v>
      </c>
      <c r="MY21" s="280">
        <v>9.3000000000000007</v>
      </c>
      <c r="MZ21" s="280">
        <v>12.6</v>
      </c>
      <c r="NA21" s="158" t="s">
        <v>23</v>
      </c>
      <c r="NB21" s="280">
        <v>17.7</v>
      </c>
      <c r="NC21" s="280">
        <v>20.6</v>
      </c>
      <c r="ND21" s="280">
        <v>19.8</v>
      </c>
      <c r="NE21" s="280">
        <v>18.899999999999999</v>
      </c>
      <c r="NF21" s="280">
        <v>19.5</v>
      </c>
      <c r="NG21" s="280">
        <v>21.9</v>
      </c>
      <c r="NH21" s="280">
        <v>22.6</v>
      </c>
      <c r="NI21" s="280">
        <v>22.1</v>
      </c>
      <c r="NJ21" s="280">
        <v>19.2</v>
      </c>
      <c r="NK21" s="280">
        <v>17.899999999999999</v>
      </c>
      <c r="NL21" s="158" t="s">
        <v>23</v>
      </c>
      <c r="NM21" s="280">
        <v>40.200000000000003</v>
      </c>
      <c r="NN21" s="280">
        <v>39.1</v>
      </c>
      <c r="NO21" s="280">
        <v>25.7</v>
      </c>
      <c r="NP21" s="280">
        <v>34.799999999999997</v>
      </c>
      <c r="NQ21" s="280">
        <v>40.9</v>
      </c>
      <c r="NR21" s="280">
        <v>40.1</v>
      </c>
      <c r="NS21" s="280">
        <v>29.9</v>
      </c>
      <c r="NT21" s="280">
        <v>38.6</v>
      </c>
      <c r="NU21" s="280">
        <v>39.5</v>
      </c>
      <c r="NV21" s="280">
        <v>44.2</v>
      </c>
      <c r="NW21" s="158" t="s">
        <v>23</v>
      </c>
      <c r="NX21" s="280">
        <v>19</v>
      </c>
      <c r="NY21" s="280">
        <v>20.399999999999999</v>
      </c>
      <c r="NZ21" s="280">
        <v>19.600000000000001</v>
      </c>
      <c r="OA21" s="280">
        <v>19.600000000000001</v>
      </c>
      <c r="OB21" s="280">
        <v>22</v>
      </c>
      <c r="OC21" s="280">
        <v>23.4</v>
      </c>
      <c r="OD21" s="280">
        <v>25</v>
      </c>
      <c r="OE21" s="280">
        <v>22.6</v>
      </c>
      <c r="OF21" s="280">
        <v>20.5</v>
      </c>
      <c r="OG21" s="280">
        <v>20.399999999999999</v>
      </c>
      <c r="OH21" s="191" t="s">
        <v>23</v>
      </c>
      <c r="OI21" s="192">
        <v>25.6</v>
      </c>
      <c r="OJ21" s="192">
        <v>26.1</v>
      </c>
      <c r="OK21" s="192">
        <v>26.7</v>
      </c>
      <c r="OL21" s="192">
        <v>24.6</v>
      </c>
      <c r="OM21" s="192">
        <v>24.1</v>
      </c>
      <c r="ON21" s="192">
        <v>24.4</v>
      </c>
      <c r="OO21" s="192">
        <v>24.9</v>
      </c>
      <c r="OP21" s="192">
        <v>23.1</v>
      </c>
      <c r="OQ21" s="192">
        <v>22.6</v>
      </c>
      <c r="OR21" s="192">
        <v>23.6</v>
      </c>
      <c r="OS21" s="158" t="s">
        <v>23</v>
      </c>
      <c r="OT21" s="340">
        <v>0</v>
      </c>
      <c r="OU21" s="340">
        <v>-0.5</v>
      </c>
      <c r="OV21" s="340">
        <v>0.3</v>
      </c>
      <c r="OW21" s="340">
        <v>0.1</v>
      </c>
      <c r="OX21" s="340">
        <v>0.1</v>
      </c>
      <c r="OY21" s="340">
        <v>1.3</v>
      </c>
      <c r="OZ21" s="340">
        <v>0.5</v>
      </c>
      <c r="PA21" s="340">
        <v>0.2</v>
      </c>
      <c r="PB21" s="340">
        <v>0.5</v>
      </c>
      <c r="PC21" s="340">
        <v>0.4</v>
      </c>
      <c r="PE21" s="185">
        <f>E21-'[1]Data-temp_employment'!F21</f>
        <v>-0.90000000000000036</v>
      </c>
      <c r="PF21" s="185">
        <f>F21-'[1]Data-temp_employment'!G21</f>
        <v>-1.5999999999999996</v>
      </c>
      <c r="PG21" s="185">
        <f>O21-'[1]Data-temp_employment'!P21</f>
        <v>6</v>
      </c>
      <c r="PH21" s="185">
        <f>P21-'[1]Data-temp_employment'!Q21</f>
        <v>-12.300000000000011</v>
      </c>
      <c r="PI21" s="185">
        <f>AD21-'[1]Data-temp_employment'!AE21</f>
        <v>1.7000000000000002</v>
      </c>
      <c r="PJ21" s="185">
        <f>AE21-'[1]Data-temp_employment'!AF21</f>
        <v>3.0999999999999996</v>
      </c>
      <c r="PK21" s="185">
        <f>BR21-'[1]Data-temp_employment'!BS21</f>
        <v>7.0999999999999979</v>
      </c>
      <c r="PL21" s="185">
        <f>BS21-'[1]Data-temp_employment'!BT21</f>
        <v>-1.4000000000000021</v>
      </c>
      <c r="PM21" s="185">
        <f>CC21-'[1]Data-temp_employment'!CD21</f>
        <v>-0.89999999999999858</v>
      </c>
      <c r="PN21" s="185">
        <f>CD21-'[1]Data-temp_employment'!CE21</f>
        <v>1</v>
      </c>
      <c r="PO21" s="185">
        <f>CR21-'[1]Data-temp_employment'!CS21</f>
        <v>13.600000000000009</v>
      </c>
      <c r="PP21" s="185">
        <f>CS21-'[1]Data-temp_employment'!CT21</f>
        <v>18.300000000000011</v>
      </c>
      <c r="PQ21" s="185">
        <f>DC21-'[1]Data-temp_employment'!DD21</f>
        <v>0.80000000000001137</v>
      </c>
      <c r="PR21" s="185">
        <f>DD21-'[1]Data-temp_employment'!DE21</f>
        <v>0.80000000000001137</v>
      </c>
      <c r="PS21" s="185">
        <f>DN21-'[1]Data-temp_employment'!DO21</f>
        <v>5.8999999999999915</v>
      </c>
      <c r="PT21" s="185">
        <f>DO21-'[1]Data-temp_employment'!DP21</f>
        <v>14.400000000000006</v>
      </c>
      <c r="PU21" s="185">
        <f>EF21-'[1]Data-temp_employment'!EG21</f>
        <v>0</v>
      </c>
      <c r="PV21" s="185">
        <f>EG21-'[1]Data-temp_employment'!EH21</f>
        <v>0</v>
      </c>
      <c r="PW21" s="185">
        <f>EU21-'[1]Data-temp_employment'!EV21</f>
        <v>2.5</v>
      </c>
      <c r="PX21" s="185">
        <f>EV21-'[1]Data-temp_employment'!EW21</f>
        <v>9.5</v>
      </c>
      <c r="PY21" s="185">
        <f>FF21-'[1]Data-temp_employment'!FG21</f>
        <v>-0.10000000000000142</v>
      </c>
      <c r="PZ21" s="185">
        <f>FG21-'[1]Data-temp_employment'!FH21</f>
        <v>1.9000000000000021</v>
      </c>
      <c r="QA21" s="185">
        <f>FQ21-'[1]Data-temp_employment'!FR21</f>
        <v>-1.1999999999999957</v>
      </c>
      <c r="QB21" s="185">
        <f>FR21-'[1]Data-temp_employment'!FS21</f>
        <v>4.1000000000000014</v>
      </c>
      <c r="QC21" s="185">
        <f>GB21-'[1]Data-temp_employment'!GC21</f>
        <v>5.8000000000000114</v>
      </c>
      <c r="QD21" s="185">
        <f>GC21-'[1]Data-temp_employment'!GD21</f>
        <v>-0.5</v>
      </c>
      <c r="QE21" s="185">
        <f>GM21-'[1]Data-temp_employment'!GN21</f>
        <v>-0.60000000000000009</v>
      </c>
      <c r="QF21" s="185">
        <f>GN21-'[1]Data-temp_employment'!GO21</f>
        <v>1.1000000000000001</v>
      </c>
      <c r="QG21" s="185">
        <f>GX21-'[1]Data-temp_employment'!GY21</f>
        <v>-3.5</v>
      </c>
      <c r="QH21" s="185">
        <f>GY21-'[1]Data-temp_employment'!GZ21</f>
        <v>2.8000000000000043</v>
      </c>
      <c r="QI21" s="185">
        <f>HI21-'[1]Data-temp_employment'!HJ21</f>
        <v>4.5000000000000018</v>
      </c>
      <c r="QJ21" s="185">
        <f>HJ21-'[1]Data-temp_employment'!HK21</f>
        <v>3.1999999999999993</v>
      </c>
      <c r="QK21" s="185">
        <f>HT21-'[1]Data-temp_employment'!HU21</f>
        <v>12.499999999999993</v>
      </c>
      <c r="QL21" s="185">
        <f>HU21-'[1]Data-temp_employment'!HV21</f>
        <v>12.299999999999997</v>
      </c>
      <c r="QM21" s="185">
        <f>IE21-'[1]Data-temp_employment'!IF21</f>
        <v>0</v>
      </c>
      <c r="QN21" s="185">
        <f>IF21-'[1]Data-temp_employment'!IG21</f>
        <v>0</v>
      </c>
      <c r="QO21" s="185">
        <f>JA21-'[1]Data-temp_employment'!JB21</f>
        <v>-1.5</v>
      </c>
      <c r="QP21" s="185">
        <f>JB21-'[1]Data-temp_employment'!JC21</f>
        <v>-1.1000000000000014</v>
      </c>
      <c r="QQ21" s="185">
        <f>JH21-'[1]Data-temp_employment'!JI21</f>
        <v>4.9000000000000004</v>
      </c>
      <c r="QR21" s="185">
        <f>JI21-'[1]Data-temp_employment'!JJ21</f>
        <v>9</v>
      </c>
      <c r="QS21" s="185">
        <f>JS21-'[1]Data-temp_employment'!JT21</f>
        <v>-3</v>
      </c>
      <c r="QT21" s="185">
        <f>JT21-'[1]Data-temp_employment'!JU21</f>
        <v>-6.2999999999999989</v>
      </c>
      <c r="QU21" s="185">
        <f>KD21-'[1]Data-temp_employment'!KE21</f>
        <v>-2.5</v>
      </c>
      <c r="QV21" s="185">
        <f>KE21-'[1]Data-temp_employment'!KF21</f>
        <v>-5.5</v>
      </c>
      <c r="QW21" s="185">
        <f>KO21-'[1]Data-temp_employment'!KP21</f>
        <v>1.2000000000000011</v>
      </c>
      <c r="QX21" s="185">
        <f>KP21-'[1]Data-temp_employment'!KQ21</f>
        <v>1.4000000000000004</v>
      </c>
      <c r="QY21" s="185">
        <f>LD21-'[1]Data-temp_employment'!LE21</f>
        <v>15.899999999999991</v>
      </c>
      <c r="QZ21" s="185">
        <f>LE21-'[1]Data-temp_employment'!LF21</f>
        <v>12.899999999999991</v>
      </c>
      <c r="RA21" s="185">
        <f>LK21-'[1]Data-temp_employment'!LL21</f>
        <v>-2.8999999999999995</v>
      </c>
      <c r="RB21" s="185">
        <f>LL21-'[1]Data-temp_employment'!LM21</f>
        <v>-4.5999999999999996</v>
      </c>
      <c r="RC21" s="185">
        <f>LV21-'[1]Data-temp_employment'!LW21</f>
        <v>2.4</v>
      </c>
      <c r="RD21" s="185">
        <f>LW21-'[1]Data-temp_employment'!LX21</f>
        <v>-0.39999999999999991</v>
      </c>
      <c r="RE21" s="185">
        <f>MK21-'[1]Data-temp_employment'!ML21</f>
        <v>-3.1000000000000005</v>
      </c>
      <c r="RF21" s="185">
        <f>ML21-'[1]Data-temp_employment'!MM21</f>
        <v>-1.1999999999999993</v>
      </c>
      <c r="RG21" s="185">
        <f>MV21-'[1]Data-temp_employment'!MW21</f>
        <v>5.5</v>
      </c>
      <c r="RH21" s="185">
        <f>MW21-'[1]Data-temp_employment'!MX21</f>
        <v>4.5999999999999996</v>
      </c>
      <c r="RI21" s="185">
        <f>NG21-'[1]Data-temp_employment'!NH21</f>
        <v>1.2999999999999972</v>
      </c>
      <c r="RJ21" s="185">
        <f>NH21-'[1]Data-temp_employment'!NI21</f>
        <v>2.8000000000000007</v>
      </c>
      <c r="RK21" s="185">
        <f>NR21-'[1]Data-temp_employment'!NS21</f>
        <v>1</v>
      </c>
      <c r="RL21" s="185">
        <f>NS21-'[1]Data-temp_employment'!NT21</f>
        <v>4.1999999999999993</v>
      </c>
      <c r="RM21" s="185">
        <f>OC21-'[1]Data-temp_employment'!OD21</f>
        <v>3</v>
      </c>
      <c r="RN21" s="185">
        <f>OD21-'[1]Data-temp_employment'!OE21</f>
        <v>5.3999999999999986</v>
      </c>
      <c r="RO21" s="185">
        <f>OT21-'[1]Data-temp_employment'!OV21</f>
        <v>0.1</v>
      </c>
      <c r="RP21" s="185">
        <f>OU21-'[1]Data-temp_employment'!OW21</f>
        <v>1.2</v>
      </c>
    </row>
    <row r="22" spans="1:485">
      <c r="A22" s="204">
        <v>19</v>
      </c>
      <c r="B22" s="158" t="s">
        <v>32</v>
      </c>
      <c r="C22" s="332">
        <v>9.4</v>
      </c>
      <c r="D22" s="332">
        <v>10.1</v>
      </c>
      <c r="E22" s="332">
        <v>10.1</v>
      </c>
      <c r="F22" s="332">
        <v>9.3000000000000007</v>
      </c>
      <c r="G22" s="332">
        <v>8.6</v>
      </c>
      <c r="H22" s="332">
        <v>9.1999999999999993</v>
      </c>
      <c r="I22" s="332">
        <v>9.1</v>
      </c>
      <c r="J22" s="332">
        <v>8.3000000000000007</v>
      </c>
      <c r="K22" s="332">
        <v>7.4</v>
      </c>
      <c r="L22" s="332">
        <v>7.7</v>
      </c>
      <c r="M22" s="158" t="s">
        <v>32</v>
      </c>
      <c r="N22" s="332">
        <v>355.1</v>
      </c>
      <c r="O22" s="332">
        <v>387.7</v>
      </c>
      <c r="P22" s="332">
        <v>394.8</v>
      </c>
      <c r="Q22" s="332">
        <v>365.5</v>
      </c>
      <c r="R22" s="332">
        <v>334.8</v>
      </c>
      <c r="S22" s="332">
        <v>364.6</v>
      </c>
      <c r="T22" s="332">
        <v>360</v>
      </c>
      <c r="U22" s="332">
        <v>329.6</v>
      </c>
      <c r="V22" s="332">
        <v>292.89999999999998</v>
      </c>
      <c r="W22" s="332">
        <v>305.89999999999998</v>
      </c>
      <c r="X22" s="158" t="s">
        <v>32</v>
      </c>
      <c r="Y22" s="332">
        <v>17</v>
      </c>
      <c r="Z22" s="332">
        <v>19.3</v>
      </c>
      <c r="AA22" s="332">
        <v>23</v>
      </c>
      <c r="AB22" s="332">
        <v>21</v>
      </c>
      <c r="AC22" s="332">
        <v>19.8</v>
      </c>
      <c r="AD22" s="332">
        <v>23.3</v>
      </c>
      <c r="AE22" s="332">
        <v>23.5</v>
      </c>
      <c r="AF22" s="332">
        <v>22.1</v>
      </c>
      <c r="AG22" s="332">
        <v>17.8</v>
      </c>
      <c r="AH22" s="332">
        <v>17.100000000000001</v>
      </c>
      <c r="AI22" s="158" t="s">
        <v>32</v>
      </c>
      <c r="AJ22" s="332">
        <v>72.400000000000006</v>
      </c>
      <c r="AK22" s="332">
        <v>62.5</v>
      </c>
      <c r="AL22" s="332">
        <v>68</v>
      </c>
      <c r="AM22" s="332">
        <v>55.9</v>
      </c>
      <c r="AN22" s="332">
        <v>53</v>
      </c>
      <c r="AO22" s="332">
        <v>64.599999999999994</v>
      </c>
      <c r="AP22" s="332">
        <v>69.400000000000006</v>
      </c>
      <c r="AQ22" s="332">
        <v>66.400000000000006</v>
      </c>
      <c r="AR22" s="332">
        <v>62.5</v>
      </c>
      <c r="AS22" s="332">
        <v>62.8</v>
      </c>
      <c r="AT22" s="158" t="s">
        <v>32</v>
      </c>
      <c r="AU22" s="332">
        <v>83.3</v>
      </c>
      <c r="AV22" s="332">
        <v>88.4</v>
      </c>
      <c r="AW22" s="332">
        <v>74.599999999999994</v>
      </c>
      <c r="AX22" s="332">
        <v>69.2</v>
      </c>
      <c r="AY22" s="332">
        <v>62.8</v>
      </c>
      <c r="AZ22" s="332">
        <v>68.3</v>
      </c>
      <c r="BA22" s="332">
        <v>67.5</v>
      </c>
      <c r="BB22" s="332">
        <v>50.6</v>
      </c>
      <c r="BC22" s="332">
        <v>51.8</v>
      </c>
      <c r="BD22" s="332">
        <v>68.3</v>
      </c>
      <c r="BE22" s="158" t="s">
        <v>32</v>
      </c>
      <c r="BF22" s="280">
        <v>155.6</v>
      </c>
      <c r="BG22" s="280">
        <v>183.2</v>
      </c>
      <c r="BH22" s="280">
        <v>196.1</v>
      </c>
      <c r="BI22" s="280">
        <v>190.6</v>
      </c>
      <c r="BJ22" s="280">
        <v>175.3</v>
      </c>
      <c r="BK22" s="280">
        <v>180.7</v>
      </c>
      <c r="BL22" s="280">
        <v>176.3</v>
      </c>
      <c r="BM22" s="280">
        <v>166.4</v>
      </c>
      <c r="BN22" s="280">
        <v>140.9</v>
      </c>
      <c r="BO22" s="280">
        <v>135.80000000000001</v>
      </c>
      <c r="BP22" s="158" t="s">
        <v>32</v>
      </c>
      <c r="BQ22" s="7">
        <v>12.8</v>
      </c>
      <c r="BR22" s="7">
        <v>17.3</v>
      </c>
      <c r="BS22" s="7">
        <v>17.8</v>
      </c>
      <c r="BT22" s="7">
        <v>18.600000000000001</v>
      </c>
      <c r="BU22" s="7">
        <v>13.8</v>
      </c>
      <c r="BV22" s="7">
        <v>17.5</v>
      </c>
      <c r="BW22" s="7">
        <v>13.700000000000001</v>
      </c>
      <c r="BX22" s="7">
        <v>13.3</v>
      </c>
      <c r="BY22" s="7">
        <v>12.5</v>
      </c>
      <c r="BZ22" s="7">
        <v>15.4</v>
      </c>
      <c r="CA22" s="158" t="s">
        <v>32</v>
      </c>
      <c r="CB22" s="7">
        <v>13.9</v>
      </c>
      <c r="CC22" s="7">
        <v>16.899999999999999</v>
      </c>
      <c r="CD22" s="7">
        <v>15.2</v>
      </c>
      <c r="CE22" s="7">
        <v>10</v>
      </c>
      <c r="CF22" s="7">
        <v>10.1</v>
      </c>
      <c r="CG22" s="7">
        <v>10.3</v>
      </c>
      <c r="CH22" s="7">
        <v>9.6000000000000014</v>
      </c>
      <c r="CI22" s="7">
        <v>10.8</v>
      </c>
      <c r="CJ22" s="7">
        <v>7.3000000000000007</v>
      </c>
      <c r="CK22" s="7">
        <v>4.9000000000000004</v>
      </c>
      <c r="CL22" s="158" t="s">
        <v>32</v>
      </c>
      <c r="CM22" s="280">
        <v>142.69999999999999</v>
      </c>
      <c r="CN22" s="280">
        <v>164.1</v>
      </c>
      <c r="CO22" s="280">
        <v>165.5</v>
      </c>
      <c r="CP22" s="280">
        <v>162.80000000000001</v>
      </c>
      <c r="CQ22" s="280">
        <v>147.5</v>
      </c>
      <c r="CR22" s="280">
        <v>153.19999999999999</v>
      </c>
      <c r="CS22" s="280">
        <v>155.6</v>
      </c>
      <c r="CT22" s="280">
        <v>141.69999999999999</v>
      </c>
      <c r="CU22" s="280">
        <v>124.4</v>
      </c>
      <c r="CV22" s="280">
        <v>134.4</v>
      </c>
      <c r="CW22" s="158" t="s">
        <v>32</v>
      </c>
      <c r="CX22" s="280">
        <v>180.9</v>
      </c>
      <c r="CY22" s="280">
        <v>186.9</v>
      </c>
      <c r="CZ22" s="280">
        <v>201.3</v>
      </c>
      <c r="DA22" s="280">
        <v>170.2</v>
      </c>
      <c r="DB22" s="280">
        <v>159.80000000000001</v>
      </c>
      <c r="DC22" s="280">
        <v>179.5</v>
      </c>
      <c r="DD22" s="280">
        <v>178.7</v>
      </c>
      <c r="DE22" s="280">
        <v>163.4</v>
      </c>
      <c r="DF22" s="280">
        <v>143.6</v>
      </c>
      <c r="DG22" s="280">
        <v>148.5</v>
      </c>
      <c r="DH22" s="158" t="s">
        <v>32</v>
      </c>
      <c r="DI22" s="280">
        <v>31.5</v>
      </c>
      <c r="DJ22" s="280">
        <v>36.700000000000003</v>
      </c>
      <c r="DK22" s="280">
        <v>28</v>
      </c>
      <c r="DL22" s="280">
        <v>32.4</v>
      </c>
      <c r="DM22" s="280">
        <v>27.6</v>
      </c>
      <c r="DN22" s="280">
        <v>31.9</v>
      </c>
      <c r="DO22" s="280">
        <v>25.8</v>
      </c>
      <c r="DP22" s="280">
        <v>24.5</v>
      </c>
      <c r="DQ22" s="280">
        <v>24.9</v>
      </c>
      <c r="DR22" s="280">
        <v>23</v>
      </c>
      <c r="DS22" s="158" t="s">
        <v>32</v>
      </c>
      <c r="DT22" s="281"/>
      <c r="DU22" s="281"/>
      <c r="DV22" s="281"/>
      <c r="DW22" s="281"/>
      <c r="DX22" s="281"/>
      <c r="DY22" s="281"/>
      <c r="DZ22" s="281"/>
      <c r="EA22" s="281"/>
      <c r="EB22" s="281"/>
      <c r="EC22" s="281"/>
      <c r="ED22" s="158" t="s">
        <v>32</v>
      </c>
      <c r="EE22" s="280">
        <v>3.6</v>
      </c>
      <c r="EF22" s="280">
        <v>2.7</v>
      </c>
      <c r="EG22" s="280">
        <v>2.8</v>
      </c>
      <c r="EH22" s="280">
        <v>2.8</v>
      </c>
      <c r="EI22" s="281"/>
      <c r="EJ22" s="280">
        <v>3.7</v>
      </c>
      <c r="EK22" s="280">
        <v>2.8</v>
      </c>
      <c r="EL22" s="280">
        <v>2.7</v>
      </c>
      <c r="EM22" s="281"/>
      <c r="EN22" s="281"/>
      <c r="EO22" s="158" t="s">
        <v>32</v>
      </c>
      <c r="EP22" s="280">
        <v>16.7</v>
      </c>
      <c r="EQ22" s="280">
        <v>16.600000000000001</v>
      </c>
      <c r="ER22" s="280">
        <v>12.7</v>
      </c>
      <c r="ES22" s="280">
        <v>15.4</v>
      </c>
      <c r="ET22" s="280">
        <v>13.2</v>
      </c>
      <c r="EU22" s="280">
        <v>13.9</v>
      </c>
      <c r="EV22" s="280">
        <v>13.3</v>
      </c>
      <c r="EW22" s="280">
        <v>12</v>
      </c>
      <c r="EX22" s="280">
        <v>14.6</v>
      </c>
      <c r="EY22" s="280">
        <v>13</v>
      </c>
      <c r="EZ22" s="158" t="s">
        <v>32</v>
      </c>
      <c r="FA22" s="280">
        <v>19.5</v>
      </c>
      <c r="FB22" s="280">
        <v>21.5</v>
      </c>
      <c r="FC22" s="280">
        <v>21.4</v>
      </c>
      <c r="FD22" s="280">
        <v>16.8</v>
      </c>
      <c r="FE22" s="280">
        <v>16.7</v>
      </c>
      <c r="FF22" s="280">
        <v>22.1</v>
      </c>
      <c r="FG22" s="280">
        <v>18.600000000000001</v>
      </c>
      <c r="FH22" s="280">
        <v>16.5</v>
      </c>
      <c r="FI22" s="280">
        <v>19.3</v>
      </c>
      <c r="FJ22" s="280">
        <v>16.100000000000001</v>
      </c>
      <c r="FK22" s="158" t="s">
        <v>32</v>
      </c>
      <c r="FL22" s="280">
        <v>22.5</v>
      </c>
      <c r="FM22" s="280">
        <v>24.3</v>
      </c>
      <c r="FN22" s="280">
        <v>24.4</v>
      </c>
      <c r="FO22" s="280">
        <v>20.399999999999999</v>
      </c>
      <c r="FP22" s="280">
        <v>21.8</v>
      </c>
      <c r="FQ22" s="280">
        <v>24.2</v>
      </c>
      <c r="FR22" s="280">
        <v>23.5</v>
      </c>
      <c r="FS22" s="280">
        <v>18.100000000000001</v>
      </c>
      <c r="FT22" s="280">
        <v>22.2</v>
      </c>
      <c r="FU22" s="280">
        <v>19.3</v>
      </c>
      <c r="FV22" s="158" t="s">
        <v>32</v>
      </c>
      <c r="FW22" s="280">
        <v>32</v>
      </c>
      <c r="FX22" s="280">
        <v>32.799999999999997</v>
      </c>
      <c r="FY22" s="280">
        <v>39.799999999999997</v>
      </c>
      <c r="FZ22" s="280">
        <v>35.1</v>
      </c>
      <c r="GA22" s="280">
        <v>30.7</v>
      </c>
      <c r="GB22" s="280">
        <v>33.9</v>
      </c>
      <c r="GC22" s="280">
        <v>38.1</v>
      </c>
      <c r="GD22" s="280">
        <v>34.9</v>
      </c>
      <c r="GE22" s="280">
        <v>29.3</v>
      </c>
      <c r="GF22" s="280">
        <v>31.2</v>
      </c>
      <c r="GG22" s="158" t="s">
        <v>32</v>
      </c>
      <c r="GH22" s="280">
        <v>8.6</v>
      </c>
      <c r="GI22" s="280">
        <v>9.5</v>
      </c>
      <c r="GJ22" s="280">
        <v>9.5</v>
      </c>
      <c r="GK22" s="280">
        <v>10.4</v>
      </c>
      <c r="GL22" s="280">
        <v>11.9</v>
      </c>
      <c r="GM22" s="280">
        <v>9.9</v>
      </c>
      <c r="GN22" s="280">
        <v>10.7</v>
      </c>
      <c r="GO22" s="280">
        <v>16</v>
      </c>
      <c r="GP22" s="280">
        <v>14.1</v>
      </c>
      <c r="GQ22" s="280">
        <v>14.8</v>
      </c>
      <c r="GR22" s="158" t="s">
        <v>32</v>
      </c>
      <c r="GS22" s="280">
        <v>30.6</v>
      </c>
      <c r="GT22" s="280">
        <v>33.4</v>
      </c>
      <c r="GU22" s="280">
        <v>40.200000000000003</v>
      </c>
      <c r="GV22" s="280">
        <v>32.799999999999997</v>
      </c>
      <c r="GW22" s="280">
        <v>35.4</v>
      </c>
      <c r="GX22" s="280">
        <v>39.6</v>
      </c>
      <c r="GY22" s="280">
        <v>40.9</v>
      </c>
      <c r="GZ22" s="280">
        <v>32.799999999999997</v>
      </c>
      <c r="HA22" s="280">
        <v>25</v>
      </c>
      <c r="HB22" s="280">
        <v>27.8</v>
      </c>
      <c r="HC22" s="158" t="s">
        <v>32</v>
      </c>
      <c r="HD22" s="280">
        <v>35.200000000000003</v>
      </c>
      <c r="HE22" s="280">
        <v>37.200000000000003</v>
      </c>
      <c r="HF22" s="280">
        <v>37.299999999999997</v>
      </c>
      <c r="HG22" s="280">
        <v>36.4</v>
      </c>
      <c r="HH22" s="280">
        <v>32.4</v>
      </c>
      <c r="HI22" s="280">
        <v>35.299999999999997</v>
      </c>
      <c r="HJ22" s="280">
        <v>34</v>
      </c>
      <c r="HK22" s="280">
        <v>32.6</v>
      </c>
      <c r="HL22" s="280">
        <v>25.9</v>
      </c>
      <c r="HM22" s="280">
        <v>30.9</v>
      </c>
      <c r="HN22" s="158" t="s">
        <v>32</v>
      </c>
      <c r="HO22" s="280">
        <v>184.8</v>
      </c>
      <c r="HP22" s="280">
        <v>208.3</v>
      </c>
      <c r="HQ22" s="280">
        <v>203.6</v>
      </c>
      <c r="HR22" s="280">
        <v>191.9</v>
      </c>
      <c r="HS22" s="280">
        <v>167.4</v>
      </c>
      <c r="HT22" s="280">
        <v>180.1</v>
      </c>
      <c r="HU22" s="280">
        <v>176.6</v>
      </c>
      <c r="HV22" s="280">
        <v>163.1</v>
      </c>
      <c r="HW22" s="280">
        <v>139.69999999999999</v>
      </c>
      <c r="HX22" s="280">
        <v>149.69999999999999</v>
      </c>
      <c r="HY22" s="158" t="s">
        <v>32</v>
      </c>
      <c r="HZ22" s="281"/>
      <c r="IA22" s="281"/>
      <c r="IB22" s="280"/>
      <c r="IC22" s="280"/>
      <c r="ID22" s="280"/>
      <c r="IE22" s="281"/>
      <c r="IF22" s="281"/>
      <c r="IG22" s="281"/>
      <c r="IH22" s="281"/>
      <c r="II22" s="281"/>
      <c r="IJ22" s="158" t="s">
        <v>32</v>
      </c>
      <c r="IK22" s="281"/>
      <c r="IL22" s="281"/>
      <c r="IM22" s="281"/>
      <c r="IN22" s="281"/>
      <c r="IO22" s="281"/>
      <c r="IP22" s="281"/>
      <c r="IQ22" s="281"/>
      <c r="IR22" s="281"/>
      <c r="IS22" s="281"/>
      <c r="IT22" s="281"/>
      <c r="IU22" s="158" t="s">
        <v>32</v>
      </c>
      <c r="IV22" s="280">
        <v>19.899999999999999</v>
      </c>
      <c r="IW22" s="280">
        <v>30.9</v>
      </c>
      <c r="IX22" s="280">
        <v>27.3</v>
      </c>
      <c r="IY22" s="280">
        <v>20.6</v>
      </c>
      <c r="IZ22" s="280">
        <v>17.8</v>
      </c>
      <c r="JA22" s="280">
        <v>26.9</v>
      </c>
      <c r="JB22" s="280">
        <v>26.7</v>
      </c>
      <c r="JC22" s="280">
        <v>24.7</v>
      </c>
      <c r="JD22" s="280">
        <v>17.100000000000001</v>
      </c>
      <c r="JE22" s="280">
        <v>20.5</v>
      </c>
      <c r="JF22" s="158" t="s">
        <v>32</v>
      </c>
      <c r="JG22" s="280">
        <v>43.9</v>
      </c>
      <c r="JH22" s="280">
        <v>41.2</v>
      </c>
      <c r="JI22" s="280">
        <v>42</v>
      </c>
      <c r="JJ22" s="280">
        <v>41.7</v>
      </c>
      <c r="JK22" s="280">
        <v>36.6</v>
      </c>
      <c r="JL22" s="280">
        <v>41.8</v>
      </c>
      <c r="JM22" s="280">
        <v>43.2</v>
      </c>
      <c r="JN22" s="280">
        <v>40.5</v>
      </c>
      <c r="JO22" s="280">
        <v>36.4</v>
      </c>
      <c r="JP22" s="280">
        <v>36.200000000000003</v>
      </c>
      <c r="JQ22" s="158" t="s">
        <v>32</v>
      </c>
      <c r="JR22" s="280">
        <v>16.399999999999999</v>
      </c>
      <c r="JS22" s="280">
        <v>18.899999999999999</v>
      </c>
      <c r="JT22" s="280">
        <v>21.2</v>
      </c>
      <c r="JU22" s="280">
        <v>16.7</v>
      </c>
      <c r="JV22" s="280">
        <v>17.899999999999999</v>
      </c>
      <c r="JW22" s="280">
        <v>22.5</v>
      </c>
      <c r="JX22" s="280">
        <v>28.1</v>
      </c>
      <c r="JY22" s="280">
        <v>19.8</v>
      </c>
      <c r="JZ22" s="280">
        <v>15.2</v>
      </c>
      <c r="KA22" s="280">
        <v>19.2</v>
      </c>
      <c r="KB22" s="158" t="s">
        <v>32</v>
      </c>
      <c r="KC22" s="280">
        <v>13.7</v>
      </c>
      <c r="KD22" s="280">
        <v>14.4</v>
      </c>
      <c r="KE22" s="280">
        <v>18.899999999999999</v>
      </c>
      <c r="KF22" s="280">
        <v>18.3</v>
      </c>
      <c r="KG22" s="280">
        <v>14.2</v>
      </c>
      <c r="KH22" s="280">
        <v>16.8</v>
      </c>
      <c r="KI22" s="280">
        <v>17</v>
      </c>
      <c r="KJ22" s="280">
        <v>17.2</v>
      </c>
      <c r="KK22" s="280">
        <v>11.3</v>
      </c>
      <c r="KL22" s="280">
        <v>12.9</v>
      </c>
      <c r="KM22" s="158" t="s">
        <v>32</v>
      </c>
      <c r="KN22" s="280">
        <v>9.4</v>
      </c>
      <c r="KO22" s="280">
        <v>11.3</v>
      </c>
      <c r="KP22" s="280">
        <v>9.6999999999999993</v>
      </c>
      <c r="KQ22" s="280">
        <v>8.6</v>
      </c>
      <c r="KR22" s="280">
        <v>7</v>
      </c>
      <c r="KS22" s="280">
        <v>7.3</v>
      </c>
      <c r="KT22" s="280">
        <v>7.5</v>
      </c>
      <c r="KU22" s="280">
        <v>6</v>
      </c>
      <c r="KV22" s="280">
        <v>3.9</v>
      </c>
      <c r="KW22" s="280">
        <v>5.4</v>
      </c>
      <c r="KX22" s="158" t="s">
        <v>32</v>
      </c>
      <c r="KY22" s="280">
        <v>14</v>
      </c>
      <c r="KZ22" s="280">
        <v>13.1</v>
      </c>
      <c r="LA22" s="280">
        <v>17.2</v>
      </c>
      <c r="LB22" s="280">
        <v>13.7</v>
      </c>
      <c r="LC22" s="280">
        <v>10.4</v>
      </c>
      <c r="LD22" s="280">
        <v>12.4</v>
      </c>
      <c r="LE22" s="280">
        <v>13.8</v>
      </c>
      <c r="LF22" s="280">
        <v>8.5</v>
      </c>
      <c r="LG22" s="280">
        <v>9.4</v>
      </c>
      <c r="LH22" s="280">
        <v>11.3</v>
      </c>
      <c r="LI22" s="158" t="s">
        <v>32</v>
      </c>
      <c r="LJ22" s="281"/>
      <c r="LK22" s="280"/>
      <c r="LL22" s="280"/>
      <c r="LM22" s="281"/>
      <c r="LN22" s="281"/>
      <c r="LO22" s="280"/>
      <c r="LP22" s="281"/>
      <c r="LQ22" s="281"/>
      <c r="LR22" s="281"/>
      <c r="LS22" s="281"/>
      <c r="LT22" s="158" t="s">
        <v>32</v>
      </c>
      <c r="LU22" s="281"/>
      <c r="LV22" s="281"/>
      <c r="LW22" s="281"/>
      <c r="LX22" s="281"/>
      <c r="LY22" s="281"/>
      <c r="LZ22" s="281"/>
      <c r="MA22" s="281"/>
      <c r="MB22" s="281"/>
      <c r="MC22" s="281"/>
      <c r="MD22" s="281"/>
      <c r="ME22" s="158" t="s">
        <v>32</v>
      </c>
      <c r="MF22" s="281"/>
      <c r="MG22" s="280">
        <v>3.1</v>
      </c>
      <c r="MH22" s="280">
        <v>3.7</v>
      </c>
      <c r="MI22" s="280">
        <v>4.5</v>
      </c>
      <c r="MJ22" s="280">
        <v>4.8</v>
      </c>
      <c r="MK22" s="280">
        <v>4.9000000000000004</v>
      </c>
      <c r="ML22" s="280">
        <v>3.9</v>
      </c>
      <c r="MM22" s="280">
        <v>3.4</v>
      </c>
      <c r="MN22" s="280">
        <v>2.7</v>
      </c>
      <c r="MO22" s="280">
        <v>2.8</v>
      </c>
      <c r="MP22" s="158" t="s">
        <v>32</v>
      </c>
      <c r="MQ22" s="280">
        <v>20.2</v>
      </c>
      <c r="MR22" s="280">
        <v>21.6</v>
      </c>
      <c r="MS22" s="280">
        <v>22.2</v>
      </c>
      <c r="MT22" s="280">
        <v>19.899999999999999</v>
      </c>
      <c r="MU22" s="280">
        <v>17</v>
      </c>
      <c r="MV22" s="280">
        <v>19.899999999999999</v>
      </c>
      <c r="MW22" s="280">
        <v>19.7</v>
      </c>
      <c r="MX22" s="280">
        <v>19.399999999999999</v>
      </c>
      <c r="MY22" s="280">
        <v>17.3</v>
      </c>
      <c r="MZ22" s="280">
        <v>15.3</v>
      </c>
      <c r="NA22" s="158" t="s">
        <v>32</v>
      </c>
      <c r="NB22" s="280">
        <v>158.6</v>
      </c>
      <c r="NC22" s="280">
        <v>172.6</v>
      </c>
      <c r="ND22" s="280">
        <v>168.1</v>
      </c>
      <c r="NE22" s="280">
        <v>159.5</v>
      </c>
      <c r="NF22" s="280">
        <v>156.30000000000001</v>
      </c>
      <c r="NG22" s="280">
        <v>154.4</v>
      </c>
      <c r="NH22" s="280">
        <v>145.9</v>
      </c>
      <c r="NI22" s="280">
        <v>139.80000000000001</v>
      </c>
      <c r="NJ22" s="280">
        <v>127.5</v>
      </c>
      <c r="NK22" s="280">
        <v>127</v>
      </c>
      <c r="NL22" s="158" t="s">
        <v>32</v>
      </c>
      <c r="NM22" s="280">
        <v>18.7</v>
      </c>
      <c r="NN22" s="280">
        <v>19</v>
      </c>
      <c r="NO22" s="280">
        <v>19.5</v>
      </c>
      <c r="NP22" s="280">
        <v>21.8</v>
      </c>
      <c r="NQ22" s="280">
        <v>19.600000000000001</v>
      </c>
      <c r="NR22" s="280">
        <v>18</v>
      </c>
      <c r="NS22" s="280">
        <v>16.3</v>
      </c>
      <c r="NT22" s="280">
        <v>18.600000000000001</v>
      </c>
      <c r="NU22" s="280">
        <v>15.2</v>
      </c>
      <c r="NV22" s="280">
        <v>17.899999999999999</v>
      </c>
      <c r="NW22" s="158" t="s">
        <v>32</v>
      </c>
      <c r="NX22" s="280">
        <v>12.4</v>
      </c>
      <c r="NY22" s="280">
        <v>12</v>
      </c>
      <c r="NZ22" s="280">
        <v>10.7</v>
      </c>
      <c r="OA22" s="280">
        <v>11.5</v>
      </c>
      <c r="OB22" s="280">
        <v>10.4</v>
      </c>
      <c r="OC22" s="280">
        <v>11.8</v>
      </c>
      <c r="OD22" s="280">
        <v>10.7</v>
      </c>
      <c r="OE22" s="280">
        <v>7.5</v>
      </c>
      <c r="OF22" s="280">
        <v>11.1</v>
      </c>
      <c r="OG22" s="280">
        <v>14.8</v>
      </c>
      <c r="OH22" s="191" t="s">
        <v>32</v>
      </c>
      <c r="OI22" s="192">
        <v>7.4</v>
      </c>
      <c r="OJ22" s="192">
        <v>7.1</v>
      </c>
      <c r="OK22" s="192">
        <v>7.8</v>
      </c>
      <c r="OL22" s="192">
        <v>6.9</v>
      </c>
      <c r="OM22" s="192">
        <v>6.4</v>
      </c>
      <c r="ON22" s="192">
        <v>6.2</v>
      </c>
      <c r="OO22" s="192">
        <v>6</v>
      </c>
      <c r="OP22" s="192">
        <v>5.0999999999999996</v>
      </c>
      <c r="OQ22" s="192">
        <v>4.9000000000000004</v>
      </c>
      <c r="OR22" s="192">
        <v>4.4000000000000004</v>
      </c>
      <c r="OS22" s="158" t="s">
        <v>32</v>
      </c>
      <c r="OT22" s="340">
        <v>-0.4</v>
      </c>
      <c r="OU22" s="340">
        <v>1.3</v>
      </c>
      <c r="OV22" s="340">
        <v>0.6</v>
      </c>
      <c r="OW22" s="340">
        <v>0.8</v>
      </c>
      <c r="OX22" s="340">
        <v>1.4</v>
      </c>
      <c r="OY22" s="340">
        <v>1.1000000000000001</v>
      </c>
      <c r="OZ22" s="340">
        <v>1</v>
      </c>
      <c r="PA22" s="340">
        <v>1.3</v>
      </c>
      <c r="PB22" s="340">
        <v>1.3</v>
      </c>
      <c r="PC22" s="340">
        <v>1.1000000000000001</v>
      </c>
      <c r="PE22" s="185">
        <f>E22-'[1]Data-temp_employment'!F22</f>
        <v>-2</v>
      </c>
      <c r="PF22" s="185">
        <f>F22-'[1]Data-temp_employment'!G22</f>
        <v>-2.6999999999999993</v>
      </c>
      <c r="PG22" s="185">
        <f>O22-'[1]Data-temp_employment'!P22</f>
        <v>-34.199999999999989</v>
      </c>
      <c r="PH22" s="185">
        <f>P22-'[1]Data-temp_employment'!Q22</f>
        <v>-62.899999999999977</v>
      </c>
      <c r="PI22" s="185">
        <f>AD22-'[1]Data-temp_employment'!AE22</f>
        <v>4</v>
      </c>
      <c r="PJ22" s="185">
        <f>AE22-'[1]Data-temp_employment'!AF22</f>
        <v>0.5</v>
      </c>
      <c r="PK22" s="185">
        <f>BR22-'[1]Data-temp_employment'!BS22</f>
        <v>0.5</v>
      </c>
      <c r="PL22" s="185">
        <f>BS22-'[1]Data-temp_employment'!BT22</f>
        <v>1</v>
      </c>
      <c r="PM22" s="185">
        <f>CC22-'[1]Data-temp_employment'!CD22</f>
        <v>2.3999999999999986</v>
      </c>
      <c r="PN22" s="185">
        <f>CD22-'[1]Data-temp_employment'!CE22</f>
        <v>-3.6999999999999993</v>
      </c>
      <c r="PO22" s="185">
        <f>CR22-'[1]Data-temp_employment'!CS22</f>
        <v>-10.900000000000006</v>
      </c>
      <c r="PP22" s="185">
        <f>CS22-'[1]Data-temp_employment'!CT22</f>
        <v>-9.9000000000000057</v>
      </c>
      <c r="PQ22" s="185">
        <f>DC22-'[1]Data-temp_employment'!DD22</f>
        <v>-7.4000000000000057</v>
      </c>
      <c r="PR22" s="185">
        <f>DD22-'[1]Data-temp_employment'!DE22</f>
        <v>-22.600000000000023</v>
      </c>
      <c r="PS22" s="185">
        <f>DN22-'[1]Data-temp_employment'!DO22</f>
        <v>-4.8000000000000043</v>
      </c>
      <c r="PT22" s="185">
        <f>DO22-'[1]Data-temp_employment'!DP22</f>
        <v>-2.1999999999999993</v>
      </c>
      <c r="PU22" s="185">
        <f>EF22-'[1]Data-temp_employment'!EG22</f>
        <v>-0.69999999999999973</v>
      </c>
      <c r="PV22" s="185">
        <f>EG22-'[1]Data-temp_employment'!EH22</f>
        <v>9.9999999999999645E-2</v>
      </c>
      <c r="PW22" s="185">
        <f>EU22-'[1]Data-temp_employment'!EV22</f>
        <v>-2.7000000000000011</v>
      </c>
      <c r="PX22" s="185">
        <f>EV22-'[1]Data-temp_employment'!EW22</f>
        <v>0.60000000000000142</v>
      </c>
      <c r="PY22" s="185">
        <f>FF22-'[1]Data-temp_employment'!FG22</f>
        <v>0.60000000000000142</v>
      </c>
      <c r="PZ22" s="185">
        <f>FG22-'[1]Data-temp_employment'!FH22</f>
        <v>-2.7999999999999972</v>
      </c>
      <c r="QA22" s="185">
        <f>FQ22-'[1]Data-temp_employment'!FR22</f>
        <v>-0.10000000000000142</v>
      </c>
      <c r="QB22" s="185">
        <f>FR22-'[1]Data-temp_employment'!FS22</f>
        <v>-0.89999999999999858</v>
      </c>
      <c r="QC22" s="185">
        <f>GB22-'[1]Data-temp_employment'!GC22</f>
        <v>1.1000000000000014</v>
      </c>
      <c r="QD22" s="185">
        <f>GC22-'[1]Data-temp_employment'!GD22</f>
        <v>-1.6999999999999957</v>
      </c>
      <c r="QE22" s="185">
        <f>GM22-'[1]Data-temp_employment'!GN22</f>
        <v>0.40000000000000036</v>
      </c>
      <c r="QF22" s="185">
        <f>GN22-'[1]Data-temp_employment'!GO22</f>
        <v>1.1999999999999993</v>
      </c>
      <c r="QG22" s="185">
        <f>GX22-'[1]Data-temp_employment'!GY22</f>
        <v>6.2000000000000028</v>
      </c>
      <c r="QH22" s="185">
        <f>GY22-'[1]Data-temp_employment'!GZ22</f>
        <v>0.69999999999999574</v>
      </c>
      <c r="QI22" s="185">
        <f>HI22-'[1]Data-temp_employment'!HJ22</f>
        <v>-1.9000000000000057</v>
      </c>
      <c r="QJ22" s="185">
        <f>HJ22-'[1]Data-temp_employment'!HK22</f>
        <v>-3.2999999999999972</v>
      </c>
      <c r="QK22" s="185">
        <f>HT22-'[1]Data-temp_employment'!HU22</f>
        <v>-28.200000000000017</v>
      </c>
      <c r="QL22" s="185">
        <f>HU22-'[1]Data-temp_employment'!HV22</f>
        <v>-27</v>
      </c>
      <c r="QM22" s="185">
        <f>IE22-'[1]Data-temp_employment'!IF22</f>
        <v>0</v>
      </c>
      <c r="QN22" s="185">
        <f>IF22-'[1]Data-temp_employment'!IG22</f>
        <v>-3.2</v>
      </c>
      <c r="QO22" s="185">
        <f>JA22-'[1]Data-temp_employment'!JB22</f>
        <v>-4</v>
      </c>
      <c r="QP22" s="185">
        <f>JB22-'[1]Data-temp_employment'!JC22</f>
        <v>-0.60000000000000142</v>
      </c>
      <c r="QQ22" s="185">
        <f>JH22-'[1]Data-temp_employment'!JI22</f>
        <v>-16.299999999999997</v>
      </c>
      <c r="QR22" s="185">
        <f>JI22-'[1]Data-temp_employment'!JJ22</f>
        <v>-18.799999999999997</v>
      </c>
      <c r="QS22" s="185">
        <f>JS22-'[1]Data-temp_employment'!JT22</f>
        <v>-9.1000000000000014</v>
      </c>
      <c r="QT22" s="185">
        <f>JT22-'[1]Data-temp_employment'!JU22</f>
        <v>-8.5</v>
      </c>
      <c r="QU22" s="185">
        <f>KD22-'[1]Data-temp_employment'!KE22</f>
        <v>-5.4999999999999982</v>
      </c>
      <c r="QV22" s="185">
        <f>KE22-'[1]Data-temp_employment'!KF22</f>
        <v>-2.5</v>
      </c>
      <c r="QW22" s="185">
        <f>KO22-'[1]Data-temp_employment'!KP22</f>
        <v>3.1000000000000014</v>
      </c>
      <c r="QX22" s="185">
        <f>KP22-'[1]Data-temp_employment'!KQ22</f>
        <v>-0.10000000000000142</v>
      </c>
      <c r="QY22" s="185">
        <f>LD22-'[1]Data-temp_employment'!LE22</f>
        <v>-0.69999999999999929</v>
      </c>
      <c r="QZ22" s="185">
        <f>LE22-'[1]Data-temp_employment'!LF22</f>
        <v>-3.3999999999999986</v>
      </c>
      <c r="RA22" s="185">
        <f>LK22-'[1]Data-temp_employment'!LL22</f>
        <v>-2.9</v>
      </c>
      <c r="RB22" s="185">
        <f>LL22-'[1]Data-temp_employment'!LM22</f>
        <v>-4.3</v>
      </c>
      <c r="RC22" s="185">
        <f>LV22-'[1]Data-temp_employment'!LW22</f>
        <v>-3</v>
      </c>
      <c r="RD22" s="185">
        <f>LW22-'[1]Data-temp_employment'!LX22</f>
        <v>-3.4</v>
      </c>
      <c r="RE22" s="185">
        <f>MK22-'[1]Data-temp_employment'!ML22</f>
        <v>1.8000000000000003</v>
      </c>
      <c r="RF22" s="185">
        <f>ML22-'[1]Data-temp_employment'!MM22</f>
        <v>0.19999999999999973</v>
      </c>
      <c r="RG22" s="185">
        <f>MV22-'[1]Data-temp_employment'!MW22</f>
        <v>-1.7000000000000028</v>
      </c>
      <c r="RH22" s="185">
        <f>MW22-'[1]Data-temp_employment'!MX22</f>
        <v>-2.5</v>
      </c>
      <c r="RI22" s="185">
        <f>NG22-'[1]Data-temp_employment'!NH22</f>
        <v>-18.199999999999989</v>
      </c>
      <c r="RJ22" s="185">
        <f>NH22-'[1]Data-temp_employment'!NI22</f>
        <v>-22.199999999999989</v>
      </c>
      <c r="RK22" s="185">
        <f>NR22-'[1]Data-temp_employment'!NS22</f>
        <v>-1</v>
      </c>
      <c r="RL22" s="185">
        <f>NS22-'[1]Data-temp_employment'!NT22</f>
        <v>-3.1999999999999993</v>
      </c>
      <c r="RM22" s="185">
        <f>OC22-'[1]Data-temp_employment'!OD22</f>
        <v>-0.19999999999999929</v>
      </c>
      <c r="RN22" s="185">
        <f>OD22-'[1]Data-temp_employment'!OE22</f>
        <v>0</v>
      </c>
      <c r="RO22" s="185">
        <f>OT22-'[1]Data-temp_employment'!OV22</f>
        <v>-0.5</v>
      </c>
      <c r="RP22" s="185">
        <f>OU22-'[1]Data-temp_employment'!OW22</f>
        <v>0.70000000000000007</v>
      </c>
    </row>
    <row r="23" spans="1:485">
      <c r="A23" s="204">
        <v>20</v>
      </c>
      <c r="B23" s="158" t="s">
        <v>44</v>
      </c>
      <c r="C23" s="332">
        <v>9.1999999999999993</v>
      </c>
      <c r="D23" s="332">
        <v>14.4</v>
      </c>
      <c r="E23" s="332">
        <v>14</v>
      </c>
      <c r="F23" s="332">
        <v>10.4</v>
      </c>
      <c r="G23" s="332">
        <v>8.6</v>
      </c>
      <c r="H23" s="332">
        <v>12.6</v>
      </c>
      <c r="I23" s="332">
        <v>13.1</v>
      </c>
      <c r="J23" s="332">
        <v>8.3000000000000007</v>
      </c>
      <c r="K23" s="332">
        <v>8.4</v>
      </c>
      <c r="L23" s="332">
        <v>11.6</v>
      </c>
      <c r="M23" s="158" t="s">
        <v>44</v>
      </c>
      <c r="N23" s="332">
        <v>13.9</v>
      </c>
      <c r="O23" s="332">
        <v>22.5</v>
      </c>
      <c r="P23" s="332">
        <v>22.6</v>
      </c>
      <c r="Q23" s="332">
        <v>16.7</v>
      </c>
      <c r="R23" s="332">
        <v>13.5</v>
      </c>
      <c r="S23" s="332">
        <v>20.8</v>
      </c>
      <c r="T23" s="332">
        <v>21.2</v>
      </c>
      <c r="U23" s="332">
        <v>13.5</v>
      </c>
      <c r="V23" s="332">
        <v>13.7</v>
      </c>
      <c r="W23" s="332">
        <v>19.2</v>
      </c>
      <c r="X23" s="158" t="s">
        <v>44</v>
      </c>
      <c r="Y23" s="336"/>
      <c r="Z23" s="336"/>
      <c r="AA23" s="336"/>
      <c r="AB23" s="336"/>
      <c r="AC23" s="336"/>
      <c r="AD23" s="336"/>
      <c r="AE23" s="336"/>
      <c r="AF23" s="336"/>
      <c r="AG23" s="336"/>
      <c r="AH23" s="336"/>
      <c r="AI23" s="158" t="s">
        <v>44</v>
      </c>
      <c r="AJ23" s="332">
        <v>3.4</v>
      </c>
      <c r="AK23" s="332">
        <v>9.1</v>
      </c>
      <c r="AL23" s="332">
        <v>8.6</v>
      </c>
      <c r="AM23" s="332">
        <v>3.6</v>
      </c>
      <c r="AN23" s="332">
        <v>2.2999999999999998</v>
      </c>
      <c r="AO23" s="332">
        <v>8</v>
      </c>
      <c r="AP23" s="332">
        <v>9.3000000000000007</v>
      </c>
      <c r="AQ23" s="332">
        <v>2.6</v>
      </c>
      <c r="AR23" s="332">
        <v>2.5</v>
      </c>
      <c r="AS23" s="332">
        <v>7.1</v>
      </c>
      <c r="AT23" s="158" t="s">
        <v>44</v>
      </c>
      <c r="AU23" s="332">
        <v>2.8</v>
      </c>
      <c r="AV23" s="332">
        <v>4.4000000000000004</v>
      </c>
      <c r="AW23" s="332">
        <v>5.3</v>
      </c>
      <c r="AX23" s="332">
        <v>4.4000000000000004</v>
      </c>
      <c r="AY23" s="332">
        <v>3.3</v>
      </c>
      <c r="AZ23" s="332">
        <v>3.8</v>
      </c>
      <c r="BA23" s="332">
        <v>3.6</v>
      </c>
      <c r="BB23" s="332">
        <v>3</v>
      </c>
      <c r="BC23" s="332">
        <v>3.2</v>
      </c>
      <c r="BD23" s="332">
        <v>3.9</v>
      </c>
      <c r="BE23" s="158" t="s">
        <v>44</v>
      </c>
      <c r="BF23" s="280">
        <v>4.3</v>
      </c>
      <c r="BG23" s="280">
        <v>5</v>
      </c>
      <c r="BH23" s="280">
        <v>4.2</v>
      </c>
      <c r="BI23" s="280">
        <v>4.4000000000000004</v>
      </c>
      <c r="BJ23" s="280">
        <v>4.8</v>
      </c>
      <c r="BK23" s="280">
        <v>5.2</v>
      </c>
      <c r="BL23" s="280">
        <v>5</v>
      </c>
      <c r="BM23" s="280">
        <v>5.5</v>
      </c>
      <c r="BN23" s="280">
        <v>4.4000000000000004</v>
      </c>
      <c r="BO23" s="280">
        <v>4.5999999999999996</v>
      </c>
      <c r="BP23" s="158" t="s">
        <v>44</v>
      </c>
      <c r="BQ23" s="7">
        <v>0</v>
      </c>
      <c r="BR23" s="7">
        <v>0</v>
      </c>
      <c r="BS23" s="7">
        <v>0</v>
      </c>
      <c r="BT23" s="7">
        <v>0</v>
      </c>
      <c r="BU23" s="7">
        <v>0</v>
      </c>
      <c r="BV23" s="7">
        <v>0</v>
      </c>
      <c r="BW23" s="7">
        <v>0</v>
      </c>
      <c r="BX23" s="7">
        <v>0</v>
      </c>
      <c r="BY23" s="7">
        <v>0</v>
      </c>
      <c r="BZ23" s="7">
        <v>0</v>
      </c>
      <c r="CA23" s="158" t="s">
        <v>44</v>
      </c>
      <c r="CB23" s="7"/>
      <c r="CC23" s="7"/>
      <c r="CD23" s="7"/>
      <c r="CE23" s="7"/>
      <c r="CF23" s="7"/>
      <c r="CG23" s="7"/>
      <c r="CH23" s="7"/>
      <c r="CI23" s="7"/>
      <c r="CJ23" s="7"/>
      <c r="CK23" s="7"/>
      <c r="CL23" s="158" t="s">
        <v>44</v>
      </c>
      <c r="CM23" s="280">
        <v>4</v>
      </c>
      <c r="CN23" s="280">
        <v>7.3</v>
      </c>
      <c r="CO23" s="280">
        <v>6.9</v>
      </c>
      <c r="CP23" s="280">
        <v>5</v>
      </c>
      <c r="CQ23" s="280">
        <v>3.2</v>
      </c>
      <c r="CR23" s="280">
        <v>6.1</v>
      </c>
      <c r="CS23" s="280">
        <v>5.9</v>
      </c>
      <c r="CT23" s="280">
        <v>2.9</v>
      </c>
      <c r="CU23" s="280">
        <v>3.8</v>
      </c>
      <c r="CV23" s="280">
        <v>6.1</v>
      </c>
      <c r="CW23" s="158" t="s">
        <v>44</v>
      </c>
      <c r="CX23" s="280">
        <v>4.5999999999999996</v>
      </c>
      <c r="CY23" s="280">
        <v>7.4</v>
      </c>
      <c r="CZ23" s="280">
        <v>7.7</v>
      </c>
      <c r="DA23" s="280">
        <v>5.8</v>
      </c>
      <c r="DB23" s="280">
        <v>5.0999999999999996</v>
      </c>
      <c r="DC23" s="280">
        <v>7.5</v>
      </c>
      <c r="DD23" s="280">
        <v>7.2</v>
      </c>
      <c r="DE23" s="280">
        <v>4.5999999999999996</v>
      </c>
      <c r="DF23" s="280">
        <v>3.6</v>
      </c>
      <c r="DG23" s="280">
        <v>6.4</v>
      </c>
      <c r="DH23" s="158" t="s">
        <v>44</v>
      </c>
      <c r="DI23" s="280">
        <v>5.3</v>
      </c>
      <c r="DJ23" s="280">
        <v>7.7</v>
      </c>
      <c r="DK23" s="280">
        <v>8</v>
      </c>
      <c r="DL23" s="280">
        <v>5.9</v>
      </c>
      <c r="DM23" s="280">
        <v>5.2</v>
      </c>
      <c r="DN23" s="280">
        <v>7.2</v>
      </c>
      <c r="DO23" s="280">
        <v>8.1999999999999993</v>
      </c>
      <c r="DP23" s="280">
        <v>6.1</v>
      </c>
      <c r="DQ23" s="280">
        <v>6.3</v>
      </c>
      <c r="DR23" s="280">
        <v>6.6</v>
      </c>
      <c r="DS23" s="158" t="s">
        <v>44</v>
      </c>
      <c r="DT23" s="281"/>
      <c r="DU23" s="281"/>
      <c r="DV23" s="281"/>
      <c r="DW23" s="281"/>
      <c r="DX23" s="281"/>
      <c r="DY23" s="281"/>
      <c r="DZ23" s="281"/>
      <c r="EA23" s="281"/>
      <c r="EB23" s="281"/>
      <c r="EC23" s="281"/>
      <c r="ED23" s="158" t="s">
        <v>44</v>
      </c>
      <c r="EE23" s="281"/>
      <c r="EF23" s="281"/>
      <c r="EG23" s="281"/>
      <c r="EH23" s="281"/>
      <c r="EI23" s="281"/>
      <c r="EJ23" s="281"/>
      <c r="EK23" s="280"/>
      <c r="EL23" s="281"/>
      <c r="EM23" s="281"/>
      <c r="EN23" s="281"/>
      <c r="EO23" s="158" t="s">
        <v>44</v>
      </c>
      <c r="EP23" s="280">
        <v>4</v>
      </c>
      <c r="EQ23" s="280">
        <v>5.2</v>
      </c>
      <c r="ER23" s="280">
        <v>4.4000000000000004</v>
      </c>
      <c r="ES23" s="280">
        <v>3.5</v>
      </c>
      <c r="ET23" s="280">
        <v>3.3</v>
      </c>
      <c r="EU23" s="280">
        <v>4.4000000000000004</v>
      </c>
      <c r="EV23" s="280">
        <v>4.3</v>
      </c>
      <c r="EW23" s="280">
        <v>3.9</v>
      </c>
      <c r="EX23" s="280">
        <v>4.5</v>
      </c>
      <c r="EY23" s="280">
        <v>4.4000000000000004</v>
      </c>
      <c r="EZ23" s="158" t="s">
        <v>44</v>
      </c>
      <c r="FA23" s="280">
        <v>2.5</v>
      </c>
      <c r="FB23" s="280">
        <v>2.7</v>
      </c>
      <c r="FC23" s="280">
        <v>2.5</v>
      </c>
      <c r="FD23" s="280">
        <v>2.9</v>
      </c>
      <c r="FE23" s="280">
        <v>2.6</v>
      </c>
      <c r="FF23" s="280">
        <v>2.6</v>
      </c>
      <c r="FG23" s="280">
        <v>2.2999999999999998</v>
      </c>
      <c r="FH23" s="280">
        <v>1.8</v>
      </c>
      <c r="FI23" s="280">
        <v>1.6</v>
      </c>
      <c r="FJ23" s="280">
        <v>2</v>
      </c>
      <c r="FK23" s="158" t="s">
        <v>44</v>
      </c>
      <c r="FL23" s="281"/>
      <c r="FM23" s="280">
        <v>1.5</v>
      </c>
      <c r="FN23" s="280">
        <v>1.4</v>
      </c>
      <c r="FO23" s="281"/>
      <c r="FP23" s="281"/>
      <c r="FQ23" s="280">
        <v>1.6</v>
      </c>
      <c r="FR23" s="280">
        <v>1.7</v>
      </c>
      <c r="FS23" s="280">
        <v>1.1000000000000001</v>
      </c>
      <c r="FT23" s="281"/>
      <c r="FU23" s="280">
        <v>1.1000000000000001</v>
      </c>
      <c r="FV23" s="158" t="s">
        <v>44</v>
      </c>
      <c r="FW23" s="280">
        <v>3.2</v>
      </c>
      <c r="FX23" s="280">
        <v>5.8</v>
      </c>
      <c r="FY23" s="280">
        <v>7.2</v>
      </c>
      <c r="FZ23" s="280">
        <v>5.2</v>
      </c>
      <c r="GA23" s="280">
        <v>4.0999999999999996</v>
      </c>
      <c r="GB23" s="280">
        <v>6.8</v>
      </c>
      <c r="GC23" s="280">
        <v>6.2</v>
      </c>
      <c r="GD23" s="280">
        <v>4</v>
      </c>
      <c r="GE23" s="280">
        <v>4.8</v>
      </c>
      <c r="GF23" s="280">
        <v>7.3</v>
      </c>
      <c r="GG23" s="158" t="s">
        <v>44</v>
      </c>
      <c r="GH23" s="281"/>
      <c r="GI23" s="281"/>
      <c r="GJ23" s="281"/>
      <c r="GK23" s="281"/>
      <c r="GL23" s="281"/>
      <c r="GM23" s="281"/>
      <c r="GN23" s="281"/>
      <c r="GO23" s="281"/>
      <c r="GP23" s="281"/>
      <c r="GQ23" s="281"/>
      <c r="GR23" s="158" t="s">
        <v>44</v>
      </c>
      <c r="GS23" s="281"/>
      <c r="GT23" s="280"/>
      <c r="GU23" s="281"/>
      <c r="GV23" s="281"/>
      <c r="GW23" s="281"/>
      <c r="GX23" s="281"/>
      <c r="GY23" s="281"/>
      <c r="GZ23" s="281"/>
      <c r="HA23" s="281"/>
      <c r="HB23" s="281"/>
      <c r="HC23" s="158" t="s">
        <v>44</v>
      </c>
      <c r="HD23" s="281"/>
      <c r="HE23" s="281"/>
      <c r="HF23" s="280"/>
      <c r="HG23" s="281"/>
      <c r="HH23" s="281"/>
      <c r="HI23" s="281"/>
      <c r="HJ23" s="280"/>
      <c r="HK23" s="281"/>
      <c r="HL23" s="281"/>
      <c r="HM23" s="281"/>
      <c r="HN23" s="158" t="s">
        <v>44</v>
      </c>
      <c r="HO23" s="281"/>
      <c r="HP23" s="280">
        <v>4.3</v>
      </c>
      <c r="HQ23" s="280">
        <v>3.9</v>
      </c>
      <c r="HR23" s="280">
        <v>1.7</v>
      </c>
      <c r="HS23" s="281"/>
      <c r="HT23" s="280">
        <v>2.7</v>
      </c>
      <c r="HU23" s="280">
        <v>3</v>
      </c>
      <c r="HV23" s="280">
        <v>1.1000000000000001</v>
      </c>
      <c r="HW23" s="281"/>
      <c r="HX23" s="280">
        <v>1.9</v>
      </c>
      <c r="HY23" s="158" t="s">
        <v>44</v>
      </c>
      <c r="HZ23" s="281"/>
      <c r="IA23" s="281"/>
      <c r="IB23" s="281"/>
      <c r="IC23" s="281"/>
      <c r="ID23" s="281"/>
      <c r="IE23" s="281"/>
      <c r="IF23" s="281"/>
      <c r="IG23" s="281"/>
      <c r="IH23" s="281"/>
      <c r="II23" s="281"/>
      <c r="IJ23" s="158" t="s">
        <v>44</v>
      </c>
      <c r="IK23" s="281"/>
      <c r="IL23" s="281"/>
      <c r="IM23" s="281"/>
      <c r="IN23" s="281"/>
      <c r="IO23" s="281"/>
      <c r="IP23" s="281"/>
      <c r="IQ23" s="281"/>
      <c r="IR23" s="281"/>
      <c r="IS23" s="281"/>
      <c r="IT23" s="281"/>
      <c r="IU23" s="158" t="s">
        <v>44</v>
      </c>
      <c r="IV23" s="281"/>
      <c r="IW23" s="281"/>
      <c r="IX23" s="281"/>
      <c r="IY23" s="281"/>
      <c r="IZ23" s="281"/>
      <c r="JA23" s="281"/>
      <c r="JB23" s="281"/>
      <c r="JC23" s="281"/>
      <c r="JD23" s="281"/>
      <c r="JE23" s="281"/>
      <c r="JF23" s="158" t="s">
        <v>44</v>
      </c>
      <c r="JG23" s="280">
        <v>1.4</v>
      </c>
      <c r="JH23" s="280">
        <v>1.8</v>
      </c>
      <c r="JI23" s="280">
        <v>1.9</v>
      </c>
      <c r="JJ23" s="280">
        <v>1.9</v>
      </c>
      <c r="JK23" s="280">
        <v>1.1000000000000001</v>
      </c>
      <c r="JL23" s="281"/>
      <c r="JM23" s="280">
        <v>2.1</v>
      </c>
      <c r="JN23" s="281"/>
      <c r="JO23" s="281"/>
      <c r="JP23" s="281"/>
      <c r="JQ23" s="158" t="s">
        <v>44</v>
      </c>
      <c r="JR23" s="281"/>
      <c r="JS23" s="280"/>
      <c r="JT23" s="280"/>
      <c r="JU23" s="281"/>
      <c r="JV23" s="281"/>
      <c r="JW23" s="281"/>
      <c r="JX23" s="281"/>
      <c r="JY23" s="281"/>
      <c r="JZ23" s="281"/>
      <c r="KA23" s="281"/>
      <c r="KB23" s="158" t="s">
        <v>44</v>
      </c>
      <c r="KC23" s="280">
        <v>1.4</v>
      </c>
      <c r="KD23" s="280">
        <v>2.1</v>
      </c>
      <c r="KE23" s="280">
        <v>2.9</v>
      </c>
      <c r="KF23" s="280">
        <v>1.9</v>
      </c>
      <c r="KG23" s="280">
        <v>1.2</v>
      </c>
      <c r="KH23" s="280">
        <v>1.7</v>
      </c>
      <c r="KI23" s="280">
        <v>1.3</v>
      </c>
      <c r="KJ23" s="280">
        <v>1</v>
      </c>
      <c r="KK23" s="280">
        <v>1.2</v>
      </c>
      <c r="KL23" s="280">
        <v>2</v>
      </c>
      <c r="KM23" s="158" t="s">
        <v>44</v>
      </c>
      <c r="KN23" s="281"/>
      <c r="KO23" s="280">
        <v>1.6</v>
      </c>
      <c r="KP23" s="280">
        <v>2.2000000000000002</v>
      </c>
      <c r="KQ23" s="280">
        <v>1.1000000000000001</v>
      </c>
      <c r="KR23" s="280">
        <v>1.3</v>
      </c>
      <c r="KS23" s="280">
        <v>1.5</v>
      </c>
      <c r="KT23" s="280">
        <v>1.8</v>
      </c>
      <c r="KU23" s="280">
        <v>1.3</v>
      </c>
      <c r="KV23" s="280">
        <v>1.1000000000000001</v>
      </c>
      <c r="KW23" s="280">
        <v>1.3</v>
      </c>
      <c r="KX23" s="158" t="s">
        <v>44</v>
      </c>
      <c r="KY23" s="280">
        <v>1.3</v>
      </c>
      <c r="KZ23" s="280">
        <v>2.5</v>
      </c>
      <c r="LA23" s="280">
        <v>2.2999999999999998</v>
      </c>
      <c r="LB23" s="281"/>
      <c r="LC23" s="281"/>
      <c r="LD23" s="280">
        <v>1.5</v>
      </c>
      <c r="LE23" s="280">
        <v>1.7</v>
      </c>
      <c r="LF23" s="281"/>
      <c r="LG23" s="281"/>
      <c r="LH23" s="280">
        <v>1.1000000000000001</v>
      </c>
      <c r="LI23" s="158" t="s">
        <v>44</v>
      </c>
      <c r="LJ23" s="281"/>
      <c r="LK23" s="281"/>
      <c r="LL23" s="281"/>
      <c r="LM23" s="281"/>
      <c r="LN23" s="281"/>
      <c r="LO23" s="281"/>
      <c r="LP23" s="281"/>
      <c r="LQ23" s="281"/>
      <c r="LR23" s="281"/>
      <c r="LS23" s="281"/>
      <c r="LT23" s="158" t="s">
        <v>44</v>
      </c>
      <c r="LU23" s="281"/>
      <c r="LV23" s="280"/>
      <c r="LW23" s="280"/>
      <c r="LX23" s="281"/>
      <c r="LY23" s="281"/>
      <c r="LZ23" s="281"/>
      <c r="MA23" s="281"/>
      <c r="MB23" s="281"/>
      <c r="MC23" s="281"/>
      <c r="MD23" s="281"/>
      <c r="ME23" s="158" t="s">
        <v>44</v>
      </c>
      <c r="MF23" s="281"/>
      <c r="MG23" s="281"/>
      <c r="MH23" s="280"/>
      <c r="MI23" s="281"/>
      <c r="MJ23" s="281"/>
      <c r="MK23" s="281"/>
      <c r="ML23" s="281"/>
      <c r="MM23" s="281"/>
      <c r="MN23" s="281"/>
      <c r="MO23" s="281"/>
      <c r="MP23" s="158" t="s">
        <v>44</v>
      </c>
      <c r="MQ23" s="281"/>
      <c r="MR23" s="281"/>
      <c r="MS23" s="281"/>
      <c r="MT23" s="281"/>
      <c r="MU23" s="281"/>
      <c r="MV23" s="281"/>
      <c r="MW23" s="281"/>
      <c r="MX23" s="281"/>
      <c r="MY23" s="281"/>
      <c r="MZ23" s="281"/>
      <c r="NA23" s="158" t="s">
        <v>44</v>
      </c>
      <c r="NB23" s="281"/>
      <c r="NC23" s="280">
        <v>1.4</v>
      </c>
      <c r="ND23" s="281"/>
      <c r="NE23" s="281"/>
      <c r="NF23" s="281"/>
      <c r="NG23" s="280">
        <v>1.7</v>
      </c>
      <c r="NH23" s="280">
        <v>1.7</v>
      </c>
      <c r="NI23" s="281"/>
      <c r="NJ23" s="280">
        <v>1.2</v>
      </c>
      <c r="NK23" s="280">
        <v>1.8</v>
      </c>
      <c r="NL23" s="158" t="s">
        <v>44</v>
      </c>
      <c r="NM23" s="280">
        <v>3.6</v>
      </c>
      <c r="NN23" s="280">
        <v>3.7</v>
      </c>
      <c r="NO23" s="280">
        <v>3.2</v>
      </c>
      <c r="NP23" s="280">
        <v>3.4</v>
      </c>
      <c r="NQ23" s="280">
        <v>3.2</v>
      </c>
      <c r="NR23" s="280">
        <v>4.0999999999999996</v>
      </c>
      <c r="NS23" s="280">
        <v>4</v>
      </c>
      <c r="NT23" s="280">
        <v>3.7</v>
      </c>
      <c r="NU23" s="280">
        <v>3.8</v>
      </c>
      <c r="NV23" s="280">
        <v>3.1</v>
      </c>
      <c r="NW23" s="158" t="s">
        <v>44</v>
      </c>
      <c r="NX23" s="280">
        <v>1.8</v>
      </c>
      <c r="NY23" s="280">
        <v>2.5</v>
      </c>
      <c r="NZ23" s="280">
        <v>2.7</v>
      </c>
      <c r="OA23" s="280">
        <v>1.4</v>
      </c>
      <c r="OB23" s="280">
        <v>1.3</v>
      </c>
      <c r="OC23" s="280">
        <v>2.2999999999999998</v>
      </c>
      <c r="OD23" s="280">
        <v>2.7</v>
      </c>
      <c r="OE23" s="280">
        <v>2</v>
      </c>
      <c r="OF23" s="280">
        <v>1.9</v>
      </c>
      <c r="OG23" s="280">
        <v>3.3</v>
      </c>
      <c r="OH23" s="191" t="s">
        <v>44</v>
      </c>
      <c r="OI23" s="192">
        <v>4</v>
      </c>
      <c r="OJ23" s="192">
        <v>4.0999999999999996</v>
      </c>
      <c r="OK23" s="192">
        <v>4.2</v>
      </c>
      <c r="OL23" s="192">
        <v>5</v>
      </c>
      <c r="OM23" s="192">
        <v>3.5</v>
      </c>
      <c r="ON23" s="192">
        <v>3.1</v>
      </c>
      <c r="OO23" s="192">
        <v>3.2</v>
      </c>
      <c r="OP23" s="192">
        <v>3.6</v>
      </c>
      <c r="OQ23" s="192">
        <v>2.6</v>
      </c>
      <c r="OR23" s="192">
        <v>2.5</v>
      </c>
      <c r="OS23" s="158" t="s">
        <v>44</v>
      </c>
      <c r="OT23" s="341"/>
      <c r="OU23" s="341"/>
      <c r="OV23" s="341"/>
      <c r="OW23" s="341"/>
      <c r="OX23" s="341"/>
      <c r="OY23" s="341"/>
      <c r="OZ23" s="341"/>
      <c r="PA23" s="341"/>
      <c r="PB23" s="341"/>
      <c r="PC23" s="341"/>
      <c r="PE23" s="185">
        <f>E23-'[1]Data-temp_employment'!F23</f>
        <v>-1.9000000000000004</v>
      </c>
      <c r="PF23" s="185">
        <f>F23-'[1]Data-temp_employment'!G23</f>
        <v>-0.19999999999999929</v>
      </c>
      <c r="PG23" s="185">
        <f>O23-'[1]Data-temp_employment'!P23</f>
        <v>-1.1000000000000014</v>
      </c>
      <c r="PH23" s="185">
        <f>P23-'[1]Data-temp_employment'!Q23</f>
        <v>-1.7999999999999972</v>
      </c>
      <c r="PI23" s="185">
        <f>AD23-'[1]Data-temp_employment'!AE23</f>
        <v>0</v>
      </c>
      <c r="PJ23" s="185">
        <f>AE23-'[1]Data-temp_employment'!AF23</f>
        <v>0</v>
      </c>
      <c r="PK23" s="185">
        <f>BR23-'[1]Data-temp_employment'!BS23</f>
        <v>0</v>
      </c>
      <c r="PL23" s="185">
        <f>BS23-'[1]Data-temp_employment'!BT23</f>
        <v>0</v>
      </c>
      <c r="PM23" s="185">
        <f>CC23-'[1]Data-temp_employment'!CD23</f>
        <v>0</v>
      </c>
      <c r="PN23" s="185">
        <f>CD23-'[1]Data-temp_employment'!CE23</f>
        <v>0</v>
      </c>
      <c r="PO23" s="185">
        <f>CR23-'[1]Data-temp_employment'!CS23</f>
        <v>-1.2000000000000002</v>
      </c>
      <c r="PP23" s="185">
        <f>CS23-'[1]Data-temp_employment'!CT23</f>
        <v>-1</v>
      </c>
      <c r="PQ23" s="185">
        <f>DC23-'[1]Data-temp_employment'!DD23</f>
        <v>9.9999999999999645E-2</v>
      </c>
      <c r="PR23" s="185">
        <f>DD23-'[1]Data-temp_employment'!DE23</f>
        <v>-0.5</v>
      </c>
      <c r="PS23" s="185">
        <f>DN23-'[1]Data-temp_employment'!DO23</f>
        <v>-0.5</v>
      </c>
      <c r="PT23" s="185">
        <f>DO23-'[1]Data-temp_employment'!DP23</f>
        <v>0.19999999999999929</v>
      </c>
      <c r="PU23" s="185">
        <f>EF23-'[1]Data-temp_employment'!EG23</f>
        <v>0</v>
      </c>
      <c r="PV23" s="185">
        <f>EG23-'[1]Data-temp_employment'!EH23</f>
        <v>0</v>
      </c>
      <c r="PW23" s="185">
        <f>EU23-'[1]Data-temp_employment'!EV23</f>
        <v>-0.79999999999999982</v>
      </c>
      <c r="PX23" s="185">
        <f>EV23-'[1]Data-temp_employment'!EW23</f>
        <v>-0.10000000000000053</v>
      </c>
      <c r="PY23" s="185">
        <f>FF23-'[1]Data-temp_employment'!FG23</f>
        <v>-0.10000000000000009</v>
      </c>
      <c r="PZ23" s="185">
        <f>FG23-'[1]Data-temp_employment'!FH23</f>
        <v>-0.20000000000000018</v>
      </c>
      <c r="QA23" s="193">
        <f>FQ23-'[1]Data-temp_employment'!FR23</f>
        <v>0.10000000000000009</v>
      </c>
      <c r="QB23" s="193">
        <f>FR23-'[1]Data-temp_employment'!FS23</f>
        <v>0.30000000000000004</v>
      </c>
      <c r="QC23" s="185">
        <f>GB23-'[1]Data-temp_employment'!GC23</f>
        <v>1</v>
      </c>
      <c r="QD23" s="185">
        <f>GC23-'[1]Data-temp_employment'!GD23</f>
        <v>-1</v>
      </c>
      <c r="QE23" s="185">
        <f>GM23-'[1]Data-temp_employment'!GN23</f>
        <v>0</v>
      </c>
      <c r="QF23" s="185">
        <f>GN23-'[1]Data-temp_employment'!GO23</f>
        <v>0</v>
      </c>
      <c r="QG23" s="185">
        <f>GX23-'[1]Data-temp_employment'!GY23</f>
        <v>-1.1000000000000001</v>
      </c>
      <c r="QH23" s="185">
        <f>GY23-'[1]Data-temp_employment'!GZ23</f>
        <v>0</v>
      </c>
      <c r="QI23" s="185">
        <f>HI23-'[1]Data-temp_employment'!HJ23</f>
        <v>0</v>
      </c>
      <c r="QJ23" s="185">
        <f>HJ23-'[1]Data-temp_employment'!HK23</f>
        <v>-1.4</v>
      </c>
      <c r="QK23" s="185">
        <f>HT23-'[1]Data-temp_employment'!HU23</f>
        <v>-1.5999999999999996</v>
      </c>
      <c r="QL23" s="185">
        <f>HU23-'[1]Data-temp_employment'!HV23</f>
        <v>-0.89999999999999991</v>
      </c>
      <c r="QM23" s="185">
        <f>IE23-'[1]Data-temp_employment'!IF23</f>
        <v>0</v>
      </c>
      <c r="QN23" s="185">
        <f>IF23-'[1]Data-temp_employment'!IG23</f>
        <v>0</v>
      </c>
      <c r="QO23" s="185">
        <f>JA23-'[1]Data-temp_employment'!JB23</f>
        <v>0</v>
      </c>
      <c r="QP23" s="185">
        <f>JB23-'[1]Data-temp_employment'!JC23</f>
        <v>0</v>
      </c>
      <c r="QQ23" s="185">
        <f>JH23-'[1]Data-temp_employment'!JI23</f>
        <v>-0.19999999999999996</v>
      </c>
      <c r="QR23" s="185">
        <f>JI23-'[1]Data-temp_employment'!JJ23</f>
        <v>-0.20000000000000018</v>
      </c>
      <c r="QS23" s="185">
        <f>JS23-'[1]Data-temp_employment'!JT23</f>
        <v>0</v>
      </c>
      <c r="QT23" s="185">
        <f>JT23-'[1]Data-temp_employment'!JU23</f>
        <v>-1.5</v>
      </c>
      <c r="QU23" s="185">
        <f>KD23-'[1]Data-temp_employment'!KE23</f>
        <v>0.70000000000000018</v>
      </c>
      <c r="QV23" s="185">
        <f>KE23-'[1]Data-temp_employment'!KF23</f>
        <v>0.19999999999999973</v>
      </c>
      <c r="QW23" s="185">
        <f>KO23-'[1]Data-temp_employment'!KP23</f>
        <v>1.6</v>
      </c>
      <c r="QX23" s="185">
        <f>KP23-'[1]Data-temp_employment'!KQ23</f>
        <v>0.70000000000000018</v>
      </c>
      <c r="QY23" s="185">
        <f>LD23-'[1]Data-temp_employment'!LE23</f>
        <v>-1</v>
      </c>
      <c r="QZ23" s="185">
        <f>LE23-'[1]Data-temp_employment'!LF23</f>
        <v>-0.59999999999999987</v>
      </c>
      <c r="RA23" s="185">
        <f>LK23-'[1]Data-temp_employment'!LL23</f>
        <v>0</v>
      </c>
      <c r="RB23" s="185">
        <f>LL23-'[1]Data-temp_employment'!LM23</f>
        <v>0</v>
      </c>
      <c r="RC23" s="185">
        <f>LV23-'[1]Data-temp_employment'!LW23</f>
        <v>0</v>
      </c>
      <c r="RD23" s="185">
        <f>LW23-'[1]Data-temp_employment'!LX23</f>
        <v>0</v>
      </c>
      <c r="RE23" s="185">
        <f>MK23-'[1]Data-temp_employment'!ML23</f>
        <v>0</v>
      </c>
      <c r="RF23" s="185">
        <f>ML23-'[1]Data-temp_employment'!MM23</f>
        <v>-1</v>
      </c>
      <c r="RG23" s="185">
        <f>MV23-'[1]Data-temp_employment'!MW23</f>
        <v>0</v>
      </c>
      <c r="RH23" s="185">
        <f>MW23-'[1]Data-temp_employment'!MX23</f>
        <v>0</v>
      </c>
      <c r="RI23" s="185">
        <f>NG23-'[1]Data-temp_employment'!NH23</f>
        <v>0.30000000000000004</v>
      </c>
      <c r="RJ23" s="185">
        <f>NH23-'[1]Data-temp_employment'!NI23</f>
        <v>1.7</v>
      </c>
      <c r="RK23" s="185">
        <f>NR23-'[1]Data-temp_employment'!NS23</f>
        <v>0.39999999999999947</v>
      </c>
      <c r="RL23" s="185">
        <f>NS23-'[1]Data-temp_employment'!NT23</f>
        <v>0.79999999999999982</v>
      </c>
      <c r="RM23" s="185">
        <f>OC23-'[1]Data-temp_employment'!OD23</f>
        <v>-0.20000000000000018</v>
      </c>
      <c r="RN23" s="185">
        <f>OD23-'[1]Data-temp_employment'!OE23</f>
        <v>0</v>
      </c>
      <c r="RO23" s="185">
        <f>OT23-'[1]Data-temp_employment'!OV23</f>
        <v>0</v>
      </c>
      <c r="RP23" s="185">
        <f>OU23-'[1]Data-temp_employment'!OW23</f>
        <v>0</v>
      </c>
    </row>
    <row r="24" spans="1:485">
      <c r="A24" s="204">
        <v>21</v>
      </c>
      <c r="B24" s="158" t="s">
        <v>22</v>
      </c>
      <c r="C24" s="332">
        <v>8.4</v>
      </c>
      <c r="D24" s="332">
        <v>9.5</v>
      </c>
      <c r="E24" s="332">
        <v>9.5</v>
      </c>
      <c r="F24" s="332">
        <v>8.5</v>
      </c>
      <c r="G24" s="332">
        <v>7.7</v>
      </c>
      <c r="H24" s="332">
        <v>7.9</v>
      </c>
      <c r="I24" s="332">
        <v>10.8</v>
      </c>
      <c r="J24" s="332">
        <v>9.9</v>
      </c>
      <c r="K24" s="332">
        <v>9.1</v>
      </c>
      <c r="L24" s="332">
        <v>10.1</v>
      </c>
      <c r="M24" s="158" t="s">
        <v>22</v>
      </c>
      <c r="N24" s="332">
        <v>141.6</v>
      </c>
      <c r="O24" s="332">
        <v>164.2</v>
      </c>
      <c r="P24" s="332">
        <v>167.9</v>
      </c>
      <c r="Q24" s="332">
        <v>151.19999999999999</v>
      </c>
      <c r="R24" s="332">
        <v>136.9</v>
      </c>
      <c r="S24" s="332">
        <v>142.9</v>
      </c>
      <c r="T24" s="332">
        <v>198.3</v>
      </c>
      <c r="U24" s="332">
        <v>183.6</v>
      </c>
      <c r="V24" s="332">
        <v>167.2</v>
      </c>
      <c r="W24" s="332">
        <v>188.6</v>
      </c>
      <c r="X24" s="158" t="s">
        <v>22</v>
      </c>
      <c r="Y24" s="336"/>
      <c r="Z24" s="332">
        <v>2.9</v>
      </c>
      <c r="AA24" s="332">
        <v>4.3</v>
      </c>
      <c r="AB24" s="332">
        <v>2.9</v>
      </c>
      <c r="AC24" s="336"/>
      <c r="AD24" s="332">
        <v>2.9</v>
      </c>
      <c r="AE24" s="332">
        <v>11.3</v>
      </c>
      <c r="AF24" s="332">
        <v>7.9</v>
      </c>
      <c r="AG24" s="332">
        <v>5.6</v>
      </c>
      <c r="AH24" s="332">
        <v>8.3000000000000007</v>
      </c>
      <c r="AI24" s="158" t="s">
        <v>22</v>
      </c>
      <c r="AJ24" s="332">
        <v>5.3</v>
      </c>
      <c r="AK24" s="332">
        <v>8.9</v>
      </c>
      <c r="AL24" s="332">
        <v>20</v>
      </c>
      <c r="AM24" s="332">
        <v>11.1</v>
      </c>
      <c r="AN24" s="332">
        <v>4.0999999999999996</v>
      </c>
      <c r="AO24" s="332">
        <v>9</v>
      </c>
      <c r="AP24" s="332">
        <v>32.799999999999997</v>
      </c>
      <c r="AQ24" s="332">
        <v>18.600000000000001</v>
      </c>
      <c r="AR24" s="332">
        <v>11.7</v>
      </c>
      <c r="AS24" s="332">
        <v>26.3</v>
      </c>
      <c r="AT24" s="158" t="s">
        <v>22</v>
      </c>
      <c r="AU24" s="332">
        <v>4.9000000000000004</v>
      </c>
      <c r="AV24" s="332">
        <v>11.7</v>
      </c>
      <c r="AW24" s="332">
        <v>13.1</v>
      </c>
      <c r="AX24" s="332">
        <v>10.1</v>
      </c>
      <c r="AY24" s="332">
        <v>6.2</v>
      </c>
      <c r="AZ24" s="332">
        <v>10</v>
      </c>
      <c r="BA24" s="332">
        <v>23.9</v>
      </c>
      <c r="BB24" s="332">
        <v>23.6</v>
      </c>
      <c r="BC24" s="332">
        <v>22.8</v>
      </c>
      <c r="BD24" s="332">
        <v>25.1</v>
      </c>
      <c r="BE24" s="158" t="s">
        <v>22</v>
      </c>
      <c r="BF24" s="280">
        <v>20.7</v>
      </c>
      <c r="BG24" s="280">
        <v>21.6</v>
      </c>
      <c r="BH24" s="280">
        <v>22.5</v>
      </c>
      <c r="BI24" s="280">
        <v>20.9</v>
      </c>
      <c r="BJ24" s="280">
        <v>19.5</v>
      </c>
      <c r="BK24" s="280">
        <v>20.5</v>
      </c>
      <c r="BL24" s="280">
        <v>45.2</v>
      </c>
      <c r="BM24" s="280">
        <v>42.4</v>
      </c>
      <c r="BN24" s="280">
        <v>41.4</v>
      </c>
      <c r="BO24" s="280">
        <v>44</v>
      </c>
      <c r="BP24" s="158" t="s">
        <v>22</v>
      </c>
      <c r="BQ24" s="7">
        <v>9.5</v>
      </c>
      <c r="BR24" s="7">
        <v>13.2</v>
      </c>
      <c r="BS24" s="7">
        <v>12.5</v>
      </c>
      <c r="BT24" s="7">
        <v>12.399999999999999</v>
      </c>
      <c r="BU24" s="7">
        <v>10.4</v>
      </c>
      <c r="BV24" s="7">
        <v>11.4</v>
      </c>
      <c r="BW24" s="7">
        <v>18.600000000000001</v>
      </c>
      <c r="BX24" s="7">
        <v>16.600000000000001</v>
      </c>
      <c r="BY24" s="7">
        <v>14</v>
      </c>
      <c r="BZ24" s="7">
        <v>17.399999999999999</v>
      </c>
      <c r="CA24" s="158" t="s">
        <v>22</v>
      </c>
      <c r="CB24" s="7">
        <v>16.3</v>
      </c>
      <c r="CC24" s="7">
        <v>19.8</v>
      </c>
      <c r="CD24" s="7">
        <v>19.100000000000001</v>
      </c>
      <c r="CE24" s="7">
        <v>19</v>
      </c>
      <c r="CF24" s="7">
        <v>14.6</v>
      </c>
      <c r="CG24" s="7">
        <v>14.100000000000001</v>
      </c>
      <c r="CH24" s="7">
        <v>26.7</v>
      </c>
      <c r="CI24" s="7">
        <v>26.4</v>
      </c>
      <c r="CJ24" s="7">
        <v>27.799999999999997</v>
      </c>
      <c r="CK24" s="7">
        <v>31.9</v>
      </c>
      <c r="CL24" s="158" t="s">
        <v>22</v>
      </c>
      <c r="CM24" s="280">
        <v>24.9</v>
      </c>
      <c r="CN24" s="280">
        <v>29.4</v>
      </c>
      <c r="CO24" s="280">
        <v>34.799999999999997</v>
      </c>
      <c r="CP24" s="280">
        <v>25.8</v>
      </c>
      <c r="CQ24" s="280">
        <v>20.5</v>
      </c>
      <c r="CR24" s="280">
        <v>25.2</v>
      </c>
      <c r="CS24" s="280">
        <v>32</v>
      </c>
      <c r="CT24" s="280">
        <v>24</v>
      </c>
      <c r="CU24" s="280">
        <v>23.7</v>
      </c>
      <c r="CV24" s="280">
        <v>30.9</v>
      </c>
      <c r="CW24" s="158" t="s">
        <v>22</v>
      </c>
      <c r="CX24" s="280">
        <v>59.5</v>
      </c>
      <c r="CY24" s="280">
        <v>75.3</v>
      </c>
      <c r="CZ24" s="280">
        <v>69.900000000000006</v>
      </c>
      <c r="DA24" s="280">
        <v>64</v>
      </c>
      <c r="DB24" s="280">
        <v>60.8</v>
      </c>
      <c r="DC24" s="280">
        <v>63.2</v>
      </c>
      <c r="DD24" s="280">
        <v>91.1</v>
      </c>
      <c r="DE24" s="280">
        <v>83.8</v>
      </c>
      <c r="DF24" s="280">
        <v>77.5</v>
      </c>
      <c r="DG24" s="280">
        <v>85.3</v>
      </c>
      <c r="DH24" s="158" t="s">
        <v>22</v>
      </c>
      <c r="DI24" s="280">
        <v>53.2</v>
      </c>
      <c r="DJ24" s="280">
        <v>56.5</v>
      </c>
      <c r="DK24" s="280">
        <v>59.7</v>
      </c>
      <c r="DL24" s="280">
        <v>58.4</v>
      </c>
      <c r="DM24" s="280">
        <v>53.5</v>
      </c>
      <c r="DN24" s="280">
        <v>51.6</v>
      </c>
      <c r="DO24" s="280">
        <v>67.599999999999994</v>
      </c>
      <c r="DP24" s="280">
        <v>67.900000000000006</v>
      </c>
      <c r="DQ24" s="280">
        <v>64.5</v>
      </c>
      <c r="DR24" s="280">
        <v>70.099999999999994</v>
      </c>
      <c r="DS24" s="158" t="s">
        <v>22</v>
      </c>
      <c r="DT24" s="280">
        <v>3.9</v>
      </c>
      <c r="DU24" s="280">
        <v>3</v>
      </c>
      <c r="DV24" s="280">
        <v>3.4</v>
      </c>
      <c r="DW24" s="280">
        <v>3</v>
      </c>
      <c r="DX24" s="281"/>
      <c r="DY24" s="280">
        <v>3</v>
      </c>
      <c r="DZ24" s="280">
        <v>7.7</v>
      </c>
      <c r="EA24" s="280">
        <v>7.8</v>
      </c>
      <c r="EB24" s="281"/>
      <c r="EC24" s="281"/>
      <c r="ED24" s="158" t="s">
        <v>22</v>
      </c>
      <c r="EE24" s="281"/>
      <c r="EF24" s="281"/>
      <c r="EG24" s="280">
        <v>3.3</v>
      </c>
      <c r="EH24" s="280">
        <v>3</v>
      </c>
      <c r="EI24" s="280">
        <v>2.5</v>
      </c>
      <c r="EJ24" s="281"/>
      <c r="EK24" s="281"/>
      <c r="EL24" s="280">
        <v>3.6</v>
      </c>
      <c r="EM24" s="280">
        <v>3.1</v>
      </c>
      <c r="EN24" s="281"/>
      <c r="EO24" s="158" t="s">
        <v>22</v>
      </c>
      <c r="EP24" s="280">
        <v>27.7</v>
      </c>
      <c r="EQ24" s="280">
        <v>28.3</v>
      </c>
      <c r="ER24" s="280">
        <v>29.8</v>
      </c>
      <c r="ES24" s="280">
        <v>29.5</v>
      </c>
      <c r="ET24" s="280">
        <v>27.1</v>
      </c>
      <c r="EU24" s="280">
        <v>28</v>
      </c>
      <c r="EV24" s="280">
        <v>35.200000000000003</v>
      </c>
      <c r="EW24" s="280">
        <v>38</v>
      </c>
      <c r="EX24" s="280">
        <v>35.5</v>
      </c>
      <c r="EY24" s="280">
        <v>37.9</v>
      </c>
      <c r="EZ24" s="158" t="s">
        <v>22</v>
      </c>
      <c r="FA24" s="280">
        <v>9.3000000000000007</v>
      </c>
      <c r="FB24" s="280">
        <v>12.4</v>
      </c>
      <c r="FC24" s="280">
        <v>13.4</v>
      </c>
      <c r="FD24" s="280">
        <v>12.9</v>
      </c>
      <c r="FE24" s="280">
        <v>9.9</v>
      </c>
      <c r="FF24" s="280">
        <v>10</v>
      </c>
      <c r="FG24" s="280">
        <v>16.399999999999999</v>
      </c>
      <c r="FH24" s="280">
        <v>13.3</v>
      </c>
      <c r="FI24" s="280">
        <v>12</v>
      </c>
      <c r="FJ24" s="280">
        <v>13.6</v>
      </c>
      <c r="FK24" s="158" t="s">
        <v>22</v>
      </c>
      <c r="FL24" s="280">
        <v>13.9</v>
      </c>
      <c r="FM24" s="280">
        <v>17.600000000000001</v>
      </c>
      <c r="FN24" s="280">
        <v>16</v>
      </c>
      <c r="FO24" s="280">
        <v>16.399999999999999</v>
      </c>
      <c r="FP24" s="280">
        <v>14.8</v>
      </c>
      <c r="FQ24" s="280">
        <v>14.9</v>
      </c>
      <c r="FR24" s="280">
        <v>20.3</v>
      </c>
      <c r="FS24" s="280">
        <v>16.100000000000001</v>
      </c>
      <c r="FT24" s="280">
        <v>15.5</v>
      </c>
      <c r="FU24" s="280">
        <v>20</v>
      </c>
      <c r="FV24" s="158" t="s">
        <v>22</v>
      </c>
      <c r="FW24" s="280">
        <v>48</v>
      </c>
      <c r="FX24" s="280">
        <v>58</v>
      </c>
      <c r="FY24" s="280">
        <v>56</v>
      </c>
      <c r="FZ24" s="280">
        <v>51.1</v>
      </c>
      <c r="GA24" s="280">
        <v>47.5</v>
      </c>
      <c r="GB24" s="280">
        <v>54.4</v>
      </c>
      <c r="GC24" s="280">
        <v>71.3</v>
      </c>
      <c r="GD24" s="280">
        <v>68.900000000000006</v>
      </c>
      <c r="GE24" s="280">
        <v>59.7</v>
      </c>
      <c r="GF24" s="280">
        <v>59.3</v>
      </c>
      <c r="GG24" s="158" t="s">
        <v>22</v>
      </c>
      <c r="GH24" s="280">
        <v>2.6</v>
      </c>
      <c r="GI24" s="280">
        <v>3.4</v>
      </c>
      <c r="GJ24" s="280">
        <v>2.6</v>
      </c>
      <c r="GK24" s="281"/>
      <c r="GL24" s="280">
        <v>3</v>
      </c>
      <c r="GM24" s="280">
        <v>2.8</v>
      </c>
      <c r="GN24" s="281"/>
      <c r="GO24" s="281"/>
      <c r="GP24" s="281"/>
      <c r="GQ24" s="280">
        <v>3.6</v>
      </c>
      <c r="GR24" s="158" t="s">
        <v>22</v>
      </c>
      <c r="GS24" s="280">
        <v>8.9</v>
      </c>
      <c r="GT24" s="280">
        <v>9.6</v>
      </c>
      <c r="GU24" s="280">
        <v>11.9</v>
      </c>
      <c r="GV24" s="280">
        <v>7.6</v>
      </c>
      <c r="GW24" s="280">
        <v>6.4</v>
      </c>
      <c r="GX24" s="280">
        <v>6.2</v>
      </c>
      <c r="GY24" s="280">
        <v>12.5</v>
      </c>
      <c r="GZ24" s="280">
        <v>10.8</v>
      </c>
      <c r="HA24" s="280">
        <v>8.8000000000000007</v>
      </c>
      <c r="HB24" s="280">
        <v>11.9</v>
      </c>
      <c r="HC24" s="158" t="s">
        <v>22</v>
      </c>
      <c r="HD24" s="280">
        <v>7.5</v>
      </c>
      <c r="HE24" s="280">
        <v>6.7</v>
      </c>
      <c r="HF24" s="280">
        <v>6.8</v>
      </c>
      <c r="HG24" s="280">
        <v>6.8</v>
      </c>
      <c r="HH24" s="280">
        <v>4.5999999999999996</v>
      </c>
      <c r="HI24" s="280">
        <v>6.4</v>
      </c>
      <c r="HJ24" s="280">
        <v>9.6999999999999993</v>
      </c>
      <c r="HK24" s="280">
        <v>7.1</v>
      </c>
      <c r="HL24" s="280">
        <v>8.3000000000000007</v>
      </c>
      <c r="HM24" s="280">
        <v>10.7</v>
      </c>
      <c r="HN24" s="158" t="s">
        <v>22</v>
      </c>
      <c r="HO24" s="280">
        <v>19.8</v>
      </c>
      <c r="HP24" s="280">
        <v>24.4</v>
      </c>
      <c r="HQ24" s="280">
        <v>25.9</v>
      </c>
      <c r="HR24" s="280">
        <v>19.7</v>
      </c>
      <c r="HS24" s="280">
        <v>18.8</v>
      </c>
      <c r="HT24" s="280">
        <v>17.600000000000001</v>
      </c>
      <c r="HU24" s="280">
        <v>27.3</v>
      </c>
      <c r="HV24" s="280">
        <v>21.9</v>
      </c>
      <c r="HW24" s="280">
        <v>21.5</v>
      </c>
      <c r="HX24" s="280">
        <v>27.7</v>
      </c>
      <c r="HY24" s="158" t="s">
        <v>22</v>
      </c>
      <c r="HZ24" s="281"/>
      <c r="IA24" s="281"/>
      <c r="IB24" s="281"/>
      <c r="IC24" s="281"/>
      <c r="ID24" s="281"/>
      <c r="IE24" s="281"/>
      <c r="IF24" s="281"/>
      <c r="IG24" s="281"/>
      <c r="IH24" s="281"/>
      <c r="II24" s="281"/>
      <c r="IJ24" s="158" t="s">
        <v>22</v>
      </c>
      <c r="IK24" s="281"/>
      <c r="IL24" s="281"/>
      <c r="IM24" s="281"/>
      <c r="IN24" s="281"/>
      <c r="IO24" s="281"/>
      <c r="IP24" s="281"/>
      <c r="IQ24" s="281"/>
      <c r="IR24" s="281"/>
      <c r="IS24" s="281"/>
      <c r="IT24" s="281"/>
      <c r="IU24" s="158" t="s">
        <v>22</v>
      </c>
      <c r="IV24" s="280">
        <v>2.8</v>
      </c>
      <c r="IW24" s="280">
        <v>3.2</v>
      </c>
      <c r="IX24" s="280">
        <v>3.7</v>
      </c>
      <c r="IY24" s="281"/>
      <c r="IZ24" s="280">
        <v>3.1</v>
      </c>
      <c r="JA24" s="281"/>
      <c r="JB24" s="280">
        <v>4.3</v>
      </c>
      <c r="JC24" s="280">
        <v>3.1</v>
      </c>
      <c r="JD24" s="280">
        <v>3.1</v>
      </c>
      <c r="JE24" s="280">
        <v>6.8</v>
      </c>
      <c r="JF24" s="158" t="s">
        <v>22</v>
      </c>
      <c r="JG24" s="280">
        <v>13.1</v>
      </c>
      <c r="JH24" s="280">
        <v>13</v>
      </c>
      <c r="JI24" s="280">
        <v>17</v>
      </c>
      <c r="JJ24" s="280">
        <v>13.4</v>
      </c>
      <c r="JK24" s="280">
        <v>10.4</v>
      </c>
      <c r="JL24" s="280">
        <v>11.3</v>
      </c>
      <c r="JM24" s="280">
        <v>18.8</v>
      </c>
      <c r="JN24" s="280">
        <v>13</v>
      </c>
      <c r="JO24" s="280">
        <v>12.9</v>
      </c>
      <c r="JP24" s="280">
        <v>14.5</v>
      </c>
      <c r="JQ24" s="158" t="s">
        <v>22</v>
      </c>
      <c r="JR24" s="280">
        <v>8.6</v>
      </c>
      <c r="JS24" s="280">
        <v>8.4</v>
      </c>
      <c r="JT24" s="280">
        <v>8.5</v>
      </c>
      <c r="JU24" s="280">
        <v>6.8</v>
      </c>
      <c r="JV24" s="280">
        <v>7.4</v>
      </c>
      <c r="JW24" s="280">
        <v>7.8</v>
      </c>
      <c r="JX24" s="280">
        <v>10.199999999999999</v>
      </c>
      <c r="JY24" s="280">
        <v>9.3000000000000007</v>
      </c>
      <c r="JZ24" s="280">
        <v>7.9</v>
      </c>
      <c r="KA24" s="280">
        <v>9.3000000000000007</v>
      </c>
      <c r="KB24" s="158" t="s">
        <v>22</v>
      </c>
      <c r="KC24" s="280">
        <v>23</v>
      </c>
      <c r="KD24" s="280">
        <v>27.5</v>
      </c>
      <c r="KE24" s="280">
        <v>26.6</v>
      </c>
      <c r="KF24" s="280">
        <v>25.9</v>
      </c>
      <c r="KG24" s="280">
        <v>19.8</v>
      </c>
      <c r="KH24" s="280">
        <v>24</v>
      </c>
      <c r="KI24" s="280">
        <v>31.5</v>
      </c>
      <c r="KJ24" s="280">
        <v>33.299999999999997</v>
      </c>
      <c r="KK24" s="280">
        <v>23.6</v>
      </c>
      <c r="KL24" s="280">
        <v>26</v>
      </c>
      <c r="KM24" s="158" t="s">
        <v>22</v>
      </c>
      <c r="KN24" s="280">
        <v>3.3</v>
      </c>
      <c r="KO24" s="280">
        <v>3.6</v>
      </c>
      <c r="KP24" s="280">
        <v>4.5999999999999996</v>
      </c>
      <c r="KQ24" s="280">
        <v>3.4</v>
      </c>
      <c r="KR24" s="280">
        <v>2.7</v>
      </c>
      <c r="KS24" s="280">
        <v>2.6</v>
      </c>
      <c r="KT24" s="280">
        <v>4.5999999999999996</v>
      </c>
      <c r="KU24" s="280">
        <v>5.7</v>
      </c>
      <c r="KV24" s="280">
        <v>4.7</v>
      </c>
      <c r="KW24" s="280">
        <v>6.7</v>
      </c>
      <c r="KX24" s="158" t="s">
        <v>22</v>
      </c>
      <c r="KY24" s="280">
        <v>17.600000000000001</v>
      </c>
      <c r="KZ24" s="280">
        <v>25.4</v>
      </c>
      <c r="LA24" s="280">
        <v>23.9</v>
      </c>
      <c r="LB24" s="280">
        <v>20.2</v>
      </c>
      <c r="LC24" s="280">
        <v>20</v>
      </c>
      <c r="LD24" s="280">
        <v>21.7</v>
      </c>
      <c r="LE24" s="280">
        <v>31.1</v>
      </c>
      <c r="LF24" s="280">
        <v>26.6</v>
      </c>
      <c r="LG24" s="280">
        <v>24.4</v>
      </c>
      <c r="LH24" s="280">
        <v>27.2</v>
      </c>
      <c r="LI24" s="158" t="s">
        <v>22</v>
      </c>
      <c r="LJ24" s="280">
        <v>5.2</v>
      </c>
      <c r="LK24" s="280">
        <v>5.3</v>
      </c>
      <c r="LL24" s="280">
        <v>4.5</v>
      </c>
      <c r="LM24" s="280">
        <v>4.5999999999999996</v>
      </c>
      <c r="LN24" s="280">
        <v>3.8</v>
      </c>
      <c r="LO24" s="280">
        <v>3.7</v>
      </c>
      <c r="LP24" s="280">
        <v>6.7</v>
      </c>
      <c r="LQ24" s="280">
        <v>5.7</v>
      </c>
      <c r="LR24" s="280">
        <v>5.6</v>
      </c>
      <c r="LS24" s="280">
        <v>6.6</v>
      </c>
      <c r="LT24" s="158" t="s">
        <v>22</v>
      </c>
      <c r="LU24" s="280">
        <v>3.2</v>
      </c>
      <c r="LV24" s="280">
        <v>3.3</v>
      </c>
      <c r="LW24" s="280">
        <v>4.0999999999999996</v>
      </c>
      <c r="LX24" s="280">
        <v>3.9</v>
      </c>
      <c r="LY24" s="280">
        <v>3.6</v>
      </c>
      <c r="LZ24" s="280">
        <v>3.2</v>
      </c>
      <c r="MA24" s="280">
        <v>4.7</v>
      </c>
      <c r="MB24" s="280">
        <v>3.2</v>
      </c>
      <c r="MC24" s="280">
        <v>4.5999999999999996</v>
      </c>
      <c r="MD24" s="280">
        <v>4.7</v>
      </c>
      <c r="ME24" s="158" t="s">
        <v>22</v>
      </c>
      <c r="MF24" s="280">
        <v>5.2</v>
      </c>
      <c r="MG24" s="280">
        <v>7.6</v>
      </c>
      <c r="MH24" s="280">
        <v>9.1999999999999993</v>
      </c>
      <c r="MI24" s="280">
        <v>6.4</v>
      </c>
      <c r="MJ24" s="280">
        <v>6.6</v>
      </c>
      <c r="MK24" s="280">
        <v>6.6</v>
      </c>
      <c r="ML24" s="280">
        <v>6.2</v>
      </c>
      <c r="MM24" s="280">
        <v>6.1</v>
      </c>
      <c r="MN24" s="280">
        <v>5.8</v>
      </c>
      <c r="MO24" s="280">
        <v>7.5</v>
      </c>
      <c r="MP24" s="158" t="s">
        <v>22</v>
      </c>
      <c r="MQ24" s="280">
        <v>6.9</v>
      </c>
      <c r="MR24" s="280">
        <v>10.6</v>
      </c>
      <c r="MS24" s="280">
        <v>9.5</v>
      </c>
      <c r="MT24" s="280">
        <v>7.8</v>
      </c>
      <c r="MU24" s="280">
        <v>7.1</v>
      </c>
      <c r="MV24" s="280">
        <v>7.3</v>
      </c>
      <c r="MW24" s="280">
        <v>11.2</v>
      </c>
      <c r="MX24" s="280">
        <v>8.6</v>
      </c>
      <c r="MY24" s="280">
        <v>9</v>
      </c>
      <c r="MZ24" s="280">
        <v>11.4</v>
      </c>
      <c r="NA24" s="158" t="s">
        <v>22</v>
      </c>
      <c r="NB24" s="280">
        <v>3.2</v>
      </c>
      <c r="NC24" s="280">
        <v>4.5</v>
      </c>
      <c r="ND24" s="280">
        <v>4.4000000000000004</v>
      </c>
      <c r="NE24" s="280">
        <v>4.2</v>
      </c>
      <c r="NF24" s="280">
        <v>3.1</v>
      </c>
      <c r="NG24" s="280">
        <v>2.8</v>
      </c>
      <c r="NH24" s="280">
        <v>5.5</v>
      </c>
      <c r="NI24" s="280">
        <v>4.5</v>
      </c>
      <c r="NJ24" s="280">
        <v>5.6</v>
      </c>
      <c r="NK24" s="280">
        <v>5</v>
      </c>
      <c r="NL24" s="158" t="s">
        <v>22</v>
      </c>
      <c r="NM24" s="280">
        <v>18.2</v>
      </c>
      <c r="NN24" s="280">
        <v>17.7</v>
      </c>
      <c r="NO24" s="280">
        <v>17.5</v>
      </c>
      <c r="NP24" s="280">
        <v>19.2</v>
      </c>
      <c r="NQ24" s="280">
        <v>19</v>
      </c>
      <c r="NR24" s="280">
        <v>18.5</v>
      </c>
      <c r="NS24" s="280">
        <v>17.2</v>
      </c>
      <c r="NT24" s="280">
        <v>25.6</v>
      </c>
      <c r="NU24" s="280">
        <v>23</v>
      </c>
      <c r="NV24" s="280">
        <v>23.3</v>
      </c>
      <c r="NW24" s="158" t="s">
        <v>22</v>
      </c>
      <c r="NX24" s="280">
        <v>18.7</v>
      </c>
      <c r="NY24" s="280">
        <v>18.3</v>
      </c>
      <c r="NZ24" s="280">
        <v>19.100000000000001</v>
      </c>
      <c r="OA24" s="280">
        <v>18.2</v>
      </c>
      <c r="OB24" s="280">
        <v>16.899999999999999</v>
      </c>
      <c r="OC24" s="280">
        <v>18.100000000000001</v>
      </c>
      <c r="OD24" s="280">
        <v>23.6</v>
      </c>
      <c r="OE24" s="280">
        <v>19</v>
      </c>
      <c r="OF24" s="280">
        <v>19.600000000000001</v>
      </c>
      <c r="OG24" s="280">
        <v>24.7</v>
      </c>
      <c r="OH24" s="191" t="s">
        <v>22</v>
      </c>
      <c r="OI24" s="192">
        <v>11.3</v>
      </c>
      <c r="OJ24" s="192">
        <v>10</v>
      </c>
      <c r="OK24" s="192">
        <v>10</v>
      </c>
      <c r="OL24" s="192">
        <v>9.8000000000000007</v>
      </c>
      <c r="OM24" s="192">
        <v>9.3000000000000007</v>
      </c>
      <c r="ON24" s="192">
        <v>8.6999999999999993</v>
      </c>
      <c r="OO24" s="192">
        <v>8.4</v>
      </c>
      <c r="OP24" s="192">
        <v>8.6</v>
      </c>
      <c r="OQ24" s="192">
        <v>8</v>
      </c>
      <c r="OR24" s="192">
        <v>6.7</v>
      </c>
      <c r="OS24" s="158" t="s">
        <v>22</v>
      </c>
      <c r="OT24" s="340">
        <v>1.9</v>
      </c>
      <c r="OU24" s="340">
        <v>0.6</v>
      </c>
      <c r="OV24" s="340">
        <v>-1.5</v>
      </c>
      <c r="OW24" s="340">
        <v>10</v>
      </c>
      <c r="OX24" s="340">
        <v>-4.8</v>
      </c>
      <c r="OY24" s="340">
        <v>3.6</v>
      </c>
      <c r="OZ24" s="340">
        <v>4.2</v>
      </c>
      <c r="PA24" s="340">
        <v>2.6</v>
      </c>
      <c r="PB24" s="340">
        <v>-0.4</v>
      </c>
      <c r="PC24" s="340">
        <v>2.5</v>
      </c>
      <c r="PE24" s="185">
        <f>E24-'[1]Data-temp_employment'!F24</f>
        <v>0.30000000000000071</v>
      </c>
      <c r="PF24" s="185">
        <f>F24-'[1]Data-temp_employment'!G24</f>
        <v>0.40000000000000036</v>
      </c>
      <c r="PG24" s="185">
        <f>O24-'[1]Data-temp_employment'!P24</f>
        <v>23.699999999999989</v>
      </c>
      <c r="PH24" s="185">
        <f>P24-'[1]Data-temp_employment'!Q24</f>
        <v>20.099999999999994</v>
      </c>
      <c r="PI24" s="185">
        <f>AD24-'[1]Data-temp_employment'!AE24</f>
        <v>2.9</v>
      </c>
      <c r="PJ24" s="185">
        <f>AE24-'[1]Data-temp_employment'!AF24</f>
        <v>7.7000000000000011</v>
      </c>
      <c r="PK24" s="185">
        <f>BR24-'[1]Data-temp_employment'!BS24</f>
        <v>3.5</v>
      </c>
      <c r="PL24" s="185">
        <f>BS24-'[1]Data-temp_employment'!BT24</f>
        <v>-0.60000000000000142</v>
      </c>
      <c r="PM24" s="185">
        <f>CC24-'[1]Data-temp_employment'!CD24</f>
        <v>-0.30000000000000071</v>
      </c>
      <c r="PN24" s="185">
        <f>CD24-'[1]Data-temp_employment'!CE24</f>
        <v>0.40000000000000213</v>
      </c>
      <c r="PO24" s="185">
        <f>CR24-'[1]Data-temp_employment'!CS24</f>
        <v>1</v>
      </c>
      <c r="PP24" s="185">
        <f>CS24-'[1]Data-temp_employment'!CT24</f>
        <v>5.1999999999999993</v>
      </c>
      <c r="PQ24" s="185">
        <f>DC24-'[1]Data-temp_employment'!DD24</f>
        <v>2.9000000000000057</v>
      </c>
      <c r="PR24" s="185">
        <f>DD24-'[1]Data-temp_employment'!DE24</f>
        <v>34.299999999999997</v>
      </c>
      <c r="PS24" s="185">
        <f>DN24-'[1]Data-temp_employment'!DO24</f>
        <v>-0.60000000000000142</v>
      </c>
      <c r="PT24" s="185">
        <f>DO24-'[1]Data-temp_employment'!DP24</f>
        <v>11.499999999999993</v>
      </c>
      <c r="PU24" s="185">
        <f>EF24-'[1]Data-temp_employment'!EG24</f>
        <v>0</v>
      </c>
      <c r="PV24" s="185">
        <f>EG24-'[1]Data-temp_employment'!EH24</f>
        <v>3.3</v>
      </c>
      <c r="PW24" s="185">
        <f>EU24-'[1]Data-temp_employment'!EV24</f>
        <v>1.3999999999999986</v>
      </c>
      <c r="PX24" s="185">
        <f>EV24-'[1]Data-temp_employment'!EW24</f>
        <v>7.8000000000000043</v>
      </c>
      <c r="PY24" s="185">
        <f>FF24-'[1]Data-temp_employment'!FG24</f>
        <v>-0.69999999999999929</v>
      </c>
      <c r="PZ24" s="185">
        <f>FG24-'[1]Data-temp_employment'!FH24</f>
        <v>4.5999999999999979</v>
      </c>
      <c r="QA24" s="185">
        <f>FQ24-'[1]Data-temp_employment'!FR24</f>
        <v>0</v>
      </c>
      <c r="QB24" s="185">
        <f>FR24-'[1]Data-temp_employment'!FS24</f>
        <v>6.3000000000000007</v>
      </c>
      <c r="QC24" s="185">
        <f>GB24-'[1]Data-temp_employment'!GC24</f>
        <v>9.1999999999999957</v>
      </c>
      <c r="QD24" s="185">
        <f>GC24-'[1]Data-temp_employment'!GD24</f>
        <v>27.299999999999997</v>
      </c>
      <c r="QE24" s="185">
        <f>GM24-'[1]Data-temp_employment'!GN24</f>
        <v>0</v>
      </c>
      <c r="QF24" s="185">
        <f>GN24-'[1]Data-temp_employment'!GO24</f>
        <v>0</v>
      </c>
      <c r="QG24" s="185">
        <f>GX24-'[1]Data-temp_employment'!GY24</f>
        <v>-2.8</v>
      </c>
      <c r="QH24" s="185">
        <f>GY24-'[1]Data-temp_employment'!GZ24</f>
        <v>1.5999999999999996</v>
      </c>
      <c r="QI24" s="185">
        <f>HI24-'[1]Data-temp_employment'!HJ24</f>
        <v>0.20000000000000018</v>
      </c>
      <c r="QJ24" s="185">
        <f>HJ24-'[1]Data-temp_employment'!HK24</f>
        <v>3.4999999999999991</v>
      </c>
      <c r="QK24" s="185">
        <f>HT24-'[1]Data-temp_employment'!HU24</f>
        <v>-3.2999999999999972</v>
      </c>
      <c r="QL24" s="185">
        <f>HU24-'[1]Data-temp_employment'!HV24</f>
        <v>5.6000000000000014</v>
      </c>
      <c r="QM24" s="185">
        <f>IE24-'[1]Data-temp_employment'!IF24</f>
        <v>0</v>
      </c>
      <c r="QN24" s="185">
        <f>IF24-'[1]Data-temp_employment'!IG24</f>
        <v>0</v>
      </c>
      <c r="QO24" s="185">
        <f>JA24-'[1]Data-temp_employment'!JB24</f>
        <v>-3</v>
      </c>
      <c r="QP24" s="185">
        <f>JB24-'[1]Data-temp_employment'!JC24</f>
        <v>1</v>
      </c>
      <c r="QQ24" s="185">
        <f>JH24-'[1]Data-temp_employment'!JI24</f>
        <v>-0.69999999999999929</v>
      </c>
      <c r="QR24" s="185">
        <f>JI24-'[1]Data-temp_employment'!JJ24</f>
        <v>1.5</v>
      </c>
      <c r="QS24" s="185">
        <f>JS24-'[1]Data-temp_employment'!JT24</f>
        <v>-1.9000000000000004</v>
      </c>
      <c r="QT24" s="185">
        <f>JT24-'[1]Data-temp_employment'!JU24</f>
        <v>-2.9000000000000004</v>
      </c>
      <c r="QU24" s="185">
        <f>KD24-'[1]Data-temp_employment'!KE24</f>
        <v>5.8999999999999986</v>
      </c>
      <c r="QV24" s="185">
        <f>KE24-'[1]Data-temp_employment'!KF24</f>
        <v>3.4000000000000021</v>
      </c>
      <c r="QW24" s="185">
        <f>KO24-'[1]Data-temp_employment'!KP24</f>
        <v>-0.19999999999999973</v>
      </c>
      <c r="QX24" s="185">
        <f>KP24-'[1]Data-temp_employment'!KQ24</f>
        <v>0.69999999999999973</v>
      </c>
      <c r="QY24" s="185">
        <f>LD24-'[1]Data-temp_employment'!LE24</f>
        <v>2.0999999999999979</v>
      </c>
      <c r="QZ24" s="185">
        <f>LE24-'[1]Data-temp_employment'!LF24</f>
        <v>11.8</v>
      </c>
      <c r="RA24" s="185">
        <f>LK24-'[1]Data-temp_employment'!LL24</f>
        <v>1.5</v>
      </c>
      <c r="RB24" s="185">
        <f>LL24-'[1]Data-temp_employment'!LM24</f>
        <v>0.79999999999999982</v>
      </c>
      <c r="RC24" s="185">
        <f>LV24-'[1]Data-temp_employment'!LW24</f>
        <v>-0.20000000000000018</v>
      </c>
      <c r="RD24" s="185">
        <f>LW24-'[1]Data-temp_employment'!LX24</f>
        <v>0.39999999999999947</v>
      </c>
      <c r="RE24" s="185">
        <f>MK24-'[1]Data-temp_employment'!ML24</f>
        <v>0.29999999999999982</v>
      </c>
      <c r="RF24" s="185">
        <f>ML24-'[1]Data-temp_employment'!MM24</f>
        <v>-1</v>
      </c>
      <c r="RG24" s="185">
        <f>MV24-'[1]Data-temp_employment'!MW24</f>
        <v>-0.20000000000000018</v>
      </c>
      <c r="RH24" s="185">
        <f>MW24-'[1]Data-temp_employment'!MX24</f>
        <v>4.3999999999999995</v>
      </c>
      <c r="RI24" s="185">
        <f>NG24-'[1]Data-temp_employment'!NH24</f>
        <v>-2.2999999999999998</v>
      </c>
      <c r="RJ24" s="185">
        <f>NH24-'[1]Data-temp_employment'!NI24</f>
        <v>0.79999999999999982</v>
      </c>
      <c r="RK24" s="185">
        <f>NR24-'[1]Data-temp_employment'!NS24</f>
        <v>1.6999999999999993</v>
      </c>
      <c r="RL24" s="185">
        <f>NS24-'[1]Data-temp_employment'!NT24</f>
        <v>0.19999999999999929</v>
      </c>
      <c r="RM24" s="185">
        <f>OC24-'[1]Data-temp_employment'!OD24</f>
        <v>2.2000000000000011</v>
      </c>
      <c r="RN24" s="185">
        <f>OD24-'[1]Data-temp_employment'!OE24</f>
        <v>6.4000000000000021</v>
      </c>
      <c r="RO24" s="193">
        <f>OT24-'[1]Data-temp_employment'!OV24</f>
        <v>0.89999999999999991</v>
      </c>
      <c r="RP24" s="193">
        <f>OU24-'[1]Data-temp_employment'!OW24</f>
        <v>-1</v>
      </c>
    </row>
    <row r="25" spans="1:485">
      <c r="A25">
        <v>22</v>
      </c>
      <c r="B25" s="158" t="s">
        <v>27</v>
      </c>
      <c r="C25" s="332">
        <v>12.7</v>
      </c>
      <c r="D25" s="332">
        <v>14.3</v>
      </c>
      <c r="E25" s="332">
        <v>14.7</v>
      </c>
      <c r="F25" s="332">
        <v>14.5</v>
      </c>
      <c r="G25" s="332">
        <v>13.8</v>
      </c>
      <c r="H25" s="332">
        <v>15.6</v>
      </c>
      <c r="I25" s="332">
        <v>16.3</v>
      </c>
      <c r="J25" s="332">
        <v>16.2</v>
      </c>
      <c r="K25" s="332">
        <v>15.7</v>
      </c>
      <c r="L25" s="332">
        <v>17.5</v>
      </c>
      <c r="M25" s="158" t="s">
        <v>27</v>
      </c>
      <c r="N25" s="332">
        <v>2134.1999999999998</v>
      </c>
      <c r="O25" s="332">
        <v>2464.1</v>
      </c>
      <c r="P25" s="332">
        <v>2549.1</v>
      </c>
      <c r="Q25" s="332">
        <v>2506.4</v>
      </c>
      <c r="R25" s="332">
        <v>2360.5</v>
      </c>
      <c r="S25" s="332">
        <v>2740</v>
      </c>
      <c r="T25" s="332">
        <v>2890.5</v>
      </c>
      <c r="U25" s="332">
        <v>2842.9</v>
      </c>
      <c r="V25" s="332">
        <v>2746.8</v>
      </c>
      <c r="W25" s="332">
        <v>3124</v>
      </c>
      <c r="X25" s="158" t="s">
        <v>27</v>
      </c>
      <c r="Y25" s="332">
        <v>70.400000000000006</v>
      </c>
      <c r="Z25" s="332">
        <v>88.7</v>
      </c>
      <c r="AA25" s="332">
        <v>77.8</v>
      </c>
      <c r="AB25" s="332">
        <v>79.099999999999994</v>
      </c>
      <c r="AC25" s="332">
        <v>74.400000000000006</v>
      </c>
      <c r="AD25" s="332">
        <v>92.4</v>
      </c>
      <c r="AE25" s="332">
        <v>88.1</v>
      </c>
      <c r="AF25" s="332">
        <v>93.4</v>
      </c>
      <c r="AG25" s="332">
        <v>69.8</v>
      </c>
      <c r="AH25" s="332">
        <v>88.2</v>
      </c>
      <c r="AI25" s="158" t="s">
        <v>27</v>
      </c>
      <c r="AJ25" s="332">
        <v>344.1</v>
      </c>
      <c r="AK25" s="332">
        <v>425</v>
      </c>
      <c r="AL25" s="332">
        <v>564.9</v>
      </c>
      <c r="AM25" s="332">
        <v>520.4</v>
      </c>
      <c r="AN25" s="332">
        <v>417.5</v>
      </c>
      <c r="AO25" s="332">
        <v>501.2</v>
      </c>
      <c r="AP25" s="332">
        <v>635.79999999999995</v>
      </c>
      <c r="AQ25" s="332">
        <v>577.6</v>
      </c>
      <c r="AR25" s="332">
        <v>510.8</v>
      </c>
      <c r="AS25" s="332">
        <v>595.9</v>
      </c>
      <c r="AT25" s="158" t="s">
        <v>27</v>
      </c>
      <c r="AU25" s="332">
        <v>508.2</v>
      </c>
      <c r="AV25" s="332">
        <v>670.4</v>
      </c>
      <c r="AW25" s="332">
        <v>706.4</v>
      </c>
      <c r="AX25" s="332">
        <v>567.5</v>
      </c>
      <c r="AY25" s="332">
        <v>529.9</v>
      </c>
      <c r="AZ25" s="332">
        <v>724.2</v>
      </c>
      <c r="BA25" s="332">
        <v>856.5</v>
      </c>
      <c r="BB25" s="332">
        <v>737.4</v>
      </c>
      <c r="BC25" s="332">
        <v>687.9</v>
      </c>
      <c r="BD25" s="332">
        <v>807.6</v>
      </c>
      <c r="BE25" s="158" t="s">
        <v>27</v>
      </c>
      <c r="BF25" s="280">
        <v>674.5</v>
      </c>
      <c r="BG25" s="280">
        <v>694.3</v>
      </c>
      <c r="BH25" s="280">
        <v>617.29999999999995</v>
      </c>
      <c r="BI25" s="280">
        <v>737.9</v>
      </c>
      <c r="BJ25" s="280">
        <v>745.7</v>
      </c>
      <c r="BK25" s="280">
        <v>832.9</v>
      </c>
      <c r="BL25" s="280">
        <v>729.5</v>
      </c>
      <c r="BM25" s="280">
        <v>862.3</v>
      </c>
      <c r="BN25" s="280">
        <v>901.4</v>
      </c>
      <c r="BO25" s="280">
        <v>1005.9</v>
      </c>
      <c r="BP25" s="158" t="s">
        <v>27</v>
      </c>
      <c r="BQ25" s="7">
        <v>67.099999999999994</v>
      </c>
      <c r="BR25" s="7">
        <v>75.7</v>
      </c>
      <c r="BS25" s="7">
        <v>82.2</v>
      </c>
      <c r="BT25" s="7">
        <v>88.300000000000011</v>
      </c>
      <c r="BU25" s="7">
        <v>76.900000000000006</v>
      </c>
      <c r="BV25" s="7">
        <v>72.599999999999994</v>
      </c>
      <c r="BW25" s="7">
        <v>91.199999999999989</v>
      </c>
      <c r="BX25" s="7">
        <v>91</v>
      </c>
      <c r="BY25" s="7">
        <v>91.199999999999989</v>
      </c>
      <c r="BZ25" s="7">
        <v>99.800000000000011</v>
      </c>
      <c r="CA25" s="158" t="s">
        <v>27</v>
      </c>
      <c r="CB25" s="7">
        <v>279.60000000000002</v>
      </c>
      <c r="CC25" s="7">
        <v>293.5</v>
      </c>
      <c r="CD25" s="7">
        <v>285.10000000000002</v>
      </c>
      <c r="CE25" s="7">
        <v>303.7</v>
      </c>
      <c r="CF25" s="7">
        <v>300</v>
      </c>
      <c r="CG25" s="7">
        <v>306.20000000000005</v>
      </c>
      <c r="CH25" s="7">
        <v>292.39999999999998</v>
      </c>
      <c r="CI25" s="7">
        <v>296.60000000000002</v>
      </c>
      <c r="CJ25" s="7">
        <v>301.8</v>
      </c>
      <c r="CK25" s="7">
        <v>328</v>
      </c>
      <c r="CL25" s="158" t="s">
        <v>27</v>
      </c>
      <c r="CM25" s="280">
        <v>685.5</v>
      </c>
      <c r="CN25" s="280">
        <v>825.5</v>
      </c>
      <c r="CO25" s="280">
        <v>905.7</v>
      </c>
      <c r="CP25" s="280">
        <v>836.4</v>
      </c>
      <c r="CQ25" s="280">
        <v>723.6</v>
      </c>
      <c r="CR25" s="280">
        <v>884.9</v>
      </c>
      <c r="CS25" s="280">
        <v>1018.6</v>
      </c>
      <c r="CT25" s="280">
        <v>945.9</v>
      </c>
      <c r="CU25" s="280">
        <v>852</v>
      </c>
      <c r="CV25" s="280">
        <v>1024.3</v>
      </c>
      <c r="CW25" s="158" t="s">
        <v>27</v>
      </c>
      <c r="CX25" s="280">
        <v>967.7</v>
      </c>
      <c r="CY25" s="280">
        <v>1169.3</v>
      </c>
      <c r="CZ25" s="280">
        <v>1228.7</v>
      </c>
      <c r="DA25" s="280">
        <v>1156.8</v>
      </c>
      <c r="DB25" s="280">
        <v>1116.9000000000001</v>
      </c>
      <c r="DC25" s="280">
        <v>1282.4000000000001</v>
      </c>
      <c r="DD25" s="280">
        <v>1369.2</v>
      </c>
      <c r="DE25" s="280">
        <v>1312</v>
      </c>
      <c r="DF25" s="280">
        <v>1276.5</v>
      </c>
      <c r="DG25" s="280">
        <v>1448.9</v>
      </c>
      <c r="DH25" s="158" t="s">
        <v>27</v>
      </c>
      <c r="DI25" s="280">
        <v>481</v>
      </c>
      <c r="DJ25" s="280">
        <v>469.3</v>
      </c>
      <c r="DK25" s="280">
        <v>414.7</v>
      </c>
      <c r="DL25" s="280">
        <v>513.20000000000005</v>
      </c>
      <c r="DM25" s="280">
        <v>519.9</v>
      </c>
      <c r="DN25" s="280">
        <v>572.79999999999995</v>
      </c>
      <c r="DO25" s="280">
        <v>502.7</v>
      </c>
      <c r="DP25" s="280">
        <v>585</v>
      </c>
      <c r="DQ25" s="280">
        <v>618.29999999999995</v>
      </c>
      <c r="DR25" s="280">
        <v>650.79999999999995</v>
      </c>
      <c r="DS25" s="158" t="s">
        <v>27</v>
      </c>
      <c r="DT25" s="281"/>
      <c r="DU25" s="281"/>
      <c r="DV25" s="281"/>
      <c r="DW25" s="281"/>
      <c r="DX25" s="281"/>
      <c r="DY25" s="281"/>
      <c r="DZ25" s="281"/>
      <c r="EA25" s="281"/>
      <c r="EB25" s="281"/>
      <c r="EC25" s="281"/>
      <c r="ED25" s="158" t="s">
        <v>27</v>
      </c>
      <c r="EE25" s="280">
        <v>12.4</v>
      </c>
      <c r="EF25" s="280">
        <v>10</v>
      </c>
      <c r="EG25" s="280">
        <v>12.6</v>
      </c>
      <c r="EH25" s="280">
        <v>10.9</v>
      </c>
      <c r="EI25" s="280">
        <v>11.2</v>
      </c>
      <c r="EJ25" s="280">
        <v>15.5</v>
      </c>
      <c r="EK25" s="280">
        <v>15.3</v>
      </c>
      <c r="EL25" s="280">
        <v>11.3</v>
      </c>
      <c r="EM25" s="280">
        <v>8</v>
      </c>
      <c r="EN25" s="280">
        <v>13.6</v>
      </c>
      <c r="EO25" s="158" t="s">
        <v>27</v>
      </c>
      <c r="EP25" s="280">
        <v>327.10000000000002</v>
      </c>
      <c r="EQ25" s="280">
        <v>289.7</v>
      </c>
      <c r="ER25" s="280">
        <v>205.8</v>
      </c>
      <c r="ES25" s="280">
        <v>333.1</v>
      </c>
      <c r="ET25" s="280">
        <v>339.5</v>
      </c>
      <c r="EU25" s="280">
        <v>347.4</v>
      </c>
      <c r="EV25" s="280">
        <v>219.8</v>
      </c>
      <c r="EW25" s="280">
        <v>359.6</v>
      </c>
      <c r="EX25" s="280">
        <v>377.5</v>
      </c>
      <c r="EY25" s="280">
        <v>366.5</v>
      </c>
      <c r="EZ25" s="158" t="s">
        <v>27</v>
      </c>
      <c r="FA25" s="280">
        <v>220.3</v>
      </c>
      <c r="FB25" s="280">
        <v>260.39999999999998</v>
      </c>
      <c r="FC25" s="280">
        <v>239.1</v>
      </c>
      <c r="FD25" s="280">
        <v>243.6</v>
      </c>
      <c r="FE25" s="280">
        <v>267.3</v>
      </c>
      <c r="FF25" s="280">
        <v>276.7</v>
      </c>
      <c r="FG25" s="280">
        <v>280.89999999999998</v>
      </c>
      <c r="FH25" s="280">
        <v>310</v>
      </c>
      <c r="FI25" s="280">
        <v>305</v>
      </c>
      <c r="FJ25" s="280">
        <v>319.5</v>
      </c>
      <c r="FK25" s="158" t="s">
        <v>27</v>
      </c>
      <c r="FL25" s="280">
        <v>218.4</v>
      </c>
      <c r="FM25" s="280">
        <v>240.9</v>
      </c>
      <c r="FN25" s="280">
        <v>286.60000000000002</v>
      </c>
      <c r="FO25" s="280">
        <v>256.39999999999998</v>
      </c>
      <c r="FP25" s="280">
        <v>247.4</v>
      </c>
      <c r="FQ25" s="280">
        <v>295.10000000000002</v>
      </c>
      <c r="FR25" s="280">
        <v>311.3</v>
      </c>
      <c r="FS25" s="280">
        <v>280.7</v>
      </c>
      <c r="FT25" s="280">
        <v>323.10000000000002</v>
      </c>
      <c r="FU25" s="280">
        <v>385.8</v>
      </c>
      <c r="FV25" s="158" t="s">
        <v>27</v>
      </c>
      <c r="FW25" s="280">
        <v>455.5</v>
      </c>
      <c r="FX25" s="280">
        <v>635.1</v>
      </c>
      <c r="FY25" s="280">
        <v>707.2</v>
      </c>
      <c r="FZ25" s="280">
        <v>570.70000000000005</v>
      </c>
      <c r="GA25" s="280">
        <v>515.79999999999995</v>
      </c>
      <c r="GB25" s="280">
        <v>673.9</v>
      </c>
      <c r="GC25" s="280">
        <v>817</v>
      </c>
      <c r="GD25" s="280">
        <v>623.70000000000005</v>
      </c>
      <c r="GE25" s="280">
        <v>604.70000000000005</v>
      </c>
      <c r="GF25" s="280">
        <v>709.7</v>
      </c>
      <c r="GG25" s="158" t="s">
        <v>27</v>
      </c>
      <c r="GH25" s="280">
        <v>43.9</v>
      </c>
      <c r="GI25" s="280">
        <v>56.9</v>
      </c>
      <c r="GJ25" s="280">
        <v>47.8</v>
      </c>
      <c r="GK25" s="280">
        <v>50.8</v>
      </c>
      <c r="GL25" s="280">
        <v>47.5</v>
      </c>
      <c r="GM25" s="280">
        <v>56.3</v>
      </c>
      <c r="GN25" s="280">
        <v>51.4</v>
      </c>
      <c r="GO25" s="280">
        <v>42.8</v>
      </c>
      <c r="GP25" s="280">
        <v>41.2</v>
      </c>
      <c r="GQ25" s="280">
        <v>65</v>
      </c>
      <c r="GR25" s="158" t="s">
        <v>27</v>
      </c>
      <c r="GS25" s="280">
        <v>258.3</v>
      </c>
      <c r="GT25" s="280">
        <v>282</v>
      </c>
      <c r="GU25" s="280">
        <v>289.3</v>
      </c>
      <c r="GV25" s="280">
        <v>291</v>
      </c>
      <c r="GW25" s="280">
        <v>285.7</v>
      </c>
      <c r="GX25" s="280">
        <v>317.60000000000002</v>
      </c>
      <c r="GY25" s="280">
        <v>332.2</v>
      </c>
      <c r="GZ25" s="280">
        <v>354.6</v>
      </c>
      <c r="HA25" s="280">
        <v>338.4</v>
      </c>
      <c r="HB25" s="280">
        <v>389.3</v>
      </c>
      <c r="HC25" s="158" t="s">
        <v>27</v>
      </c>
      <c r="HD25" s="280">
        <v>153.30000000000001</v>
      </c>
      <c r="HE25" s="280">
        <v>189.6</v>
      </c>
      <c r="HF25" s="280">
        <v>195.2</v>
      </c>
      <c r="HG25" s="280">
        <v>187.4</v>
      </c>
      <c r="HH25" s="280">
        <v>177.6</v>
      </c>
      <c r="HI25" s="280">
        <v>218.4</v>
      </c>
      <c r="HJ25" s="280">
        <v>233.9</v>
      </c>
      <c r="HK25" s="280">
        <v>226.3</v>
      </c>
      <c r="HL25" s="280">
        <v>213.6</v>
      </c>
      <c r="HM25" s="280">
        <v>244.3</v>
      </c>
      <c r="HN25" s="158" t="s">
        <v>27</v>
      </c>
      <c r="HO25" s="280">
        <v>436.7</v>
      </c>
      <c r="HP25" s="280">
        <v>495.9</v>
      </c>
      <c r="HQ25" s="280">
        <v>558.29999999999995</v>
      </c>
      <c r="HR25" s="280">
        <v>552.6</v>
      </c>
      <c r="HS25" s="280">
        <v>459.8</v>
      </c>
      <c r="HT25" s="280">
        <v>528.1</v>
      </c>
      <c r="HU25" s="280">
        <v>615.9</v>
      </c>
      <c r="HV25" s="280">
        <v>622</v>
      </c>
      <c r="HW25" s="280">
        <v>520.6</v>
      </c>
      <c r="HX25" s="280">
        <v>620.79999999999995</v>
      </c>
      <c r="HY25" s="158" t="s">
        <v>27</v>
      </c>
      <c r="HZ25" s="280">
        <v>8.4</v>
      </c>
      <c r="IA25" s="280">
        <v>3.6</v>
      </c>
      <c r="IB25" s="280">
        <v>7.3</v>
      </c>
      <c r="IC25" s="280">
        <v>9.9</v>
      </c>
      <c r="ID25" s="280">
        <v>8.6999999999999993</v>
      </c>
      <c r="IE25" s="280">
        <v>11.2</v>
      </c>
      <c r="IF25" s="280">
        <v>12.8</v>
      </c>
      <c r="IG25" s="280">
        <v>12</v>
      </c>
      <c r="IH25" s="280">
        <v>14.7</v>
      </c>
      <c r="II25" s="280">
        <v>9.5</v>
      </c>
      <c r="IJ25" s="158" t="s">
        <v>27</v>
      </c>
      <c r="IK25" s="281"/>
      <c r="IL25" s="281"/>
      <c r="IM25" s="281"/>
      <c r="IN25" s="281"/>
      <c r="IO25" s="281"/>
      <c r="IP25" s="281"/>
      <c r="IQ25" s="281"/>
      <c r="IR25" s="281"/>
      <c r="IS25" s="281"/>
      <c r="IT25" s="281"/>
      <c r="IU25" s="158" t="s">
        <v>27</v>
      </c>
      <c r="IV25" s="280">
        <v>228.9</v>
      </c>
      <c r="IW25" s="280">
        <v>261</v>
      </c>
      <c r="IX25" s="280">
        <v>288.7</v>
      </c>
      <c r="IY25" s="280">
        <v>311</v>
      </c>
      <c r="IZ25" s="280">
        <v>235.1</v>
      </c>
      <c r="JA25" s="280">
        <v>264.60000000000002</v>
      </c>
      <c r="JB25" s="280">
        <v>297.5</v>
      </c>
      <c r="JC25" s="280">
        <v>303.3</v>
      </c>
      <c r="JD25" s="280">
        <v>236.7</v>
      </c>
      <c r="JE25" s="280">
        <v>307</v>
      </c>
      <c r="JF25" s="158" t="s">
        <v>27</v>
      </c>
      <c r="JG25" s="280">
        <v>348.4</v>
      </c>
      <c r="JH25" s="280">
        <v>379</v>
      </c>
      <c r="JI25" s="280">
        <v>398.6</v>
      </c>
      <c r="JJ25" s="280">
        <v>411.6</v>
      </c>
      <c r="JK25" s="280">
        <v>397.1</v>
      </c>
      <c r="JL25" s="280">
        <v>443.6</v>
      </c>
      <c r="JM25" s="280">
        <v>459.3</v>
      </c>
      <c r="JN25" s="280">
        <v>489.9</v>
      </c>
      <c r="JO25" s="280">
        <v>486</v>
      </c>
      <c r="JP25" s="280">
        <v>544.29999999999995</v>
      </c>
      <c r="JQ25" s="158" t="s">
        <v>27</v>
      </c>
      <c r="JR25" s="280">
        <v>113.3</v>
      </c>
      <c r="JS25" s="280">
        <v>146.19999999999999</v>
      </c>
      <c r="JT25" s="280">
        <v>133</v>
      </c>
      <c r="JU25" s="280">
        <v>122.4</v>
      </c>
      <c r="JV25" s="280">
        <v>130.19999999999999</v>
      </c>
      <c r="JW25" s="280">
        <v>146.5</v>
      </c>
      <c r="JX25" s="280">
        <v>143.5</v>
      </c>
      <c r="JY25" s="280">
        <v>144</v>
      </c>
      <c r="JZ25" s="280">
        <v>147.4</v>
      </c>
      <c r="KA25" s="280">
        <v>174.4</v>
      </c>
      <c r="KB25" s="158" t="s">
        <v>27</v>
      </c>
      <c r="KC25" s="280">
        <v>236</v>
      </c>
      <c r="KD25" s="280">
        <v>262.39999999999998</v>
      </c>
      <c r="KE25" s="280">
        <v>299.60000000000002</v>
      </c>
      <c r="KF25" s="280">
        <v>300.10000000000002</v>
      </c>
      <c r="KG25" s="280">
        <v>263.10000000000002</v>
      </c>
      <c r="KH25" s="280">
        <v>318.2</v>
      </c>
      <c r="KI25" s="280">
        <v>368.8</v>
      </c>
      <c r="KJ25" s="280">
        <v>374.8</v>
      </c>
      <c r="KK25" s="280">
        <v>355.4</v>
      </c>
      <c r="KL25" s="280">
        <v>365.6</v>
      </c>
      <c r="KM25" s="158" t="s">
        <v>27</v>
      </c>
      <c r="KN25" s="280">
        <v>91.1</v>
      </c>
      <c r="KO25" s="280">
        <v>96.7</v>
      </c>
      <c r="KP25" s="280">
        <v>102.9</v>
      </c>
      <c r="KQ25" s="280">
        <v>112.5</v>
      </c>
      <c r="KR25" s="280">
        <v>107.5</v>
      </c>
      <c r="KS25" s="280">
        <v>110.9</v>
      </c>
      <c r="KT25" s="280">
        <v>132.4</v>
      </c>
      <c r="KU25" s="280">
        <v>148.6</v>
      </c>
      <c r="KV25" s="280">
        <v>138.1</v>
      </c>
      <c r="KW25" s="280">
        <v>118.4</v>
      </c>
      <c r="KX25" s="158" t="s">
        <v>27</v>
      </c>
      <c r="KY25" s="280">
        <v>208.2</v>
      </c>
      <c r="KZ25" s="280">
        <v>354.1</v>
      </c>
      <c r="LA25" s="280">
        <v>420.2</v>
      </c>
      <c r="LB25" s="280">
        <v>276.8</v>
      </c>
      <c r="LC25" s="280">
        <v>244.6</v>
      </c>
      <c r="LD25" s="280">
        <v>392.2</v>
      </c>
      <c r="LE25" s="280">
        <v>500.4</v>
      </c>
      <c r="LF25" s="280">
        <v>308.7</v>
      </c>
      <c r="LG25" s="280">
        <v>303.10000000000002</v>
      </c>
      <c r="LH25" s="280">
        <v>408.9</v>
      </c>
      <c r="LI25" s="158" t="s">
        <v>27</v>
      </c>
      <c r="LJ25" s="280">
        <v>34.6</v>
      </c>
      <c r="LK25" s="280">
        <v>36.1</v>
      </c>
      <c r="LL25" s="280">
        <v>29</v>
      </c>
      <c r="LM25" s="280">
        <v>35.1</v>
      </c>
      <c r="LN25" s="280">
        <v>43</v>
      </c>
      <c r="LO25" s="280">
        <v>40.799999999999997</v>
      </c>
      <c r="LP25" s="280">
        <v>38.1</v>
      </c>
      <c r="LQ25" s="280">
        <v>38</v>
      </c>
      <c r="LR25" s="280">
        <v>43.5</v>
      </c>
      <c r="LS25" s="280">
        <v>41.5</v>
      </c>
      <c r="LT25" s="158" t="s">
        <v>27</v>
      </c>
      <c r="LU25" s="280">
        <v>10.1</v>
      </c>
      <c r="LV25" s="280">
        <v>16.3</v>
      </c>
      <c r="LW25" s="280">
        <v>20.100000000000001</v>
      </c>
      <c r="LX25" s="280">
        <v>16</v>
      </c>
      <c r="LY25" s="280">
        <v>12.6</v>
      </c>
      <c r="LZ25" s="280">
        <v>20.399999999999999</v>
      </c>
      <c r="MA25" s="280">
        <v>21</v>
      </c>
      <c r="MB25" s="280">
        <v>15.5</v>
      </c>
      <c r="MC25" s="280">
        <v>17.8</v>
      </c>
      <c r="MD25" s="280">
        <v>28.9</v>
      </c>
      <c r="ME25" s="158" t="s">
        <v>27</v>
      </c>
      <c r="MF25" s="280">
        <v>68.2</v>
      </c>
      <c r="MG25" s="280">
        <v>74.2</v>
      </c>
      <c r="MH25" s="280">
        <v>72.2</v>
      </c>
      <c r="MI25" s="280">
        <v>85.8</v>
      </c>
      <c r="MJ25" s="280">
        <v>84.3</v>
      </c>
      <c r="MK25" s="280">
        <v>87.8</v>
      </c>
      <c r="ML25" s="280">
        <v>90.3</v>
      </c>
      <c r="MM25" s="280">
        <v>72.5</v>
      </c>
      <c r="MN25" s="280">
        <v>71.7</v>
      </c>
      <c r="MO25" s="280">
        <v>98.7</v>
      </c>
      <c r="MP25" s="158" t="s">
        <v>27</v>
      </c>
      <c r="MQ25" s="280">
        <v>124.2</v>
      </c>
      <c r="MR25" s="280">
        <v>138.80000000000001</v>
      </c>
      <c r="MS25" s="280">
        <v>161.19999999999999</v>
      </c>
      <c r="MT25" s="280">
        <v>139.80000000000001</v>
      </c>
      <c r="MU25" s="280">
        <v>126.1</v>
      </c>
      <c r="MV25" s="280">
        <v>140.30000000000001</v>
      </c>
      <c r="MW25" s="280">
        <v>149.19999999999999</v>
      </c>
      <c r="MX25" s="280">
        <v>144.30000000000001</v>
      </c>
      <c r="MY25" s="280">
        <v>149.69999999999999</v>
      </c>
      <c r="MZ25" s="280">
        <v>189.2</v>
      </c>
      <c r="NA25" s="158" t="s">
        <v>27</v>
      </c>
      <c r="NB25" s="280">
        <v>61</v>
      </c>
      <c r="NC25" s="280">
        <v>54.6</v>
      </c>
      <c r="ND25" s="280">
        <v>66.599999999999994</v>
      </c>
      <c r="NE25" s="280">
        <v>74</v>
      </c>
      <c r="NF25" s="280">
        <v>64.900000000000006</v>
      </c>
      <c r="NG25" s="280">
        <v>67.3</v>
      </c>
      <c r="NH25" s="280">
        <v>69.599999999999994</v>
      </c>
      <c r="NI25" s="280">
        <v>74.099999999999994</v>
      </c>
      <c r="NJ25" s="280">
        <v>58.7</v>
      </c>
      <c r="NK25" s="280">
        <v>59.8</v>
      </c>
      <c r="NL25" s="158" t="s">
        <v>27</v>
      </c>
      <c r="NM25" s="280">
        <v>276.5</v>
      </c>
      <c r="NN25" s="280">
        <v>244.5</v>
      </c>
      <c r="NO25" s="280">
        <v>127.5</v>
      </c>
      <c r="NP25" s="280">
        <v>249</v>
      </c>
      <c r="NQ25" s="280">
        <v>269</v>
      </c>
      <c r="NR25" s="280">
        <v>278.7</v>
      </c>
      <c r="NS25" s="280">
        <v>146.30000000000001</v>
      </c>
      <c r="NT25" s="280">
        <v>291.89999999999998</v>
      </c>
      <c r="NU25" s="280">
        <v>295.39999999999998</v>
      </c>
      <c r="NV25" s="280">
        <v>289</v>
      </c>
      <c r="NW25" s="158" t="s">
        <v>27</v>
      </c>
      <c r="NX25" s="280">
        <v>159.30000000000001</v>
      </c>
      <c r="NY25" s="280">
        <v>171.4</v>
      </c>
      <c r="NZ25" s="280">
        <v>167.5</v>
      </c>
      <c r="OA25" s="280">
        <v>156.5</v>
      </c>
      <c r="OB25" s="280">
        <v>156.5</v>
      </c>
      <c r="OC25" s="280">
        <v>161.6</v>
      </c>
      <c r="OD25" s="280">
        <v>169.1</v>
      </c>
      <c r="OE25" s="280">
        <v>185.6</v>
      </c>
      <c r="OF25" s="280">
        <v>206.5</v>
      </c>
      <c r="OG25" s="280">
        <v>194.7</v>
      </c>
      <c r="OH25" s="191" t="s">
        <v>27</v>
      </c>
      <c r="OI25" s="192">
        <v>11.8</v>
      </c>
      <c r="OJ25" s="192">
        <v>13.3</v>
      </c>
      <c r="OK25" s="192">
        <v>13</v>
      </c>
      <c r="OL25" s="192">
        <v>12.1</v>
      </c>
      <c r="OM25" s="192">
        <v>10.6</v>
      </c>
      <c r="ON25" s="192">
        <v>12</v>
      </c>
      <c r="OO25" s="192">
        <v>12.1</v>
      </c>
      <c r="OP25" s="192">
        <v>11.6</v>
      </c>
      <c r="OQ25" s="192">
        <v>11</v>
      </c>
      <c r="OR25" s="192">
        <v>12.2</v>
      </c>
      <c r="OS25" s="158" t="s">
        <v>27</v>
      </c>
      <c r="OT25" s="340">
        <v>0.3</v>
      </c>
      <c r="OU25" s="340">
        <v>0.2</v>
      </c>
      <c r="OV25" s="340">
        <v>0.4</v>
      </c>
      <c r="OW25" s="340">
        <v>0.5</v>
      </c>
      <c r="OX25" s="340">
        <v>0.5</v>
      </c>
      <c r="OY25" s="340">
        <v>0.3</v>
      </c>
      <c r="OZ25" s="340">
        <v>0.4</v>
      </c>
      <c r="PA25" s="340">
        <v>0.3</v>
      </c>
      <c r="PB25" s="340">
        <v>0.3</v>
      </c>
      <c r="PC25" s="340">
        <v>0.2</v>
      </c>
      <c r="PE25" s="210">
        <f>E25-'[1]Data-temp_employment'!F25</f>
        <v>-0.20000000000000107</v>
      </c>
      <c r="PF25" s="210">
        <f>F25-'[1]Data-temp_employment'!G25</f>
        <v>0.40000000000000036</v>
      </c>
      <c r="PG25" s="210">
        <f>O25-'[1]Data-temp_employment'!P25</f>
        <v>73.299999999999727</v>
      </c>
      <c r="PH25" s="210">
        <f>P25-'[1]Data-temp_employment'!Q25</f>
        <v>-2.5999999999999091</v>
      </c>
      <c r="PI25" s="210">
        <f>AD25-'[1]Data-temp_employment'!AE25</f>
        <v>3.7000000000000028</v>
      </c>
      <c r="PJ25" s="210">
        <f>AE25-'[1]Data-temp_employment'!AF25</f>
        <v>10.299999999999997</v>
      </c>
      <c r="PK25" s="210">
        <f>BR25-'[1]Data-temp_employment'!BS25</f>
        <v>-6.0999999999999943</v>
      </c>
      <c r="PL25" s="210">
        <f>BS25-'[1]Data-temp_employment'!BT25</f>
        <v>-3.9999999999999858</v>
      </c>
      <c r="PM25" s="210">
        <f>CC25-'[1]Data-temp_employment'!CD25</f>
        <v>5.8999999999999773</v>
      </c>
      <c r="PN25" s="210">
        <f>CD25-'[1]Data-temp_employment'!CE25</f>
        <v>-53.100000000000023</v>
      </c>
      <c r="PO25" s="210">
        <f>CR25-'[1]Data-temp_employment'!CS25</f>
        <v>59.399999999999977</v>
      </c>
      <c r="PP25" s="210">
        <f>CS25-'[1]Data-temp_employment'!CT25</f>
        <v>112.89999999999998</v>
      </c>
      <c r="PQ25" s="210">
        <f>DC25-'[1]Data-temp_employment'!DD25</f>
        <v>113.10000000000014</v>
      </c>
      <c r="PR25" s="210">
        <f>DD25-'[1]Data-temp_employment'!DE25</f>
        <v>140.5</v>
      </c>
      <c r="PS25" s="210">
        <f>DN25-'[1]Data-temp_employment'!DO25</f>
        <v>103.49999999999994</v>
      </c>
      <c r="PT25" s="210">
        <f>DO25-'[1]Data-temp_employment'!DP25</f>
        <v>88</v>
      </c>
      <c r="PU25" s="210">
        <f>EF25-'[1]Data-temp_employment'!EG25</f>
        <v>-3.8000000000000007</v>
      </c>
      <c r="PV25" s="210">
        <f>EG25-'[1]Data-temp_employment'!EH25</f>
        <v>0.5</v>
      </c>
      <c r="PW25" s="210">
        <f>EU25-'[1]Data-temp_employment'!EV25</f>
        <v>57.699999999999989</v>
      </c>
      <c r="PX25" s="210">
        <f>EV25-'[1]Data-temp_employment'!EW25</f>
        <v>14</v>
      </c>
      <c r="PY25" s="210">
        <f>FF25-'[1]Data-temp_employment'!FG25</f>
        <v>16.300000000000011</v>
      </c>
      <c r="PZ25" s="210">
        <f>FG25-'[1]Data-temp_employment'!FH25</f>
        <v>41.799999999999983</v>
      </c>
      <c r="QA25" s="210">
        <f>FQ25-'[1]Data-temp_employment'!FR25</f>
        <v>54.200000000000017</v>
      </c>
      <c r="QB25" s="210">
        <f>FR25-'[1]Data-temp_employment'!FS25</f>
        <v>24.699999999999989</v>
      </c>
      <c r="QC25" s="210">
        <f>GB25-'[1]Data-temp_employment'!GC25</f>
        <v>38.799999999999955</v>
      </c>
      <c r="QD25" s="210">
        <f>GC25-'[1]Data-temp_employment'!GD25</f>
        <v>109.79999999999995</v>
      </c>
      <c r="QE25" s="210">
        <f>GM25-'[1]Data-temp_employment'!GN25</f>
        <v>-0.60000000000000142</v>
      </c>
      <c r="QF25" s="210">
        <f>GN25-'[1]Data-temp_employment'!GO25</f>
        <v>3.6000000000000014</v>
      </c>
      <c r="QG25" s="210">
        <f>GX25-'[1]Data-temp_employment'!GY25</f>
        <v>35.600000000000023</v>
      </c>
      <c r="QH25" s="210">
        <f>GY25-'[1]Data-temp_employment'!GZ25</f>
        <v>42.899999999999977</v>
      </c>
      <c r="QI25" s="210">
        <f>HI25-'[1]Data-temp_employment'!HJ25</f>
        <v>28.800000000000011</v>
      </c>
      <c r="QJ25" s="210">
        <f>HJ25-'[1]Data-temp_employment'!HK25</f>
        <v>38.700000000000017</v>
      </c>
      <c r="QK25" s="210">
        <f>HT25-'[1]Data-temp_employment'!HU25</f>
        <v>32.200000000000045</v>
      </c>
      <c r="QL25" s="210">
        <f>HU25-'[1]Data-temp_employment'!HV25</f>
        <v>57.600000000000023</v>
      </c>
      <c r="QM25" s="210">
        <f>IE25-'[1]Data-temp_employment'!IF25</f>
        <v>7.6</v>
      </c>
      <c r="QN25" s="210">
        <f>IF25-'[1]Data-temp_employment'!IG25</f>
        <v>5.5000000000000009</v>
      </c>
      <c r="QO25" s="210">
        <f>JA25-'[1]Data-temp_employment'!JB25</f>
        <v>3.6000000000000227</v>
      </c>
      <c r="QP25" s="210">
        <f>JB25-'[1]Data-temp_employment'!JC25</f>
        <v>8.8000000000000114</v>
      </c>
      <c r="QQ25" s="210">
        <f>JH25-'[1]Data-temp_employment'!JI25</f>
        <v>-10.899999999999977</v>
      </c>
      <c r="QR25" s="210">
        <f>JI25-'[1]Data-temp_employment'!JJ25</f>
        <v>-6.0999999999999659</v>
      </c>
      <c r="QS25" s="210">
        <f>JS25-'[1]Data-temp_employment'!JT25</f>
        <v>9</v>
      </c>
      <c r="QT25" s="210">
        <f>JT25-'[1]Data-temp_employment'!JU25</f>
        <v>-8.4000000000000057</v>
      </c>
      <c r="QU25" s="210">
        <f>KD25-'[1]Data-temp_employment'!KE25</f>
        <v>-3.2000000000000455</v>
      </c>
      <c r="QV25" s="210">
        <f>KE25-'[1]Data-temp_employment'!KF25</f>
        <v>19.100000000000023</v>
      </c>
      <c r="QW25" s="210">
        <f>KO25-'[1]Data-temp_employment'!KP25</f>
        <v>-1.5999999999999943</v>
      </c>
      <c r="QX25" s="210">
        <f>KP25-'[1]Data-temp_employment'!KQ25</f>
        <v>-2.3999999999999915</v>
      </c>
      <c r="QY25" s="210">
        <f>LD25-'[1]Data-temp_employment'!LE25</f>
        <v>38.099999999999966</v>
      </c>
      <c r="QZ25" s="210">
        <f>LE25-'[1]Data-temp_employment'!LF25</f>
        <v>80.199999999999989</v>
      </c>
      <c r="RA25" s="210">
        <f>LK25-'[1]Data-temp_employment'!LL25</f>
        <v>-0.29999999999999716</v>
      </c>
      <c r="RB25" s="210">
        <f>LL25-'[1]Data-temp_employment'!LM25</f>
        <v>-15.299999999999997</v>
      </c>
      <c r="RC25" s="210">
        <f>LV25-'[1]Data-temp_employment'!LW25</f>
        <v>1.1000000000000014</v>
      </c>
      <c r="RD25" s="210">
        <f>LW25-'[1]Data-temp_employment'!LX25</f>
        <v>7.2000000000000011</v>
      </c>
      <c r="RE25" s="210">
        <f>MK25-'[1]Data-temp_employment'!ML25</f>
        <v>13.599999999999994</v>
      </c>
      <c r="RF25" s="210">
        <f>ML25-'[1]Data-temp_employment'!MM25</f>
        <v>18.099999999999994</v>
      </c>
      <c r="RG25" s="210">
        <f>MV25-'[1]Data-temp_employment'!MW25</f>
        <v>1.5</v>
      </c>
      <c r="RH25" s="210">
        <f>MW25-'[1]Data-temp_employment'!MX25</f>
        <v>-12</v>
      </c>
      <c r="RI25" s="210">
        <f>NG25-'[1]Data-temp_employment'!NH25</f>
        <v>12.699999999999996</v>
      </c>
      <c r="RJ25" s="210">
        <f>NH25-'[1]Data-temp_employment'!NI25</f>
        <v>3</v>
      </c>
      <c r="RK25" s="210">
        <f>NR25-'[1]Data-temp_employment'!NS25</f>
        <v>34.199999999999989</v>
      </c>
      <c r="RL25" s="210">
        <f>NS25-'[1]Data-temp_employment'!NT25</f>
        <v>18.800000000000011</v>
      </c>
      <c r="RM25" s="210">
        <f>OC25-'[1]Data-temp_employment'!OD25</f>
        <v>-9.8000000000000114</v>
      </c>
      <c r="RN25" s="210">
        <f>OD25-'[1]Data-temp_employment'!OE25</f>
        <v>1.5999999999999943</v>
      </c>
      <c r="RO25" s="210">
        <f>OT25-'[1]Data-temp_employment'!OV25</f>
        <v>-0.10000000000000003</v>
      </c>
      <c r="RP25" s="210">
        <f>OU25-'[1]Data-temp_employment'!OW25</f>
        <v>0.1</v>
      </c>
      <c r="RQ25" s="13"/>
    </row>
    <row r="26" spans="1:485" s="345" customFormat="1">
      <c r="A26" s="345">
        <v>23</v>
      </c>
      <c r="B26" s="346" t="s">
        <v>29</v>
      </c>
      <c r="C26" s="347">
        <v>4</v>
      </c>
      <c r="D26" s="347">
        <v>3.9</v>
      </c>
      <c r="E26" s="347">
        <v>3.6</v>
      </c>
      <c r="F26" s="347">
        <v>3.2</v>
      </c>
      <c r="G26" s="347">
        <v>2.9</v>
      </c>
      <c r="H26" s="347">
        <v>3</v>
      </c>
      <c r="I26" s="347">
        <v>3.2</v>
      </c>
      <c r="J26" s="347">
        <v>2.9</v>
      </c>
      <c r="K26" s="347">
        <v>2.7</v>
      </c>
      <c r="L26" s="347">
        <v>3.1</v>
      </c>
      <c r="M26" s="346" t="s">
        <v>29</v>
      </c>
      <c r="N26" s="347">
        <v>30.2</v>
      </c>
      <c r="O26" s="347">
        <v>29.4</v>
      </c>
      <c r="P26" s="347">
        <v>27.3</v>
      </c>
      <c r="Q26" s="347">
        <v>23.8</v>
      </c>
      <c r="R26" s="347">
        <v>21.2</v>
      </c>
      <c r="S26" s="347">
        <v>22.8</v>
      </c>
      <c r="T26" s="347">
        <v>24.7</v>
      </c>
      <c r="U26" s="347">
        <v>22</v>
      </c>
      <c r="V26" s="347">
        <v>20.7</v>
      </c>
      <c r="W26" s="347">
        <v>24</v>
      </c>
      <c r="X26" s="346" t="s">
        <v>29</v>
      </c>
      <c r="Y26" s="348"/>
      <c r="Z26" s="348"/>
      <c r="AA26" s="348"/>
      <c r="AB26" s="348"/>
      <c r="AC26" s="348"/>
      <c r="AD26" s="348"/>
      <c r="AE26" s="348"/>
      <c r="AF26" s="348"/>
      <c r="AG26" s="348"/>
      <c r="AH26" s="348"/>
      <c r="AI26" s="346" t="s">
        <v>29</v>
      </c>
      <c r="AJ26" s="347">
        <v>8.3000000000000007</v>
      </c>
      <c r="AK26" s="347">
        <v>9.6999999999999993</v>
      </c>
      <c r="AL26" s="347">
        <v>10.199999999999999</v>
      </c>
      <c r="AM26" s="347">
        <v>12.2</v>
      </c>
      <c r="AN26" s="347">
        <v>7.5</v>
      </c>
      <c r="AO26" s="347">
        <v>7.8</v>
      </c>
      <c r="AP26" s="347">
        <v>11.7</v>
      </c>
      <c r="AQ26" s="347">
        <v>7.7</v>
      </c>
      <c r="AR26" s="347">
        <v>5.9</v>
      </c>
      <c r="AS26" s="347">
        <v>10.3</v>
      </c>
      <c r="AT26" s="346" t="s">
        <v>29</v>
      </c>
      <c r="AU26" s="347">
        <v>7.5</v>
      </c>
      <c r="AV26" s="347">
        <v>7.2</v>
      </c>
      <c r="AW26" s="347">
        <v>6.5</v>
      </c>
      <c r="AX26" s="347">
        <v>5</v>
      </c>
      <c r="AY26" s="347">
        <v>6.3</v>
      </c>
      <c r="AZ26" s="347">
        <v>5.2</v>
      </c>
      <c r="BA26" s="347">
        <v>4.8</v>
      </c>
      <c r="BB26" s="347">
        <v>7</v>
      </c>
      <c r="BC26" s="347">
        <v>8.1999999999999993</v>
      </c>
      <c r="BD26" s="347">
        <v>4.7</v>
      </c>
      <c r="BE26" s="346" t="s">
        <v>29</v>
      </c>
      <c r="BF26" s="351">
        <v>7.4</v>
      </c>
      <c r="BG26" s="351">
        <v>4.4000000000000004</v>
      </c>
      <c r="BH26" s="349"/>
      <c r="BI26" s="349"/>
      <c r="BJ26" s="349"/>
      <c r="BK26" s="351">
        <v>3.8</v>
      </c>
      <c r="BL26" s="349"/>
      <c r="BM26" s="351">
        <v>3.3</v>
      </c>
      <c r="BN26" s="351">
        <v>3.8</v>
      </c>
      <c r="BO26" s="351">
        <v>4.9000000000000004</v>
      </c>
      <c r="BP26" s="346" t="s">
        <v>29</v>
      </c>
      <c r="BQ26" s="350"/>
      <c r="BR26" s="350"/>
      <c r="BS26" s="350"/>
      <c r="BT26" s="350"/>
      <c r="BU26" s="350"/>
      <c r="BV26" s="350"/>
      <c r="BW26" s="350"/>
      <c r="BX26" s="350"/>
      <c r="BY26" s="350"/>
      <c r="BZ26" s="350"/>
      <c r="CA26" s="346" t="s">
        <v>29</v>
      </c>
      <c r="CB26" s="350"/>
      <c r="CC26" s="350"/>
      <c r="CD26" s="350"/>
      <c r="CE26" s="350"/>
      <c r="CF26" s="350"/>
      <c r="CG26" s="350"/>
      <c r="CH26" s="350"/>
      <c r="CI26" s="350"/>
      <c r="CJ26" s="350"/>
      <c r="CK26" s="350"/>
      <c r="CL26" s="346" t="s">
        <v>29</v>
      </c>
      <c r="CM26" s="351">
        <v>5</v>
      </c>
      <c r="CN26" s="351">
        <v>5.4</v>
      </c>
      <c r="CO26" s="351">
        <v>4.7</v>
      </c>
      <c r="CP26" s="351">
        <v>4.5999999999999996</v>
      </c>
      <c r="CQ26" s="349"/>
      <c r="CR26" s="351">
        <v>4.5999999999999996</v>
      </c>
      <c r="CS26" s="351">
        <v>4.5999999999999996</v>
      </c>
      <c r="CT26" s="349"/>
      <c r="CU26" s="349"/>
      <c r="CV26" s="351">
        <v>3</v>
      </c>
      <c r="CW26" s="346" t="s">
        <v>29</v>
      </c>
      <c r="CX26" s="351">
        <v>17</v>
      </c>
      <c r="CY26" s="351">
        <v>15.9</v>
      </c>
      <c r="CZ26" s="351">
        <v>19</v>
      </c>
      <c r="DA26" s="351">
        <v>13.2</v>
      </c>
      <c r="DB26" s="351">
        <v>11.3</v>
      </c>
      <c r="DC26" s="351">
        <v>12.9</v>
      </c>
      <c r="DD26" s="351">
        <v>16.2</v>
      </c>
      <c r="DE26" s="351">
        <v>13.5</v>
      </c>
      <c r="DF26" s="351">
        <v>11.8</v>
      </c>
      <c r="DG26" s="351">
        <v>15.9</v>
      </c>
      <c r="DH26" s="346" t="s">
        <v>29</v>
      </c>
      <c r="DI26" s="351">
        <v>8.1</v>
      </c>
      <c r="DJ26" s="351">
        <v>8</v>
      </c>
      <c r="DK26" s="351">
        <v>3.7</v>
      </c>
      <c r="DL26" s="351">
        <v>6</v>
      </c>
      <c r="DM26" s="351">
        <v>6.8</v>
      </c>
      <c r="DN26" s="351">
        <v>5.3</v>
      </c>
      <c r="DO26" s="351">
        <v>3.9</v>
      </c>
      <c r="DP26" s="351">
        <v>6</v>
      </c>
      <c r="DQ26" s="351">
        <v>6.3</v>
      </c>
      <c r="DR26" s="351">
        <v>5</v>
      </c>
      <c r="DS26" s="346" t="s">
        <v>29</v>
      </c>
      <c r="DT26" s="349"/>
      <c r="DU26" s="349"/>
      <c r="DV26" s="349"/>
      <c r="DW26" s="349"/>
      <c r="DX26" s="349"/>
      <c r="DY26" s="349"/>
      <c r="DZ26" s="349"/>
      <c r="EA26" s="349"/>
      <c r="EB26" s="349"/>
      <c r="EC26" s="349"/>
      <c r="ED26" s="346" t="s">
        <v>29</v>
      </c>
      <c r="EE26" s="349"/>
      <c r="EF26" s="349"/>
      <c r="EG26" s="349"/>
      <c r="EH26" s="349"/>
      <c r="EI26" s="349"/>
      <c r="EJ26" s="349"/>
      <c r="EK26" s="349"/>
      <c r="EL26" s="349"/>
      <c r="EM26" s="349"/>
      <c r="EN26" s="349"/>
      <c r="EO26" s="346" t="s">
        <v>29</v>
      </c>
      <c r="EP26" s="349"/>
      <c r="EQ26" s="349"/>
      <c r="ER26" s="349"/>
      <c r="ES26" s="349"/>
      <c r="ET26" s="349"/>
      <c r="EU26" s="349"/>
      <c r="EV26" s="349"/>
      <c r="EW26" s="351"/>
      <c r="EX26" s="349"/>
      <c r="EY26" s="349"/>
      <c r="EZ26" s="346" t="s">
        <v>29</v>
      </c>
      <c r="FA26" s="349"/>
      <c r="FB26" s="349"/>
      <c r="FC26" s="349"/>
      <c r="FD26" s="349"/>
      <c r="FE26" s="351"/>
      <c r="FF26" s="349"/>
      <c r="FG26" s="349"/>
      <c r="FH26" s="349"/>
      <c r="FI26" s="351"/>
      <c r="FJ26" s="349"/>
      <c r="FK26" s="346" t="s">
        <v>29</v>
      </c>
      <c r="FL26" s="349"/>
      <c r="FM26" s="349"/>
      <c r="FN26" s="349"/>
      <c r="FO26" s="349"/>
      <c r="FP26" s="349"/>
      <c r="FQ26" s="349"/>
      <c r="FR26" s="349"/>
      <c r="FS26" s="349"/>
      <c r="FT26" s="349"/>
      <c r="FU26" s="349"/>
      <c r="FV26" s="346" t="s">
        <v>29</v>
      </c>
      <c r="FW26" s="349"/>
      <c r="FX26" s="349"/>
      <c r="FY26" s="351"/>
      <c r="FZ26" s="349"/>
      <c r="GA26" s="349"/>
      <c r="GB26" s="349"/>
      <c r="GC26" s="351"/>
      <c r="GD26" s="349"/>
      <c r="GE26" s="349"/>
      <c r="GF26" s="351"/>
      <c r="GG26" s="346" t="s">
        <v>29</v>
      </c>
      <c r="GH26" s="349"/>
      <c r="GI26" s="349"/>
      <c r="GJ26" s="349"/>
      <c r="GK26" s="349"/>
      <c r="GL26" s="349"/>
      <c r="GM26" s="349"/>
      <c r="GN26" s="349"/>
      <c r="GO26" s="349"/>
      <c r="GP26" s="349"/>
      <c r="GQ26" s="349"/>
      <c r="GR26" s="346" t="s">
        <v>29</v>
      </c>
      <c r="GS26" s="351"/>
      <c r="GT26" s="349"/>
      <c r="GU26" s="349"/>
      <c r="GV26" s="349"/>
      <c r="GW26" s="349"/>
      <c r="GX26" s="349"/>
      <c r="GY26" s="349"/>
      <c r="GZ26" s="349"/>
      <c r="HA26" s="349"/>
      <c r="HB26" s="351"/>
      <c r="HC26" s="346" t="s">
        <v>29</v>
      </c>
      <c r="HD26" s="349"/>
      <c r="HE26" s="349"/>
      <c r="HF26" s="349"/>
      <c r="HG26" s="349"/>
      <c r="HH26" s="351"/>
      <c r="HI26" s="349"/>
      <c r="HJ26" s="349"/>
      <c r="HK26" s="351"/>
      <c r="HL26" s="349"/>
      <c r="HM26" s="349"/>
      <c r="HN26" s="346" t="s">
        <v>29</v>
      </c>
      <c r="HO26" s="351">
        <v>9.1</v>
      </c>
      <c r="HP26" s="351">
        <v>11.6</v>
      </c>
      <c r="HQ26" s="351">
        <v>8.6999999999999993</v>
      </c>
      <c r="HR26" s="351">
        <v>5.8</v>
      </c>
      <c r="HS26" s="351">
        <v>5.4</v>
      </c>
      <c r="HT26" s="351">
        <v>7.6</v>
      </c>
      <c r="HU26" s="351">
        <v>10.7</v>
      </c>
      <c r="HV26" s="351">
        <v>5</v>
      </c>
      <c r="HW26" s="351">
        <v>4.4000000000000004</v>
      </c>
      <c r="HX26" s="351">
        <v>7.2</v>
      </c>
      <c r="HY26" s="346" t="s">
        <v>29</v>
      </c>
      <c r="HZ26" s="349"/>
      <c r="IA26" s="349"/>
      <c r="IB26" s="349"/>
      <c r="IC26" s="349"/>
      <c r="ID26" s="349"/>
      <c r="IE26" s="349"/>
      <c r="IF26" s="349"/>
      <c r="IG26" s="349"/>
      <c r="IH26" s="349"/>
      <c r="II26" s="349"/>
      <c r="IJ26" s="346" t="s">
        <v>29</v>
      </c>
      <c r="IK26" s="349"/>
      <c r="IL26" s="349"/>
      <c r="IM26" s="349"/>
      <c r="IN26" s="349"/>
      <c r="IO26" s="349"/>
      <c r="IP26" s="349"/>
      <c r="IQ26" s="349"/>
      <c r="IR26" s="349"/>
      <c r="IS26" s="349"/>
      <c r="IT26" s="349"/>
      <c r="IU26" s="346" t="s">
        <v>29</v>
      </c>
      <c r="IV26" s="349"/>
      <c r="IW26" s="351"/>
      <c r="IX26" s="349"/>
      <c r="IY26" s="349"/>
      <c r="IZ26" s="349"/>
      <c r="JA26" s="349"/>
      <c r="JB26" s="349"/>
      <c r="JC26" s="349"/>
      <c r="JD26" s="349"/>
      <c r="JE26" s="349"/>
      <c r="JF26" s="346" t="s">
        <v>29</v>
      </c>
      <c r="JG26" s="349"/>
      <c r="JH26" s="349"/>
      <c r="JI26" s="349"/>
      <c r="JJ26" s="349"/>
      <c r="JK26" s="349"/>
      <c r="JL26" s="349"/>
      <c r="JM26" s="349"/>
      <c r="JN26" s="349"/>
      <c r="JO26" s="349"/>
      <c r="JP26" s="349"/>
      <c r="JQ26" s="346" t="s">
        <v>29</v>
      </c>
      <c r="JR26" s="351"/>
      <c r="JS26" s="349"/>
      <c r="JT26" s="351"/>
      <c r="JU26" s="349"/>
      <c r="JV26" s="349"/>
      <c r="JW26" s="349"/>
      <c r="JX26" s="349"/>
      <c r="JY26" s="349"/>
      <c r="JZ26" s="349"/>
      <c r="KA26" s="351"/>
      <c r="KB26" s="346" t="s">
        <v>29</v>
      </c>
      <c r="KC26" s="349"/>
      <c r="KD26" s="351"/>
      <c r="KE26" s="349"/>
      <c r="KF26" s="349"/>
      <c r="KG26" s="349"/>
      <c r="KH26" s="349"/>
      <c r="KI26" s="349"/>
      <c r="KJ26" s="349"/>
      <c r="KK26" s="349"/>
      <c r="KL26" s="349"/>
      <c r="KM26" s="346" t="s">
        <v>29</v>
      </c>
      <c r="KN26" s="349"/>
      <c r="KO26" s="349"/>
      <c r="KP26" s="349"/>
      <c r="KQ26" s="349"/>
      <c r="KR26" s="351"/>
      <c r="KS26" s="349"/>
      <c r="KT26" s="349"/>
      <c r="KU26" s="351"/>
      <c r="KV26" s="349"/>
      <c r="KW26" s="349"/>
      <c r="KX26" s="346" t="s">
        <v>29</v>
      </c>
      <c r="KY26" s="349"/>
      <c r="KZ26" s="349"/>
      <c r="LA26" s="349"/>
      <c r="LB26" s="349"/>
      <c r="LC26" s="349"/>
      <c r="LD26" s="349"/>
      <c r="LE26" s="349"/>
      <c r="LF26" s="349"/>
      <c r="LG26" s="349"/>
      <c r="LH26" s="349"/>
      <c r="LI26" s="346" t="s">
        <v>29</v>
      </c>
      <c r="LJ26" s="349"/>
      <c r="LK26" s="349"/>
      <c r="LL26" s="349"/>
      <c r="LM26" s="349"/>
      <c r="LN26" s="349"/>
      <c r="LO26" s="349"/>
      <c r="LP26" s="349"/>
      <c r="LQ26" s="349"/>
      <c r="LR26" s="349"/>
      <c r="LS26" s="349"/>
      <c r="LT26" s="346" t="s">
        <v>29</v>
      </c>
      <c r="LU26" s="349"/>
      <c r="LV26" s="349"/>
      <c r="LW26" s="349"/>
      <c r="LX26" s="349"/>
      <c r="LY26" s="349"/>
      <c r="LZ26" s="349"/>
      <c r="MA26" s="349"/>
      <c r="MB26" s="349"/>
      <c r="MC26" s="349"/>
      <c r="MD26" s="349"/>
      <c r="ME26" s="346" t="s">
        <v>29</v>
      </c>
      <c r="MF26" s="349"/>
      <c r="MG26" s="349"/>
      <c r="MH26" s="349"/>
      <c r="MI26" s="349"/>
      <c r="MJ26" s="349"/>
      <c r="MK26" s="349"/>
      <c r="ML26" s="349"/>
      <c r="MM26" s="349"/>
      <c r="MN26" s="349"/>
      <c r="MO26" s="349"/>
      <c r="MP26" s="346" t="s">
        <v>29</v>
      </c>
      <c r="MQ26" s="349"/>
      <c r="MR26" s="349"/>
      <c r="MS26" s="349"/>
      <c r="MT26" s="349"/>
      <c r="MU26" s="349"/>
      <c r="MV26" s="349"/>
      <c r="MW26" s="351"/>
      <c r="MX26" s="349"/>
      <c r="MY26" s="349"/>
      <c r="MZ26" s="349"/>
      <c r="NA26" s="346" t="s">
        <v>29</v>
      </c>
      <c r="NB26" s="349"/>
      <c r="NC26" s="349"/>
      <c r="ND26" s="349"/>
      <c r="NE26" s="349"/>
      <c r="NF26" s="349"/>
      <c r="NG26" s="349"/>
      <c r="NH26" s="349"/>
      <c r="NI26" s="349"/>
      <c r="NJ26" s="349"/>
      <c r="NK26" s="349"/>
      <c r="NL26" s="346" t="s">
        <v>29</v>
      </c>
      <c r="NM26" s="349"/>
      <c r="NN26" s="349"/>
      <c r="NO26" s="349"/>
      <c r="NP26" s="349"/>
      <c r="NQ26" s="349"/>
      <c r="NR26" s="349"/>
      <c r="NS26" s="349"/>
      <c r="NT26" s="349"/>
      <c r="NU26" s="351"/>
      <c r="NV26" s="349"/>
      <c r="NW26" s="346" t="s">
        <v>29</v>
      </c>
      <c r="NX26" s="349"/>
      <c r="NY26" s="349"/>
      <c r="NZ26" s="349"/>
      <c r="OA26" s="349"/>
      <c r="OB26" s="349"/>
      <c r="OC26" s="349"/>
      <c r="OD26" s="349"/>
      <c r="OE26" s="349"/>
      <c r="OF26" s="349"/>
      <c r="OG26" s="349"/>
      <c r="OH26" s="346" t="s">
        <v>29</v>
      </c>
      <c r="OI26" s="352">
        <v>10.6</v>
      </c>
      <c r="OJ26" s="352">
        <v>10.199999999999999</v>
      </c>
      <c r="OK26" s="352">
        <v>10.199999999999999</v>
      </c>
      <c r="OL26" s="352">
        <v>9.8000000000000007</v>
      </c>
      <c r="OM26" s="352">
        <v>9.6999999999999993</v>
      </c>
      <c r="ON26" s="352">
        <v>9.8000000000000007</v>
      </c>
      <c r="OO26" s="352">
        <v>10.3</v>
      </c>
      <c r="OP26" s="352">
        <v>9.5</v>
      </c>
      <c r="OQ26" s="352">
        <v>9.5</v>
      </c>
      <c r="OR26" s="352">
        <v>9.3000000000000007</v>
      </c>
      <c r="OS26" s="346" t="s">
        <v>29</v>
      </c>
      <c r="OT26" s="353">
        <v>0.1</v>
      </c>
      <c r="OU26" s="353">
        <v>0.5</v>
      </c>
      <c r="OV26" s="353">
        <v>0.3</v>
      </c>
      <c r="OW26" s="353">
        <v>1.7</v>
      </c>
      <c r="OX26" s="353">
        <v>1.5</v>
      </c>
      <c r="OY26" s="353">
        <v>1.4</v>
      </c>
      <c r="OZ26" s="353">
        <v>1</v>
      </c>
      <c r="PA26" s="353">
        <v>0.8</v>
      </c>
      <c r="PB26" s="353">
        <v>1.5</v>
      </c>
      <c r="PC26" s="353">
        <v>1.2</v>
      </c>
      <c r="PE26" s="354">
        <f>E26-'[1]Data-temp_employment'!F26</f>
        <v>-0.39999999999999991</v>
      </c>
      <c r="PF26" s="354">
        <f>F26-'[1]Data-temp_employment'!G26</f>
        <v>-1.2999999999999998</v>
      </c>
      <c r="PG26" s="354">
        <f>O26-'[1]Data-temp_employment'!P26</f>
        <v>0.89999999999999858</v>
      </c>
      <c r="PH26" s="354">
        <f>P26-'[1]Data-temp_employment'!Q26</f>
        <v>-2.8999999999999986</v>
      </c>
      <c r="PI26" s="354">
        <f>AD26-'[1]Data-temp_employment'!AE26</f>
        <v>0</v>
      </c>
      <c r="PJ26" s="354">
        <f>AE26-'[1]Data-temp_employment'!AF26</f>
        <v>0</v>
      </c>
      <c r="PK26" s="354">
        <f>BR26-'[1]Data-temp_employment'!BS26</f>
        <v>0</v>
      </c>
      <c r="PL26" s="354">
        <f>BS26-'[1]Data-temp_employment'!BT26</f>
        <v>0</v>
      </c>
      <c r="PM26" s="354">
        <f>CC26-'[1]Data-temp_employment'!CD26</f>
        <v>0</v>
      </c>
      <c r="PN26" s="354">
        <f>CD26-'[1]Data-temp_employment'!CE26</f>
        <v>0</v>
      </c>
      <c r="PO26" s="354">
        <f>CR26-'[1]Data-temp_employment'!CS26</f>
        <v>-0.80000000000000071</v>
      </c>
      <c r="PP26" s="354">
        <f>CS26-'[1]Data-temp_employment'!CT26</f>
        <v>-0.10000000000000053</v>
      </c>
      <c r="PQ26" s="354">
        <f>DC26-'[1]Data-temp_employment'!DD26</f>
        <v>-3</v>
      </c>
      <c r="PR26" s="354">
        <f>DD26-'[1]Data-temp_employment'!DE26</f>
        <v>-2.8000000000000007</v>
      </c>
      <c r="PS26" s="354">
        <f>DN26-'[1]Data-temp_employment'!DO26</f>
        <v>-2.7</v>
      </c>
      <c r="PT26" s="354">
        <f>DO26-'[1]Data-temp_employment'!DP26</f>
        <v>0.19999999999999973</v>
      </c>
      <c r="PU26" s="354">
        <f>EF26-'[1]Data-temp_employment'!EG26</f>
        <v>0</v>
      </c>
      <c r="PV26" s="354">
        <f>EG26-'[1]Data-temp_employment'!EH26</f>
        <v>0</v>
      </c>
      <c r="PW26" s="354">
        <f>EU26-'[1]Data-temp_employment'!EV26</f>
        <v>0</v>
      </c>
      <c r="PX26" s="354">
        <f>EV26-'[1]Data-temp_employment'!EW26</f>
        <v>0</v>
      </c>
      <c r="PY26" s="354">
        <f>FF26-'[1]Data-temp_employment'!FG26</f>
        <v>0</v>
      </c>
      <c r="PZ26" s="354">
        <f>FG26-'[1]Data-temp_employment'!FH26</f>
        <v>0</v>
      </c>
      <c r="QA26" s="354">
        <f>FQ26-'[1]Data-temp_employment'!FR26</f>
        <v>0</v>
      </c>
      <c r="QB26" s="354">
        <f>FR26-'[1]Data-temp_employment'!FS26</f>
        <v>0</v>
      </c>
      <c r="QC26" s="354">
        <f>GB26-'[1]Data-temp_employment'!GC26</f>
        <v>0</v>
      </c>
      <c r="QD26" s="354">
        <f>GC26-'[1]Data-temp_employment'!GD26</f>
        <v>-4</v>
      </c>
      <c r="QE26" s="354">
        <f>GM26-'[1]Data-temp_employment'!GN26</f>
        <v>0</v>
      </c>
      <c r="QF26" s="354">
        <f>GN26-'[1]Data-temp_employment'!GO26</f>
        <v>0</v>
      </c>
      <c r="QG26" s="354">
        <f>GX26-'[1]Data-temp_employment'!GY26</f>
        <v>0</v>
      </c>
      <c r="QH26" s="354">
        <f>GY26-'[1]Data-temp_employment'!GZ26</f>
        <v>0</v>
      </c>
      <c r="QI26" s="354">
        <f>HI26-'[1]Data-temp_employment'!HJ26</f>
        <v>0</v>
      </c>
      <c r="QJ26" s="354">
        <f>HJ26-'[1]Data-temp_employment'!HK26</f>
        <v>0</v>
      </c>
      <c r="QK26" s="354">
        <f>HT26-'[1]Data-temp_employment'!HU26</f>
        <v>-4</v>
      </c>
      <c r="QL26" s="354">
        <f>HU26-'[1]Data-temp_employment'!HV26</f>
        <v>2</v>
      </c>
      <c r="QM26" s="354">
        <f>IE26-'[1]Data-temp_employment'!IF26</f>
        <v>0</v>
      </c>
      <c r="QN26" s="354">
        <f>IF26-'[1]Data-temp_employment'!IG26</f>
        <v>0</v>
      </c>
      <c r="QO26" s="354">
        <f>JA26-'[1]Data-temp_employment'!JB26</f>
        <v>0</v>
      </c>
      <c r="QP26" s="354">
        <f>JB26-'[1]Data-temp_employment'!JC26</f>
        <v>0</v>
      </c>
      <c r="QQ26" s="354">
        <f>JH26-'[1]Data-temp_employment'!JI26</f>
        <v>0</v>
      </c>
      <c r="QR26" s="354">
        <f>JI26-'[1]Data-temp_employment'!JJ26</f>
        <v>0</v>
      </c>
      <c r="QS26" s="354">
        <f>JS26-'[1]Data-temp_employment'!JT26</f>
        <v>0</v>
      </c>
      <c r="QT26" s="354">
        <f>JT26-'[1]Data-temp_employment'!JU26</f>
        <v>0</v>
      </c>
      <c r="QU26" s="354">
        <f>KD26-'[1]Data-temp_employment'!KE26</f>
        <v>0</v>
      </c>
      <c r="QV26" s="354">
        <f>KE26-'[1]Data-temp_employment'!KF26</f>
        <v>0</v>
      </c>
      <c r="QW26" s="354">
        <f>KO26-'[1]Data-temp_employment'!KP26</f>
        <v>0</v>
      </c>
      <c r="QX26" s="354">
        <f>KP26-'[1]Data-temp_employment'!KQ26</f>
        <v>0</v>
      </c>
      <c r="QY26" s="354">
        <f>LD26-'[1]Data-temp_employment'!LE26</f>
        <v>0</v>
      </c>
      <c r="QZ26" s="354">
        <f>LE26-'[1]Data-temp_employment'!LF26</f>
        <v>0</v>
      </c>
      <c r="RA26" s="354">
        <f>LK26-'[1]Data-temp_employment'!LL26</f>
        <v>0</v>
      </c>
      <c r="RB26" s="354">
        <f>LL26-'[1]Data-temp_employment'!LM26</f>
        <v>0</v>
      </c>
      <c r="RC26" s="354">
        <f>LV26-'[1]Data-temp_employment'!LW26</f>
        <v>0</v>
      </c>
      <c r="RD26" s="354">
        <f>LW26-'[1]Data-temp_employment'!LX26</f>
        <v>0</v>
      </c>
      <c r="RE26" s="354">
        <f>MK26-'[1]Data-temp_employment'!ML26</f>
        <v>0</v>
      </c>
      <c r="RF26" s="354">
        <f>ML26-'[1]Data-temp_employment'!MM26</f>
        <v>0</v>
      </c>
      <c r="RG26" s="354">
        <f>MV26-'[1]Data-temp_employment'!MW26</f>
        <v>0</v>
      </c>
      <c r="RH26" s="354">
        <f>MW26-'[1]Data-temp_employment'!MX26</f>
        <v>0</v>
      </c>
      <c r="RI26" s="354">
        <f>NG26-'[1]Data-temp_employment'!NH26</f>
        <v>0</v>
      </c>
      <c r="RJ26" s="354">
        <f>NH26-'[1]Data-temp_employment'!NI26</f>
        <v>0</v>
      </c>
      <c r="RK26" s="354">
        <f>NR26-'[1]Data-temp_employment'!NS26</f>
        <v>0</v>
      </c>
      <c r="RL26" s="354">
        <f>NS26-'[1]Data-temp_employment'!NT26</f>
        <v>0</v>
      </c>
      <c r="RM26" s="354">
        <f>OC26-'[1]Data-temp_employment'!OD26</f>
        <v>0</v>
      </c>
      <c r="RN26" s="354">
        <f>OD26-'[1]Data-temp_employment'!OE26</f>
        <v>0</v>
      </c>
      <c r="RO26" s="354">
        <f>OT26-'[1]Data-temp_employment'!OV26</f>
        <v>-1</v>
      </c>
      <c r="RP26" s="354">
        <f>OU26-'[1]Data-temp_employment'!OW26</f>
        <v>-0.30000000000000004</v>
      </c>
    </row>
    <row r="27" spans="1:485" s="345" customFormat="1">
      <c r="A27" s="345">
        <v>24</v>
      </c>
      <c r="B27" s="346" t="s">
        <v>30</v>
      </c>
      <c r="C27" s="347">
        <v>1.5</v>
      </c>
      <c r="D27" s="347">
        <v>2.5</v>
      </c>
      <c r="E27" s="347">
        <v>2.5</v>
      </c>
      <c r="F27" s="347">
        <v>1.4</v>
      </c>
      <c r="G27" s="347">
        <v>1.4</v>
      </c>
      <c r="H27" s="347">
        <v>1.9</v>
      </c>
      <c r="I27" s="347">
        <v>2</v>
      </c>
      <c r="J27" s="347">
        <v>1.4</v>
      </c>
      <c r="K27" s="347">
        <v>1.2</v>
      </c>
      <c r="L27" s="347">
        <v>1.8</v>
      </c>
      <c r="M27" s="346" t="s">
        <v>30</v>
      </c>
      <c r="N27" s="347">
        <v>17.3</v>
      </c>
      <c r="O27" s="347">
        <v>28.6</v>
      </c>
      <c r="P27" s="347">
        <v>28.8</v>
      </c>
      <c r="Q27" s="347">
        <v>15.9</v>
      </c>
      <c r="R27" s="347">
        <v>15.8</v>
      </c>
      <c r="S27" s="347">
        <v>22</v>
      </c>
      <c r="T27" s="347">
        <v>23.5</v>
      </c>
      <c r="U27" s="347">
        <v>16.600000000000001</v>
      </c>
      <c r="V27" s="347">
        <v>13.6</v>
      </c>
      <c r="W27" s="347">
        <v>20.9</v>
      </c>
      <c r="X27" s="346" t="s">
        <v>30</v>
      </c>
      <c r="Y27" s="348"/>
      <c r="Z27" s="348"/>
      <c r="AA27" s="348"/>
      <c r="AB27" s="348"/>
      <c r="AC27" s="348"/>
      <c r="AD27" s="348"/>
      <c r="AE27" s="348"/>
      <c r="AF27" s="348"/>
      <c r="AG27" s="348"/>
      <c r="AH27" s="348"/>
      <c r="AI27" s="346" t="s">
        <v>30</v>
      </c>
      <c r="AJ27" s="348"/>
      <c r="AK27" s="347">
        <v>12.6</v>
      </c>
      <c r="AL27" s="347">
        <v>15.4</v>
      </c>
      <c r="AM27" s="347">
        <v>5.6</v>
      </c>
      <c r="AN27" s="347">
        <v>5.4</v>
      </c>
      <c r="AO27" s="347">
        <v>8.6</v>
      </c>
      <c r="AP27" s="347">
        <v>13.9</v>
      </c>
      <c r="AQ27" s="347">
        <v>5</v>
      </c>
      <c r="AR27" s="347">
        <v>4.5999999999999996</v>
      </c>
      <c r="AS27" s="347">
        <v>10.6</v>
      </c>
      <c r="AT27" s="346" t="s">
        <v>30</v>
      </c>
      <c r="AU27" s="347">
        <v>6.1</v>
      </c>
      <c r="AV27" s="347">
        <v>6.4</v>
      </c>
      <c r="AW27" s="347">
        <v>8.9</v>
      </c>
      <c r="AX27" s="347">
        <v>5.4</v>
      </c>
      <c r="AY27" s="348"/>
      <c r="AZ27" s="347">
        <v>6.1</v>
      </c>
      <c r="BA27" s="347">
        <v>6.1</v>
      </c>
      <c r="BB27" s="347">
        <v>5.8</v>
      </c>
      <c r="BC27" s="348"/>
      <c r="BD27" s="347">
        <v>5.0999999999999996</v>
      </c>
      <c r="BE27" s="346" t="s">
        <v>30</v>
      </c>
      <c r="BF27" s="349"/>
      <c r="BG27" s="351"/>
      <c r="BH27" s="349"/>
      <c r="BI27" s="349"/>
      <c r="BJ27" s="349"/>
      <c r="BK27" s="349"/>
      <c r="BL27" s="349"/>
      <c r="BM27" s="349"/>
      <c r="BN27" s="349"/>
      <c r="BO27" s="349"/>
      <c r="BP27" s="346" t="s">
        <v>30</v>
      </c>
      <c r="BQ27" s="350"/>
      <c r="BR27" s="350"/>
      <c r="BS27" s="350"/>
      <c r="BT27" s="350"/>
      <c r="BU27" s="350"/>
      <c r="BV27" s="350"/>
      <c r="BW27" s="350"/>
      <c r="BX27" s="350"/>
      <c r="BY27" s="350"/>
      <c r="BZ27" s="350"/>
      <c r="CA27" s="346" t="s">
        <v>30</v>
      </c>
      <c r="CB27" s="350"/>
      <c r="CC27" s="350"/>
      <c r="CD27" s="350"/>
      <c r="CE27" s="350"/>
      <c r="CF27" s="350"/>
      <c r="CG27" s="350"/>
      <c r="CH27" s="350"/>
      <c r="CI27" s="350"/>
      <c r="CJ27" s="350"/>
      <c r="CK27" s="350"/>
      <c r="CL27" s="346" t="s">
        <v>30</v>
      </c>
      <c r="CM27" s="349"/>
      <c r="CN27" s="351"/>
      <c r="CO27" s="349"/>
      <c r="CP27" s="349"/>
      <c r="CQ27" s="349"/>
      <c r="CR27" s="349"/>
      <c r="CS27" s="351"/>
      <c r="CT27" s="349"/>
      <c r="CU27" s="349"/>
      <c r="CV27" s="349"/>
      <c r="CW27" s="346" t="s">
        <v>30</v>
      </c>
      <c r="CX27" s="351">
        <v>10.8</v>
      </c>
      <c r="CY27" s="351">
        <v>17.3</v>
      </c>
      <c r="CZ27" s="351">
        <v>19.399999999999999</v>
      </c>
      <c r="DA27" s="351">
        <v>11</v>
      </c>
      <c r="DB27" s="351">
        <v>10.6</v>
      </c>
      <c r="DC27" s="351">
        <v>15.3</v>
      </c>
      <c r="DD27" s="351">
        <v>14.8</v>
      </c>
      <c r="DE27" s="351">
        <v>9</v>
      </c>
      <c r="DF27" s="351">
        <v>9.1</v>
      </c>
      <c r="DG27" s="351">
        <v>15.5</v>
      </c>
      <c r="DH27" s="346" t="s">
        <v>30</v>
      </c>
      <c r="DI27" s="349"/>
      <c r="DJ27" s="351"/>
      <c r="DK27" s="351"/>
      <c r="DL27" s="349"/>
      <c r="DM27" s="349"/>
      <c r="DN27" s="349"/>
      <c r="DO27" s="349"/>
      <c r="DP27" s="351"/>
      <c r="DQ27" s="349"/>
      <c r="DR27" s="349"/>
      <c r="DS27" s="346" t="s">
        <v>30</v>
      </c>
      <c r="DT27" s="349"/>
      <c r="DU27" s="349"/>
      <c r="DV27" s="349"/>
      <c r="DW27" s="349"/>
      <c r="DX27" s="349"/>
      <c r="DY27" s="349"/>
      <c r="DZ27" s="349"/>
      <c r="EA27" s="349"/>
      <c r="EB27" s="349"/>
      <c r="EC27" s="349"/>
      <c r="ED27" s="346" t="s">
        <v>30</v>
      </c>
      <c r="EE27" s="349"/>
      <c r="EF27" s="349"/>
      <c r="EG27" s="349"/>
      <c r="EH27" s="349"/>
      <c r="EI27" s="349"/>
      <c r="EJ27" s="349"/>
      <c r="EK27" s="349"/>
      <c r="EL27" s="349"/>
      <c r="EM27" s="349"/>
      <c r="EN27" s="349"/>
      <c r="EO27" s="346" t="s">
        <v>30</v>
      </c>
      <c r="EP27" s="349"/>
      <c r="EQ27" s="349"/>
      <c r="ER27" s="349"/>
      <c r="ES27" s="349"/>
      <c r="ET27" s="349"/>
      <c r="EU27" s="349"/>
      <c r="EV27" s="349"/>
      <c r="EW27" s="349"/>
      <c r="EX27" s="349"/>
      <c r="EY27" s="349"/>
      <c r="EZ27" s="346" t="s">
        <v>30</v>
      </c>
      <c r="FA27" s="349"/>
      <c r="FB27" s="349"/>
      <c r="FC27" s="349"/>
      <c r="FD27" s="349"/>
      <c r="FE27" s="349"/>
      <c r="FF27" s="349"/>
      <c r="FG27" s="349"/>
      <c r="FH27" s="349"/>
      <c r="FI27" s="349"/>
      <c r="FJ27" s="349"/>
      <c r="FK27" s="346" t="s">
        <v>30</v>
      </c>
      <c r="FL27" s="349"/>
      <c r="FM27" s="349"/>
      <c r="FN27" s="349"/>
      <c r="FO27" s="349"/>
      <c r="FP27" s="349"/>
      <c r="FQ27" s="349"/>
      <c r="FR27" s="349"/>
      <c r="FS27" s="349"/>
      <c r="FT27" s="349"/>
      <c r="FU27" s="349"/>
      <c r="FV27" s="346" t="s">
        <v>30</v>
      </c>
      <c r="FW27" s="349"/>
      <c r="FX27" s="349"/>
      <c r="FY27" s="351"/>
      <c r="FZ27" s="349"/>
      <c r="GA27" s="349"/>
      <c r="GB27" s="349"/>
      <c r="GC27" s="349"/>
      <c r="GD27" s="349"/>
      <c r="GE27" s="349"/>
      <c r="GF27" s="351"/>
      <c r="GG27" s="346" t="s">
        <v>30</v>
      </c>
      <c r="GH27" s="349"/>
      <c r="GI27" s="349"/>
      <c r="GJ27" s="349"/>
      <c r="GK27" s="349"/>
      <c r="GL27" s="349"/>
      <c r="GM27" s="349"/>
      <c r="GN27" s="349"/>
      <c r="GO27" s="349"/>
      <c r="GP27" s="349"/>
      <c r="GQ27" s="349"/>
      <c r="GR27" s="346" t="s">
        <v>30</v>
      </c>
      <c r="GS27" s="349"/>
      <c r="GT27" s="351"/>
      <c r="GU27" s="349"/>
      <c r="GV27" s="349"/>
      <c r="GW27" s="349"/>
      <c r="GX27" s="349"/>
      <c r="GY27" s="349"/>
      <c r="GZ27" s="349"/>
      <c r="HA27" s="349"/>
      <c r="HB27" s="349"/>
      <c r="HC27" s="346" t="s">
        <v>30</v>
      </c>
      <c r="HD27" s="349"/>
      <c r="HE27" s="349"/>
      <c r="HF27" s="349"/>
      <c r="HG27" s="349"/>
      <c r="HH27" s="349"/>
      <c r="HI27" s="349"/>
      <c r="HJ27" s="349"/>
      <c r="HK27" s="349"/>
      <c r="HL27" s="349"/>
      <c r="HM27" s="349"/>
      <c r="HN27" s="346" t="s">
        <v>30</v>
      </c>
      <c r="HO27" s="351">
        <v>5.3</v>
      </c>
      <c r="HP27" s="351">
        <v>11</v>
      </c>
      <c r="HQ27" s="351">
        <v>10.4</v>
      </c>
      <c r="HR27" s="351">
        <v>6.3</v>
      </c>
      <c r="HS27" s="351">
        <v>5.0999999999999996</v>
      </c>
      <c r="HT27" s="351">
        <v>7</v>
      </c>
      <c r="HU27" s="351">
        <v>8.3000000000000007</v>
      </c>
      <c r="HV27" s="351">
        <v>6.7</v>
      </c>
      <c r="HW27" s="351">
        <v>4.5999999999999996</v>
      </c>
      <c r="HX27" s="351">
        <v>6.2</v>
      </c>
      <c r="HY27" s="346" t="s">
        <v>30</v>
      </c>
      <c r="HZ27" s="349"/>
      <c r="IA27" s="349"/>
      <c r="IB27" s="349"/>
      <c r="IC27" s="349"/>
      <c r="ID27" s="349"/>
      <c r="IE27" s="349"/>
      <c r="IF27" s="349"/>
      <c r="IG27" s="349"/>
      <c r="IH27" s="349"/>
      <c r="II27" s="349"/>
      <c r="IJ27" s="346" t="s">
        <v>30</v>
      </c>
      <c r="IK27" s="349"/>
      <c r="IL27" s="349"/>
      <c r="IM27" s="349"/>
      <c r="IN27" s="349"/>
      <c r="IO27" s="349"/>
      <c r="IP27" s="349"/>
      <c r="IQ27" s="349"/>
      <c r="IR27" s="349"/>
      <c r="IS27" s="349"/>
      <c r="IT27" s="349"/>
      <c r="IU27" s="346" t="s">
        <v>30</v>
      </c>
      <c r="IV27" s="349"/>
      <c r="IW27" s="349"/>
      <c r="IX27" s="349"/>
      <c r="IY27" s="349"/>
      <c r="IZ27" s="349"/>
      <c r="JA27" s="349"/>
      <c r="JB27" s="349"/>
      <c r="JC27" s="349"/>
      <c r="JD27" s="349"/>
      <c r="JE27" s="349"/>
      <c r="JF27" s="346" t="s">
        <v>30</v>
      </c>
      <c r="JG27" s="349"/>
      <c r="JH27" s="349"/>
      <c r="JI27" s="349"/>
      <c r="JJ27" s="349"/>
      <c r="JK27" s="349"/>
      <c r="JL27" s="349"/>
      <c r="JM27" s="349"/>
      <c r="JN27" s="349"/>
      <c r="JO27" s="349"/>
      <c r="JP27" s="349"/>
      <c r="JQ27" s="346" t="s">
        <v>30</v>
      </c>
      <c r="JR27" s="349"/>
      <c r="JS27" s="349"/>
      <c r="JT27" s="349"/>
      <c r="JU27" s="349"/>
      <c r="JV27" s="349"/>
      <c r="JW27" s="349"/>
      <c r="JX27" s="349"/>
      <c r="JY27" s="349"/>
      <c r="JZ27" s="349"/>
      <c r="KA27" s="349"/>
      <c r="KB27" s="346" t="s">
        <v>30</v>
      </c>
      <c r="KC27" s="349"/>
      <c r="KD27" s="349"/>
      <c r="KE27" s="351"/>
      <c r="KF27" s="349"/>
      <c r="KG27" s="349"/>
      <c r="KH27" s="349"/>
      <c r="KI27" s="349"/>
      <c r="KJ27" s="349"/>
      <c r="KK27" s="349"/>
      <c r="KL27" s="349"/>
      <c r="KM27" s="346" t="s">
        <v>30</v>
      </c>
      <c r="KN27" s="349"/>
      <c r="KO27" s="349"/>
      <c r="KP27" s="349"/>
      <c r="KQ27" s="349"/>
      <c r="KR27" s="349"/>
      <c r="KS27" s="349"/>
      <c r="KT27" s="349"/>
      <c r="KU27" s="349"/>
      <c r="KV27" s="349"/>
      <c r="KW27" s="349"/>
      <c r="KX27" s="346" t="s">
        <v>30</v>
      </c>
      <c r="KY27" s="349"/>
      <c r="KZ27" s="349"/>
      <c r="LA27" s="349"/>
      <c r="LB27" s="349"/>
      <c r="LC27" s="349"/>
      <c r="LD27" s="349"/>
      <c r="LE27" s="349"/>
      <c r="LF27" s="349"/>
      <c r="LG27" s="349"/>
      <c r="LH27" s="349"/>
      <c r="LI27" s="346" t="s">
        <v>30</v>
      </c>
      <c r="LJ27" s="349"/>
      <c r="LK27" s="349"/>
      <c r="LL27" s="349"/>
      <c r="LM27" s="349"/>
      <c r="LN27" s="349"/>
      <c r="LO27" s="349"/>
      <c r="LP27" s="349"/>
      <c r="LQ27" s="349"/>
      <c r="LR27" s="349"/>
      <c r="LS27" s="349"/>
      <c r="LT27" s="346" t="s">
        <v>30</v>
      </c>
      <c r="LU27" s="349"/>
      <c r="LV27" s="349"/>
      <c r="LW27" s="349"/>
      <c r="LX27" s="349"/>
      <c r="LY27" s="349"/>
      <c r="LZ27" s="349"/>
      <c r="MA27" s="349"/>
      <c r="MB27" s="349"/>
      <c r="MC27" s="349"/>
      <c r="MD27" s="349"/>
      <c r="ME27" s="346" t="s">
        <v>30</v>
      </c>
      <c r="MF27" s="349"/>
      <c r="MG27" s="349"/>
      <c r="MH27" s="349"/>
      <c r="MI27" s="349"/>
      <c r="MJ27" s="349"/>
      <c r="MK27" s="349"/>
      <c r="ML27" s="349"/>
      <c r="MM27" s="349"/>
      <c r="MN27" s="349"/>
      <c r="MO27" s="349"/>
      <c r="MP27" s="346" t="s">
        <v>30</v>
      </c>
      <c r="MQ27" s="349"/>
      <c r="MR27" s="349"/>
      <c r="MS27" s="349"/>
      <c r="MT27" s="349"/>
      <c r="MU27" s="349"/>
      <c r="MV27" s="349"/>
      <c r="MW27" s="349"/>
      <c r="MX27" s="349"/>
      <c r="MY27" s="349"/>
      <c r="MZ27" s="349"/>
      <c r="NA27" s="346" t="s">
        <v>30</v>
      </c>
      <c r="NB27" s="349"/>
      <c r="NC27" s="349"/>
      <c r="ND27" s="349"/>
      <c r="NE27" s="349"/>
      <c r="NF27" s="349"/>
      <c r="NG27" s="349"/>
      <c r="NH27" s="349"/>
      <c r="NI27" s="349"/>
      <c r="NJ27" s="349"/>
      <c r="NK27" s="349"/>
      <c r="NL27" s="346" t="s">
        <v>30</v>
      </c>
      <c r="NM27" s="349"/>
      <c r="NN27" s="349"/>
      <c r="NO27" s="349"/>
      <c r="NP27" s="349"/>
      <c r="NQ27" s="349"/>
      <c r="NR27" s="349"/>
      <c r="NS27" s="349"/>
      <c r="NT27" s="349"/>
      <c r="NU27" s="349"/>
      <c r="NV27" s="349"/>
      <c r="NW27" s="346" t="s">
        <v>30</v>
      </c>
      <c r="NX27" s="349"/>
      <c r="NY27" s="349"/>
      <c r="NZ27" s="349"/>
      <c r="OA27" s="349"/>
      <c r="OB27" s="349"/>
      <c r="OC27" s="349"/>
      <c r="OD27" s="349"/>
      <c r="OE27" s="349"/>
      <c r="OF27" s="349"/>
      <c r="OG27" s="349"/>
      <c r="OH27" s="346" t="s">
        <v>30</v>
      </c>
      <c r="OI27" s="352">
        <v>9.1</v>
      </c>
      <c r="OJ27" s="352">
        <v>10.1</v>
      </c>
      <c r="OK27" s="352">
        <v>10</v>
      </c>
      <c r="OL27" s="352">
        <v>9.4</v>
      </c>
      <c r="OM27" s="352">
        <v>8.3000000000000007</v>
      </c>
      <c r="ON27" s="352">
        <v>8.8000000000000007</v>
      </c>
      <c r="OO27" s="352">
        <v>8.4</v>
      </c>
      <c r="OP27" s="352">
        <v>8</v>
      </c>
      <c r="OQ27" s="352">
        <v>7.5</v>
      </c>
      <c r="OR27" s="352">
        <v>7.7</v>
      </c>
      <c r="OS27" s="346" t="s">
        <v>30</v>
      </c>
      <c r="OT27" s="353">
        <v>0.3</v>
      </c>
      <c r="OU27" s="353">
        <v>0.7</v>
      </c>
      <c r="OV27" s="353">
        <v>1.1000000000000001</v>
      </c>
      <c r="OW27" s="353">
        <v>1.4</v>
      </c>
      <c r="OX27" s="353">
        <v>1.1000000000000001</v>
      </c>
      <c r="OY27" s="353">
        <v>0.8</v>
      </c>
      <c r="OZ27" s="353">
        <v>0.6</v>
      </c>
      <c r="PA27" s="353">
        <v>1.3</v>
      </c>
      <c r="PB27" s="353">
        <v>1</v>
      </c>
      <c r="PC27" s="353">
        <v>0.9</v>
      </c>
      <c r="PE27" s="354">
        <f>E27-'[1]Data-temp_employment'!F27</f>
        <v>-0.10000000000000009</v>
      </c>
      <c r="PF27" s="354">
        <f>F27-'[1]Data-temp_employment'!G27</f>
        <v>-0.70000000000000018</v>
      </c>
      <c r="PG27" s="354">
        <f>O27-'[1]Data-temp_employment'!P27</f>
        <v>4.7000000000000028</v>
      </c>
      <c r="PH27" s="354">
        <f>P27-'[1]Data-temp_employment'!Q27</f>
        <v>-1.0999999999999979</v>
      </c>
      <c r="PI27" s="354">
        <f>AD27-'[1]Data-temp_employment'!AE27</f>
        <v>0</v>
      </c>
      <c r="PJ27" s="354">
        <f>AE27-'[1]Data-temp_employment'!AF27</f>
        <v>0</v>
      </c>
      <c r="PK27" s="354">
        <f>BR27-'[1]Data-temp_employment'!BS27</f>
        <v>0</v>
      </c>
      <c r="PL27" s="354">
        <f>BS27-'[1]Data-temp_employment'!BT27</f>
        <v>0</v>
      </c>
      <c r="PM27" s="354">
        <f>CC27-'[1]Data-temp_employment'!CD27</f>
        <v>0</v>
      </c>
      <c r="PN27" s="354">
        <f>CD27-'[1]Data-temp_employment'!CE27</f>
        <v>0</v>
      </c>
      <c r="PO27" s="354">
        <f>CR27-'[1]Data-temp_employment'!CS27</f>
        <v>-5.6</v>
      </c>
      <c r="PP27" s="354">
        <f>CS27-'[1]Data-temp_employment'!CT27</f>
        <v>0</v>
      </c>
      <c r="PQ27" s="354">
        <f>DC27-'[1]Data-temp_employment'!DD27</f>
        <v>-2</v>
      </c>
      <c r="PR27" s="354">
        <f>DD27-'[1]Data-temp_employment'!DE27</f>
        <v>-4.5999999999999979</v>
      </c>
      <c r="PS27" s="354">
        <f>DN27-'[1]Data-temp_employment'!DO27</f>
        <v>-5.7</v>
      </c>
      <c r="PT27" s="354">
        <f>DO27-'[1]Data-temp_employment'!DP27</f>
        <v>-5.0999999999999996</v>
      </c>
      <c r="PU27" s="354">
        <f>EF27-'[1]Data-temp_employment'!EG27</f>
        <v>0</v>
      </c>
      <c r="PV27" s="354">
        <f>EG27-'[1]Data-temp_employment'!EH27</f>
        <v>0</v>
      </c>
      <c r="PW27" s="354">
        <f>EU27-'[1]Data-temp_employment'!EV27</f>
        <v>0</v>
      </c>
      <c r="PX27" s="354">
        <f>EV27-'[1]Data-temp_employment'!EW27</f>
        <v>0</v>
      </c>
      <c r="PY27" s="354">
        <f>FF27-'[1]Data-temp_employment'!FG27</f>
        <v>0</v>
      </c>
      <c r="PZ27" s="354">
        <f>FG27-'[1]Data-temp_employment'!FH27</f>
        <v>0</v>
      </c>
      <c r="QA27" s="354">
        <f>FQ27-'[1]Data-temp_employment'!FR27</f>
        <v>0</v>
      </c>
      <c r="QB27" s="354">
        <f>FR27-'[1]Data-temp_employment'!FS27</f>
        <v>0</v>
      </c>
      <c r="QC27" s="354">
        <f>GB27-'[1]Data-temp_employment'!GC27</f>
        <v>0</v>
      </c>
      <c r="QD27" s="354">
        <f>GC27-'[1]Data-temp_employment'!GD27</f>
        <v>0</v>
      </c>
      <c r="QE27" s="354">
        <f>GM27-'[1]Data-temp_employment'!GN27</f>
        <v>0</v>
      </c>
      <c r="QF27" s="354">
        <f>GN27-'[1]Data-temp_employment'!GO27</f>
        <v>0</v>
      </c>
      <c r="QG27" s="354">
        <f>GX27-'[1]Data-temp_employment'!GY27</f>
        <v>0</v>
      </c>
      <c r="QH27" s="354">
        <f>GY27-'[1]Data-temp_employment'!GZ27</f>
        <v>0</v>
      </c>
      <c r="QI27" s="354">
        <f>HI27-'[1]Data-temp_employment'!HJ27</f>
        <v>0</v>
      </c>
      <c r="QJ27" s="354">
        <f>HJ27-'[1]Data-temp_employment'!HK27</f>
        <v>0</v>
      </c>
      <c r="QK27" s="354">
        <f>HT27-'[1]Data-temp_employment'!HU27</f>
        <v>-4</v>
      </c>
      <c r="QL27" s="354">
        <f>HU27-'[1]Data-temp_employment'!HV27</f>
        <v>-2.0999999999999996</v>
      </c>
      <c r="QM27" s="354">
        <f>IE27-'[1]Data-temp_employment'!IF27</f>
        <v>0</v>
      </c>
      <c r="QN27" s="354">
        <f>IF27-'[1]Data-temp_employment'!IG27</f>
        <v>0</v>
      </c>
      <c r="QO27" s="354">
        <f>JA27-'[1]Data-temp_employment'!JB27</f>
        <v>0</v>
      </c>
      <c r="QP27" s="354">
        <f>JB27-'[1]Data-temp_employment'!JC27</f>
        <v>0</v>
      </c>
      <c r="QQ27" s="354">
        <f>JH27-'[1]Data-temp_employment'!JI27</f>
        <v>0</v>
      </c>
      <c r="QR27" s="354">
        <f>JI27-'[1]Data-temp_employment'!JJ27</f>
        <v>0</v>
      </c>
      <c r="QS27" s="354">
        <f>JS27-'[1]Data-temp_employment'!JT27</f>
        <v>0</v>
      </c>
      <c r="QT27" s="354">
        <f>JT27-'[1]Data-temp_employment'!JU27</f>
        <v>0</v>
      </c>
      <c r="QU27" s="354">
        <f>KD27-'[1]Data-temp_employment'!KE27</f>
        <v>0</v>
      </c>
      <c r="QV27" s="354">
        <f>KE27-'[1]Data-temp_employment'!KF27</f>
        <v>0</v>
      </c>
      <c r="QW27" s="354">
        <f>KO27-'[1]Data-temp_employment'!KP27</f>
        <v>0</v>
      </c>
      <c r="QX27" s="354">
        <f>KP27-'[1]Data-temp_employment'!KQ27</f>
        <v>0</v>
      </c>
      <c r="QY27" s="354">
        <f>LD27-'[1]Data-temp_employment'!LE27</f>
        <v>0</v>
      </c>
      <c r="QZ27" s="354">
        <f>LE27-'[1]Data-temp_employment'!LF27</f>
        <v>0</v>
      </c>
      <c r="RA27" s="354">
        <f>LK27-'[1]Data-temp_employment'!LL27</f>
        <v>0</v>
      </c>
      <c r="RB27" s="354">
        <f>LL27-'[1]Data-temp_employment'!LM27</f>
        <v>0</v>
      </c>
      <c r="RC27" s="354">
        <f>LV27-'[1]Data-temp_employment'!LW27</f>
        <v>0</v>
      </c>
      <c r="RD27" s="354">
        <f>LW27-'[1]Data-temp_employment'!LX27</f>
        <v>0</v>
      </c>
      <c r="RE27" s="354">
        <f>MK27-'[1]Data-temp_employment'!ML27</f>
        <v>0</v>
      </c>
      <c r="RF27" s="354">
        <f>ML27-'[1]Data-temp_employment'!MM27</f>
        <v>0</v>
      </c>
      <c r="RG27" s="354">
        <f>MV27-'[1]Data-temp_employment'!MW27</f>
        <v>0</v>
      </c>
      <c r="RH27" s="354">
        <f>MW27-'[1]Data-temp_employment'!MX27</f>
        <v>0</v>
      </c>
      <c r="RI27" s="354">
        <f>NG27-'[1]Data-temp_employment'!NH27</f>
        <v>0</v>
      </c>
      <c r="RJ27" s="354">
        <f>NH27-'[1]Data-temp_employment'!NI27</f>
        <v>0</v>
      </c>
      <c r="RK27" s="354">
        <f>NR27-'[1]Data-temp_employment'!NS27</f>
        <v>0</v>
      </c>
      <c r="RL27" s="354">
        <f>NS27-'[1]Data-temp_employment'!NT27</f>
        <v>0</v>
      </c>
      <c r="RM27" s="354">
        <f>OC27-'[1]Data-temp_employment'!OD27</f>
        <v>0</v>
      </c>
      <c r="RN27" s="354">
        <f>OD27-'[1]Data-temp_employment'!OE27</f>
        <v>0</v>
      </c>
      <c r="RO27" s="354">
        <f>OT27-'[1]Data-temp_employment'!OV27</f>
        <v>-0.2</v>
      </c>
      <c r="RP27" s="354">
        <f>OU27-'[1]Data-temp_employment'!OW27</f>
        <v>0</v>
      </c>
    </row>
    <row r="28" spans="1:485" s="345" customFormat="1">
      <c r="A28" s="345">
        <v>25</v>
      </c>
      <c r="B28" s="346" t="s">
        <v>31</v>
      </c>
      <c r="C28" s="347">
        <v>8.5</v>
      </c>
      <c r="D28" s="347">
        <v>8.1</v>
      </c>
      <c r="E28" s="347">
        <v>9.8000000000000007</v>
      </c>
      <c r="F28" s="347">
        <v>9.4</v>
      </c>
      <c r="G28" s="347">
        <v>8.8000000000000007</v>
      </c>
      <c r="H28" s="347">
        <v>9.6</v>
      </c>
      <c r="I28" s="347">
        <v>9.1</v>
      </c>
      <c r="J28" s="347">
        <v>8.8000000000000007</v>
      </c>
      <c r="K28" s="347">
        <v>9.9</v>
      </c>
      <c r="L28" s="347">
        <v>9.3000000000000007</v>
      </c>
      <c r="M28" s="346" t="s">
        <v>31</v>
      </c>
      <c r="N28" s="347">
        <v>19.7</v>
      </c>
      <c r="O28" s="347">
        <v>18.5</v>
      </c>
      <c r="P28" s="347">
        <v>22.4</v>
      </c>
      <c r="Q28" s="347">
        <v>21.9</v>
      </c>
      <c r="R28" s="347">
        <v>21.2</v>
      </c>
      <c r="S28" s="347">
        <v>23</v>
      </c>
      <c r="T28" s="347">
        <v>22.1</v>
      </c>
      <c r="U28" s="347">
        <v>21.3</v>
      </c>
      <c r="V28" s="347">
        <v>24.8</v>
      </c>
      <c r="W28" s="347">
        <v>23.3</v>
      </c>
      <c r="X28" s="346" t="s">
        <v>31</v>
      </c>
      <c r="Y28" s="348"/>
      <c r="Z28" s="348"/>
      <c r="AA28" s="347"/>
      <c r="AB28" s="348"/>
      <c r="AC28" s="348"/>
      <c r="AD28" s="348"/>
      <c r="AE28" s="347"/>
      <c r="AF28" s="348"/>
      <c r="AG28" s="347"/>
      <c r="AH28" s="348"/>
      <c r="AI28" s="346" t="s">
        <v>31</v>
      </c>
      <c r="AJ28" s="348"/>
      <c r="AK28" s="348"/>
      <c r="AL28" s="348"/>
      <c r="AM28" s="348"/>
      <c r="AN28" s="348"/>
      <c r="AO28" s="348"/>
      <c r="AP28" s="347"/>
      <c r="AQ28" s="348"/>
      <c r="AR28" s="348"/>
      <c r="AS28" s="347"/>
      <c r="AT28" s="346" t="s">
        <v>31</v>
      </c>
      <c r="AU28" s="347">
        <v>3.7</v>
      </c>
      <c r="AV28" s="347">
        <v>2.6</v>
      </c>
      <c r="AW28" s="347">
        <v>3.7</v>
      </c>
      <c r="AX28" s="347">
        <v>4</v>
      </c>
      <c r="AY28" s="347">
        <v>2.6</v>
      </c>
      <c r="AZ28" s="347">
        <v>3.7</v>
      </c>
      <c r="BA28" s="347">
        <v>2.8</v>
      </c>
      <c r="BB28" s="347">
        <v>2.2000000000000002</v>
      </c>
      <c r="BC28" s="347">
        <v>3.6</v>
      </c>
      <c r="BD28" s="347">
        <v>3.3</v>
      </c>
      <c r="BE28" s="346" t="s">
        <v>31</v>
      </c>
      <c r="BF28" s="351">
        <v>4.5999999999999996</v>
      </c>
      <c r="BG28" s="351">
        <v>5.3</v>
      </c>
      <c r="BH28" s="351">
        <v>5.3</v>
      </c>
      <c r="BI28" s="351">
        <v>5.3</v>
      </c>
      <c r="BJ28" s="351">
        <v>6.5</v>
      </c>
      <c r="BK28" s="351">
        <v>6.4</v>
      </c>
      <c r="BL28" s="351">
        <v>4.0999999999999996</v>
      </c>
      <c r="BM28" s="351">
        <v>4.9000000000000004</v>
      </c>
      <c r="BN28" s="351">
        <v>4.7</v>
      </c>
      <c r="BO28" s="351">
        <v>6</v>
      </c>
      <c r="BP28" s="346" t="s">
        <v>31</v>
      </c>
      <c r="BQ28" s="350"/>
      <c r="BR28" s="350">
        <v>2.2000000000000002</v>
      </c>
      <c r="BS28" s="350">
        <v>2.2000000000000002</v>
      </c>
      <c r="BT28" s="350">
        <v>2</v>
      </c>
      <c r="BU28" s="350"/>
      <c r="BV28" s="350">
        <v>2.2999999999999998</v>
      </c>
      <c r="BW28" s="350">
        <v>3.3</v>
      </c>
      <c r="BX28" s="350"/>
      <c r="BY28" s="350">
        <v>2.7</v>
      </c>
      <c r="BZ28" s="350">
        <v>3.4</v>
      </c>
      <c r="CA28" s="346" t="s">
        <v>31</v>
      </c>
      <c r="CB28" s="350">
        <v>5.0999999999999996</v>
      </c>
      <c r="CC28" s="350">
        <v>5.3</v>
      </c>
      <c r="CD28" s="350">
        <v>4.8000000000000007</v>
      </c>
      <c r="CE28" s="350">
        <v>5.8</v>
      </c>
      <c r="CF28" s="350">
        <v>6.1999999999999993</v>
      </c>
      <c r="CG28" s="350">
        <v>6.2</v>
      </c>
      <c r="CH28" s="350">
        <v>4.8000000000000007</v>
      </c>
      <c r="CI28" s="350">
        <v>6.2</v>
      </c>
      <c r="CJ28" s="350">
        <v>7.9</v>
      </c>
      <c r="CK28" s="350">
        <v>3.9</v>
      </c>
      <c r="CL28" s="346" t="s">
        <v>31</v>
      </c>
      <c r="CM28" s="351">
        <v>4.9000000000000004</v>
      </c>
      <c r="CN28" s="351">
        <v>4.0999999999999996</v>
      </c>
      <c r="CO28" s="351">
        <v>6</v>
      </c>
      <c r="CP28" s="351">
        <v>5.6</v>
      </c>
      <c r="CQ28" s="351">
        <v>3.9</v>
      </c>
      <c r="CR28" s="351">
        <v>6.2</v>
      </c>
      <c r="CS28" s="351">
        <v>6.7</v>
      </c>
      <c r="CT28" s="351">
        <v>4.2</v>
      </c>
      <c r="CU28" s="351">
        <v>5.7</v>
      </c>
      <c r="CV28" s="351">
        <v>6.1</v>
      </c>
      <c r="CW28" s="346" t="s">
        <v>31</v>
      </c>
      <c r="CX28" s="351">
        <v>4.5999999999999996</v>
      </c>
      <c r="CY28" s="351">
        <v>5.3</v>
      </c>
      <c r="CZ28" s="351">
        <v>7.1</v>
      </c>
      <c r="DA28" s="351">
        <v>4.8</v>
      </c>
      <c r="DB28" s="351">
        <v>5.7</v>
      </c>
      <c r="DC28" s="351">
        <v>5.3</v>
      </c>
      <c r="DD28" s="351">
        <v>4.8</v>
      </c>
      <c r="DE28" s="351">
        <v>4.7</v>
      </c>
      <c r="DF28" s="351">
        <v>5</v>
      </c>
      <c r="DG28" s="351">
        <v>6.1</v>
      </c>
      <c r="DH28" s="346" t="s">
        <v>31</v>
      </c>
      <c r="DI28" s="351">
        <v>8.3000000000000007</v>
      </c>
      <c r="DJ28" s="351">
        <v>8.1999999999999993</v>
      </c>
      <c r="DK28" s="351">
        <v>7.8</v>
      </c>
      <c r="DL28" s="351">
        <v>8.6999999999999993</v>
      </c>
      <c r="DM28" s="351">
        <v>9.1999999999999993</v>
      </c>
      <c r="DN28" s="351">
        <v>7.4</v>
      </c>
      <c r="DO28" s="351">
        <v>7.6</v>
      </c>
      <c r="DP28" s="351">
        <v>8.5</v>
      </c>
      <c r="DQ28" s="351">
        <v>9.3000000000000007</v>
      </c>
      <c r="DR28" s="351">
        <v>9.9</v>
      </c>
      <c r="DS28" s="346" t="s">
        <v>31</v>
      </c>
      <c r="DT28" s="349"/>
      <c r="DU28" s="349"/>
      <c r="DV28" s="349"/>
      <c r="DW28" s="351">
        <v>2.7</v>
      </c>
      <c r="DX28" s="351">
        <v>2.4</v>
      </c>
      <c r="DY28" s="351">
        <v>4</v>
      </c>
      <c r="DZ28" s="351">
        <v>3</v>
      </c>
      <c r="EA28" s="351">
        <v>4</v>
      </c>
      <c r="EB28" s="351">
        <v>4.8</v>
      </c>
      <c r="EC28" s="349"/>
      <c r="ED28" s="346" t="s">
        <v>31</v>
      </c>
      <c r="EE28" s="349"/>
      <c r="EF28" s="349"/>
      <c r="EG28" s="349"/>
      <c r="EH28" s="349"/>
      <c r="EI28" s="349"/>
      <c r="EJ28" s="349"/>
      <c r="EK28" s="349"/>
      <c r="EL28" s="349"/>
      <c r="EM28" s="349"/>
      <c r="EN28" s="349"/>
      <c r="EO28" s="346" t="s">
        <v>31</v>
      </c>
      <c r="EP28" s="351">
        <v>7.2</v>
      </c>
      <c r="EQ28" s="351">
        <v>6.4</v>
      </c>
      <c r="ER28" s="351">
        <v>7</v>
      </c>
      <c r="ES28" s="351">
        <v>7.8</v>
      </c>
      <c r="ET28" s="351">
        <v>8.1</v>
      </c>
      <c r="EU28" s="351">
        <v>7.3</v>
      </c>
      <c r="EV28" s="351">
        <v>7.2</v>
      </c>
      <c r="EW28" s="351">
        <v>7.7</v>
      </c>
      <c r="EX28" s="351">
        <v>9.9</v>
      </c>
      <c r="EY28" s="351">
        <v>8.4</v>
      </c>
      <c r="EZ28" s="346" t="s">
        <v>31</v>
      </c>
      <c r="FA28" s="349"/>
      <c r="FB28" s="351">
        <v>2.4</v>
      </c>
      <c r="FC28" s="351">
        <v>2.9</v>
      </c>
      <c r="FD28" s="349"/>
      <c r="FE28" s="351">
        <v>2.8</v>
      </c>
      <c r="FF28" s="351">
        <v>2.6</v>
      </c>
      <c r="FG28" s="351">
        <v>2.1</v>
      </c>
      <c r="FH28" s="351">
        <v>3.1</v>
      </c>
      <c r="FI28" s="351">
        <v>2.4</v>
      </c>
      <c r="FJ28" s="349"/>
      <c r="FK28" s="346" t="s">
        <v>31</v>
      </c>
      <c r="FL28" s="351">
        <v>2.2000000000000002</v>
      </c>
      <c r="FM28" s="349"/>
      <c r="FN28" s="351">
        <v>2.2999999999999998</v>
      </c>
      <c r="FO28" s="349"/>
      <c r="FP28" s="351">
        <v>2.1</v>
      </c>
      <c r="FQ28" s="351">
        <v>2</v>
      </c>
      <c r="FR28" s="351">
        <v>2.9</v>
      </c>
      <c r="FS28" s="349"/>
      <c r="FT28" s="349"/>
      <c r="FU28" s="349"/>
      <c r="FV28" s="346" t="s">
        <v>31</v>
      </c>
      <c r="FW28" s="351">
        <v>2.8</v>
      </c>
      <c r="FX28" s="351">
        <v>3.3</v>
      </c>
      <c r="FY28" s="351">
        <v>4</v>
      </c>
      <c r="FZ28" s="351">
        <v>3.7</v>
      </c>
      <c r="GA28" s="351">
        <v>2.9</v>
      </c>
      <c r="GB28" s="351">
        <v>2.8</v>
      </c>
      <c r="GC28" s="351">
        <v>2.4</v>
      </c>
      <c r="GD28" s="351">
        <v>2.7</v>
      </c>
      <c r="GE28" s="351">
        <v>3.3</v>
      </c>
      <c r="GF28" s="351">
        <v>4.5</v>
      </c>
      <c r="GG28" s="346" t="s">
        <v>31</v>
      </c>
      <c r="GH28" s="349"/>
      <c r="GI28" s="349"/>
      <c r="GJ28" s="349"/>
      <c r="GK28" s="349"/>
      <c r="GL28" s="349"/>
      <c r="GM28" s="349"/>
      <c r="GN28" s="349"/>
      <c r="GO28" s="349"/>
      <c r="GP28" s="349"/>
      <c r="GQ28" s="349"/>
      <c r="GR28" s="346" t="s">
        <v>31</v>
      </c>
      <c r="GS28" s="349"/>
      <c r="GT28" s="349"/>
      <c r="GU28" s="349"/>
      <c r="GV28" s="349"/>
      <c r="GW28" s="349"/>
      <c r="GX28" s="349"/>
      <c r="GY28" s="349"/>
      <c r="GZ28" s="349"/>
      <c r="HA28" s="349"/>
      <c r="HB28" s="351"/>
      <c r="HC28" s="346" t="s">
        <v>31</v>
      </c>
      <c r="HD28" s="349"/>
      <c r="HE28" s="349"/>
      <c r="HF28" s="349"/>
      <c r="HG28" s="349"/>
      <c r="HH28" s="349"/>
      <c r="HI28" s="349"/>
      <c r="HJ28" s="349"/>
      <c r="HK28" s="349"/>
      <c r="HL28" s="349"/>
      <c r="HM28" s="349"/>
      <c r="HN28" s="346" t="s">
        <v>31</v>
      </c>
      <c r="HO28" s="351">
        <v>2.4</v>
      </c>
      <c r="HP28" s="351">
        <v>2.7</v>
      </c>
      <c r="HQ28" s="351">
        <v>3.2</v>
      </c>
      <c r="HR28" s="351">
        <v>3.2</v>
      </c>
      <c r="HS28" s="351">
        <v>2.2999999999999998</v>
      </c>
      <c r="HT28" s="351">
        <v>3.7</v>
      </c>
      <c r="HU28" s="351">
        <v>3.7</v>
      </c>
      <c r="HV28" s="351">
        <v>3</v>
      </c>
      <c r="HW28" s="351">
        <v>3.4</v>
      </c>
      <c r="HX28" s="351">
        <v>2.4</v>
      </c>
      <c r="HY28" s="346" t="s">
        <v>31</v>
      </c>
      <c r="HZ28" s="349"/>
      <c r="IA28" s="349"/>
      <c r="IB28" s="349"/>
      <c r="IC28" s="349"/>
      <c r="ID28" s="349"/>
      <c r="IE28" s="349"/>
      <c r="IF28" s="349"/>
      <c r="IG28" s="349"/>
      <c r="IH28" s="349"/>
      <c r="II28" s="349"/>
      <c r="IJ28" s="346" t="s">
        <v>31</v>
      </c>
      <c r="IK28" s="349"/>
      <c r="IL28" s="349"/>
      <c r="IM28" s="349"/>
      <c r="IN28" s="349"/>
      <c r="IO28" s="349"/>
      <c r="IP28" s="349"/>
      <c r="IQ28" s="349"/>
      <c r="IR28" s="349"/>
      <c r="IS28" s="349"/>
      <c r="IT28" s="349"/>
      <c r="IU28" s="346" t="s">
        <v>31</v>
      </c>
      <c r="IV28" s="349"/>
      <c r="IW28" s="349"/>
      <c r="IX28" s="349"/>
      <c r="IY28" s="349"/>
      <c r="IZ28" s="349"/>
      <c r="JA28" s="349"/>
      <c r="JB28" s="349"/>
      <c r="JC28" s="349"/>
      <c r="JD28" s="349"/>
      <c r="JE28" s="349"/>
      <c r="JF28" s="346" t="s">
        <v>31</v>
      </c>
      <c r="JG28" s="349"/>
      <c r="JH28" s="349"/>
      <c r="JI28" s="349"/>
      <c r="JJ28" s="349"/>
      <c r="JK28" s="349"/>
      <c r="JL28" s="349"/>
      <c r="JM28" s="349"/>
      <c r="JN28" s="349"/>
      <c r="JO28" s="349"/>
      <c r="JP28" s="349"/>
      <c r="JQ28" s="346" t="s">
        <v>31</v>
      </c>
      <c r="JR28" s="349"/>
      <c r="JS28" s="349"/>
      <c r="JT28" s="349"/>
      <c r="JU28" s="349"/>
      <c r="JV28" s="349"/>
      <c r="JW28" s="349"/>
      <c r="JX28" s="349"/>
      <c r="JY28" s="349"/>
      <c r="JZ28" s="349"/>
      <c r="KA28" s="349"/>
      <c r="KB28" s="346" t="s">
        <v>31</v>
      </c>
      <c r="KC28" s="349"/>
      <c r="KD28" s="349"/>
      <c r="KE28" s="349"/>
      <c r="KF28" s="349"/>
      <c r="KG28" s="349"/>
      <c r="KH28" s="349"/>
      <c r="KI28" s="349"/>
      <c r="KJ28" s="349"/>
      <c r="KK28" s="351"/>
      <c r="KL28" s="349"/>
      <c r="KM28" s="346" t="s">
        <v>31</v>
      </c>
      <c r="KN28" s="349"/>
      <c r="KO28" s="349"/>
      <c r="KP28" s="349"/>
      <c r="KQ28" s="349"/>
      <c r="KR28" s="349"/>
      <c r="KS28" s="349"/>
      <c r="KT28" s="349"/>
      <c r="KU28" s="349"/>
      <c r="KV28" s="349"/>
      <c r="KW28" s="349"/>
      <c r="KX28" s="346" t="s">
        <v>31</v>
      </c>
      <c r="KY28" s="349"/>
      <c r="KZ28" s="349"/>
      <c r="LA28" s="349"/>
      <c r="LB28" s="349"/>
      <c r="LC28" s="349"/>
      <c r="LD28" s="349"/>
      <c r="LE28" s="349"/>
      <c r="LF28" s="349"/>
      <c r="LG28" s="349"/>
      <c r="LH28" s="351"/>
      <c r="LI28" s="346" t="s">
        <v>31</v>
      </c>
      <c r="LJ28" s="349"/>
      <c r="LK28" s="349"/>
      <c r="LL28" s="349"/>
      <c r="LM28" s="349"/>
      <c r="LN28" s="349"/>
      <c r="LO28" s="349"/>
      <c r="LP28" s="349"/>
      <c r="LQ28" s="349"/>
      <c r="LR28" s="349"/>
      <c r="LS28" s="349"/>
      <c r="LT28" s="346" t="s">
        <v>31</v>
      </c>
      <c r="LU28" s="349"/>
      <c r="LV28" s="349"/>
      <c r="LW28" s="349"/>
      <c r="LX28" s="349"/>
      <c r="LY28" s="349"/>
      <c r="LZ28" s="349"/>
      <c r="MA28" s="349"/>
      <c r="MB28" s="349"/>
      <c r="MC28" s="349"/>
      <c r="MD28" s="349"/>
      <c r="ME28" s="346" t="s">
        <v>31</v>
      </c>
      <c r="MF28" s="349"/>
      <c r="MG28" s="349"/>
      <c r="MH28" s="349"/>
      <c r="MI28" s="349"/>
      <c r="MJ28" s="349"/>
      <c r="MK28" s="349"/>
      <c r="ML28" s="349"/>
      <c r="MM28" s="349"/>
      <c r="MN28" s="351"/>
      <c r="MO28" s="349"/>
      <c r="MP28" s="346" t="s">
        <v>31</v>
      </c>
      <c r="MQ28" s="349"/>
      <c r="MR28" s="349"/>
      <c r="MS28" s="349"/>
      <c r="MT28" s="349"/>
      <c r="MU28" s="349"/>
      <c r="MV28" s="349"/>
      <c r="MW28" s="349"/>
      <c r="MX28" s="349"/>
      <c r="MY28" s="349"/>
      <c r="MZ28" s="349"/>
      <c r="NA28" s="346" t="s">
        <v>31</v>
      </c>
      <c r="NB28" s="349"/>
      <c r="NC28" s="349"/>
      <c r="ND28" s="351"/>
      <c r="NE28" s="349"/>
      <c r="NF28" s="349"/>
      <c r="NG28" s="349"/>
      <c r="NH28" s="349"/>
      <c r="NI28" s="349"/>
      <c r="NJ28" s="351"/>
      <c r="NK28" s="351"/>
      <c r="NL28" s="346" t="s">
        <v>31</v>
      </c>
      <c r="NM28" s="351">
        <v>2.8</v>
      </c>
      <c r="NN28" s="351">
        <v>3.4</v>
      </c>
      <c r="NO28" s="351">
        <v>2.5</v>
      </c>
      <c r="NP28" s="351">
        <v>2.2000000000000002</v>
      </c>
      <c r="NQ28" s="349"/>
      <c r="NR28" s="351">
        <v>2.1</v>
      </c>
      <c r="NS28" s="349"/>
      <c r="NT28" s="349"/>
      <c r="NU28" s="351">
        <v>2.5</v>
      </c>
      <c r="NV28" s="351">
        <v>2.7</v>
      </c>
      <c r="NW28" s="346" t="s">
        <v>31</v>
      </c>
      <c r="NX28" s="351">
        <v>2.5</v>
      </c>
      <c r="NY28" s="351">
        <v>2.6</v>
      </c>
      <c r="NZ28" s="351">
        <v>2.6</v>
      </c>
      <c r="OA28" s="351">
        <v>3.6</v>
      </c>
      <c r="OB28" s="351">
        <v>2.1</v>
      </c>
      <c r="OC28" s="351">
        <v>2.2000000000000002</v>
      </c>
      <c r="OD28" s="351">
        <v>2.2999999999999998</v>
      </c>
      <c r="OE28" s="349"/>
      <c r="OF28" s="351">
        <v>2.1</v>
      </c>
      <c r="OG28" s="351">
        <v>3.1</v>
      </c>
      <c r="OH28" s="346" t="s">
        <v>31</v>
      </c>
      <c r="OI28" s="352">
        <v>6.4</v>
      </c>
      <c r="OJ28" s="352">
        <v>5.5</v>
      </c>
      <c r="OK28" s="352">
        <v>7.3</v>
      </c>
      <c r="OL28" s="352">
        <v>5.4</v>
      </c>
      <c r="OM28" s="352">
        <v>7.7</v>
      </c>
      <c r="ON28" s="352">
        <v>6.3</v>
      </c>
      <c r="OO28" s="352">
        <v>5.9</v>
      </c>
      <c r="OP28" s="352">
        <v>6.2</v>
      </c>
      <c r="OQ28" s="352">
        <v>7.1</v>
      </c>
      <c r="OR28" s="352">
        <v>5.9</v>
      </c>
      <c r="OS28" s="346" t="s">
        <v>31</v>
      </c>
      <c r="OT28" s="353">
        <v>-0.8</v>
      </c>
      <c r="OU28" s="353">
        <v>2.9</v>
      </c>
      <c r="OV28" s="353">
        <v>0.2</v>
      </c>
      <c r="OW28" s="353">
        <v>-0.8</v>
      </c>
      <c r="OX28" s="353">
        <v>0.5</v>
      </c>
      <c r="OY28" s="353">
        <v>0.2</v>
      </c>
      <c r="OZ28" s="353">
        <v>0.7</v>
      </c>
      <c r="PA28" s="353">
        <v>1.4</v>
      </c>
      <c r="PB28" s="353">
        <v>0.9</v>
      </c>
      <c r="PC28" s="353">
        <v>0</v>
      </c>
      <c r="PE28" s="354">
        <f>E28-'[1]Data-temp_employment'!F28</f>
        <v>-1.8999999999999986</v>
      </c>
      <c r="PF28" s="354">
        <f>F28-'[1]Data-temp_employment'!G28</f>
        <v>-1</v>
      </c>
      <c r="PG28" s="354">
        <f>O28-'[1]Data-temp_employment'!P28</f>
        <v>-4.6000000000000014</v>
      </c>
      <c r="PH28" s="354">
        <f>P28-'[1]Data-temp_employment'!Q28</f>
        <v>-4</v>
      </c>
      <c r="PI28" s="354">
        <f>AD28-'[1]Data-temp_employment'!AE28</f>
        <v>0</v>
      </c>
      <c r="PJ28" s="354">
        <f>AE28-'[1]Data-temp_employment'!AF28</f>
        <v>0</v>
      </c>
      <c r="PK28" s="354">
        <f>BR28-'[1]Data-temp_employment'!BS28</f>
        <v>2.2000000000000002</v>
      </c>
      <c r="PL28" s="354">
        <f>BS28-'[1]Data-temp_employment'!BT28</f>
        <v>2.2000000000000002</v>
      </c>
      <c r="PM28" s="354">
        <f>CC28-'[1]Data-temp_employment'!CD28</f>
        <v>-0.39999999999999947</v>
      </c>
      <c r="PN28" s="354">
        <f>CD28-'[1]Data-temp_employment'!CE28</f>
        <v>-0.29999999999999893</v>
      </c>
      <c r="PO28" s="354">
        <f>CR28-'[1]Data-temp_employment'!CS28</f>
        <v>2.1000000000000005</v>
      </c>
      <c r="PP28" s="354">
        <f>CS28-'[1]Data-temp_employment'!CT28</f>
        <v>0.70000000000000018</v>
      </c>
      <c r="PQ28" s="354">
        <f>DC28-'[1]Data-temp_employment'!DD28</f>
        <v>0</v>
      </c>
      <c r="PR28" s="354">
        <f>DD28-'[1]Data-temp_employment'!DE28</f>
        <v>-2.2999999999999998</v>
      </c>
      <c r="PS28" s="354">
        <f>DN28-'[1]Data-temp_employment'!DO28</f>
        <v>-0.79999999999999893</v>
      </c>
      <c r="PT28" s="354">
        <f>DO28-'[1]Data-temp_employment'!DP28</f>
        <v>-0.20000000000000018</v>
      </c>
      <c r="PU28" s="354">
        <f>EF28-'[1]Data-temp_employment'!EG28</f>
        <v>0</v>
      </c>
      <c r="PV28" s="354">
        <f>EG28-'[1]Data-temp_employment'!EH28</f>
        <v>0</v>
      </c>
      <c r="PW28" s="354">
        <f>EU28-'[1]Data-temp_employment'!EV28</f>
        <v>0.89999999999999947</v>
      </c>
      <c r="PX28" s="354">
        <f>EV28-'[1]Data-temp_employment'!EW28</f>
        <v>0.20000000000000018</v>
      </c>
      <c r="PY28" s="354">
        <f>FF28-'[1]Data-temp_employment'!FG28</f>
        <v>0.20000000000000018</v>
      </c>
      <c r="PZ28" s="354">
        <f>FG28-'[1]Data-temp_employment'!FH28</f>
        <v>-0.79999999999999982</v>
      </c>
      <c r="QA28" s="354">
        <f>FQ28-'[1]Data-temp_employment'!FR28</f>
        <v>2</v>
      </c>
      <c r="QB28" s="354">
        <f>FR28-'[1]Data-temp_employment'!FS28</f>
        <v>0.60000000000000009</v>
      </c>
      <c r="QC28" s="354">
        <f>GB28-'[1]Data-temp_employment'!GC28</f>
        <v>-0.5</v>
      </c>
      <c r="QD28" s="354">
        <f>GC28-'[1]Data-temp_employment'!GD28</f>
        <v>-1.6</v>
      </c>
      <c r="QE28" s="354">
        <f>GM28-'[1]Data-temp_employment'!GN28</f>
        <v>0</v>
      </c>
      <c r="QF28" s="354">
        <f>GN28-'[1]Data-temp_employment'!GO28</f>
        <v>0</v>
      </c>
      <c r="QG28" s="354">
        <f>GX28-'[1]Data-temp_employment'!GY28</f>
        <v>0</v>
      </c>
      <c r="QH28" s="354">
        <f>GY28-'[1]Data-temp_employment'!GZ28</f>
        <v>0</v>
      </c>
      <c r="QI28" s="354">
        <f>HI28-'[1]Data-temp_employment'!HJ28</f>
        <v>0</v>
      </c>
      <c r="QJ28" s="354">
        <f>HJ28-'[1]Data-temp_employment'!HK28</f>
        <v>0</v>
      </c>
      <c r="QK28" s="354">
        <f>HT28-'[1]Data-temp_employment'!HU28</f>
        <v>1</v>
      </c>
      <c r="QL28" s="354">
        <f>HU28-'[1]Data-temp_employment'!HV28</f>
        <v>0.5</v>
      </c>
      <c r="QM28" s="354">
        <f>IE28-'[1]Data-temp_employment'!IF28</f>
        <v>0</v>
      </c>
      <c r="QN28" s="354">
        <f>IF28-'[1]Data-temp_employment'!IG28</f>
        <v>0</v>
      </c>
      <c r="QO28" s="354">
        <f>JA28-'[1]Data-temp_employment'!JB28</f>
        <v>0</v>
      </c>
      <c r="QP28" s="354">
        <f>JB28-'[1]Data-temp_employment'!JC28</f>
        <v>0</v>
      </c>
      <c r="QQ28" s="354">
        <f>JH28-'[1]Data-temp_employment'!JI28</f>
        <v>0</v>
      </c>
      <c r="QR28" s="354">
        <f>JI28-'[1]Data-temp_employment'!JJ28</f>
        <v>0</v>
      </c>
      <c r="QS28" s="354">
        <f>JS28-'[1]Data-temp_employment'!JT28</f>
        <v>0</v>
      </c>
      <c r="QT28" s="354">
        <f>JT28-'[1]Data-temp_employment'!JU28</f>
        <v>0</v>
      </c>
      <c r="QU28" s="354">
        <f>KD28-'[1]Data-temp_employment'!KE28</f>
        <v>0</v>
      </c>
      <c r="QV28" s="354">
        <f>KE28-'[1]Data-temp_employment'!KF28</f>
        <v>0</v>
      </c>
      <c r="QW28" s="354">
        <f>KO28-'[1]Data-temp_employment'!KP28</f>
        <v>0</v>
      </c>
      <c r="QX28" s="354">
        <f>KP28-'[1]Data-temp_employment'!KQ28</f>
        <v>0</v>
      </c>
      <c r="QY28" s="354">
        <f>LD28-'[1]Data-temp_employment'!LE28</f>
        <v>0</v>
      </c>
      <c r="QZ28" s="354">
        <f>LE28-'[1]Data-temp_employment'!LF28</f>
        <v>0</v>
      </c>
      <c r="RA28" s="354">
        <f>LK28-'[1]Data-temp_employment'!LL28</f>
        <v>0</v>
      </c>
      <c r="RB28" s="354">
        <f>LL28-'[1]Data-temp_employment'!LM28</f>
        <v>0</v>
      </c>
      <c r="RC28" s="354">
        <f>LV28-'[1]Data-temp_employment'!LW28</f>
        <v>0</v>
      </c>
      <c r="RD28" s="354">
        <f>LW28-'[1]Data-temp_employment'!LX28</f>
        <v>0</v>
      </c>
      <c r="RE28" s="354">
        <f>MK28-'[1]Data-temp_employment'!ML28</f>
        <v>0</v>
      </c>
      <c r="RF28" s="354">
        <f>ML28-'[1]Data-temp_employment'!MM28</f>
        <v>0</v>
      </c>
      <c r="RG28" s="354">
        <f>MV28-'[1]Data-temp_employment'!MW28</f>
        <v>0</v>
      </c>
      <c r="RH28" s="354">
        <f>MW28-'[1]Data-temp_employment'!MX28</f>
        <v>0</v>
      </c>
      <c r="RI28" s="354">
        <f>NG28-'[1]Data-temp_employment'!NH28</f>
        <v>0</v>
      </c>
      <c r="RJ28" s="354">
        <f>NH28-'[1]Data-temp_employment'!NI28</f>
        <v>0</v>
      </c>
      <c r="RK28" s="354">
        <f>NR28-'[1]Data-temp_employment'!NS28</f>
        <v>-1.2999999999999998</v>
      </c>
      <c r="RL28" s="354">
        <f>NS28-'[1]Data-temp_employment'!NT28</f>
        <v>-2.5</v>
      </c>
      <c r="RM28" s="354">
        <f>OC28-'[1]Data-temp_employment'!OD28</f>
        <v>-0.39999999999999991</v>
      </c>
      <c r="RN28" s="354">
        <f>OD28-'[1]Data-temp_employment'!OE28</f>
        <v>-0.30000000000000027</v>
      </c>
      <c r="RO28" s="354">
        <f>OT28-'[1]Data-temp_employment'!OV28</f>
        <v>-0.9</v>
      </c>
      <c r="RP28" s="354">
        <f>OU28-'[1]Data-temp_employment'!OW28</f>
        <v>2.6999999999999997</v>
      </c>
    </row>
    <row r="29" spans="1:485" s="345" customFormat="1">
      <c r="A29" s="345">
        <v>26</v>
      </c>
      <c r="B29" s="346" t="s">
        <v>56</v>
      </c>
      <c r="C29" s="347">
        <v>11.1</v>
      </c>
      <c r="D29" s="347">
        <v>14.3</v>
      </c>
      <c r="E29" s="347">
        <v>13.9</v>
      </c>
      <c r="F29" s="347">
        <v>14.7</v>
      </c>
      <c r="G29" s="347">
        <v>13.7</v>
      </c>
      <c r="H29" s="347">
        <v>14.3</v>
      </c>
      <c r="I29" s="347">
        <v>13.8</v>
      </c>
      <c r="J29" s="347">
        <v>14.1</v>
      </c>
      <c r="K29" s="347">
        <v>13.6</v>
      </c>
      <c r="L29" s="347">
        <v>16.100000000000001</v>
      </c>
      <c r="M29" s="346" t="s">
        <v>56</v>
      </c>
      <c r="N29" s="347">
        <v>60</v>
      </c>
      <c r="O29" s="347">
        <v>78.3</v>
      </c>
      <c r="P29" s="347">
        <v>76.400000000000006</v>
      </c>
      <c r="Q29" s="347">
        <v>81.400000000000006</v>
      </c>
      <c r="R29" s="347">
        <v>76.3</v>
      </c>
      <c r="S29" s="347">
        <v>79.900000000000006</v>
      </c>
      <c r="T29" s="347">
        <v>79.2</v>
      </c>
      <c r="U29" s="347">
        <v>80.5</v>
      </c>
      <c r="V29" s="347">
        <v>77.2</v>
      </c>
      <c r="W29" s="347">
        <v>91.5</v>
      </c>
      <c r="X29" s="346" t="s">
        <v>56</v>
      </c>
      <c r="Y29" s="347">
        <v>1.9</v>
      </c>
      <c r="Z29" s="347">
        <v>4</v>
      </c>
      <c r="AA29" s="347">
        <v>3.8</v>
      </c>
      <c r="AB29" s="347">
        <v>4.2</v>
      </c>
      <c r="AC29" s="347">
        <v>5.4</v>
      </c>
      <c r="AD29" s="348"/>
      <c r="AE29" s="347">
        <v>3.5</v>
      </c>
      <c r="AF29" s="347">
        <v>3.6</v>
      </c>
      <c r="AG29" s="348"/>
      <c r="AH29" s="347">
        <v>6</v>
      </c>
      <c r="AI29" s="346" t="s">
        <v>56</v>
      </c>
      <c r="AJ29" s="347">
        <v>13.5</v>
      </c>
      <c r="AK29" s="347">
        <v>23.1</v>
      </c>
      <c r="AL29" s="347">
        <v>22.6</v>
      </c>
      <c r="AM29" s="347">
        <v>18</v>
      </c>
      <c r="AN29" s="347">
        <v>18.7</v>
      </c>
      <c r="AO29" s="347">
        <v>21</v>
      </c>
      <c r="AP29" s="347">
        <v>20.8</v>
      </c>
      <c r="AQ29" s="347">
        <v>25.5</v>
      </c>
      <c r="AR29" s="347">
        <v>21.1</v>
      </c>
      <c r="AS29" s="347">
        <v>30.3</v>
      </c>
      <c r="AT29" s="346" t="s">
        <v>56</v>
      </c>
      <c r="AU29" s="347">
        <v>19.600000000000001</v>
      </c>
      <c r="AV29" s="347">
        <v>23.3</v>
      </c>
      <c r="AW29" s="347">
        <v>19.8</v>
      </c>
      <c r="AX29" s="347">
        <v>22</v>
      </c>
      <c r="AY29" s="347">
        <v>25.9</v>
      </c>
      <c r="AZ29" s="347">
        <v>17.7</v>
      </c>
      <c r="BA29" s="347">
        <v>23.6</v>
      </c>
      <c r="BB29" s="347">
        <v>22.7</v>
      </c>
      <c r="BC29" s="347">
        <v>21.3</v>
      </c>
      <c r="BD29" s="347">
        <v>22</v>
      </c>
      <c r="BE29" s="346" t="s">
        <v>56</v>
      </c>
      <c r="BF29" s="351">
        <v>10.9</v>
      </c>
      <c r="BG29" s="351">
        <v>12.1</v>
      </c>
      <c r="BH29" s="351">
        <v>13.8</v>
      </c>
      <c r="BI29" s="351">
        <v>17.399999999999999</v>
      </c>
      <c r="BJ29" s="351">
        <v>15.8</v>
      </c>
      <c r="BK29" s="351">
        <v>11.8</v>
      </c>
      <c r="BL29" s="351">
        <v>10.4</v>
      </c>
      <c r="BM29" s="351">
        <v>12.8</v>
      </c>
      <c r="BN29" s="351">
        <v>17.2</v>
      </c>
      <c r="BO29" s="351">
        <v>14.9</v>
      </c>
      <c r="BP29" s="346" t="s">
        <v>56</v>
      </c>
      <c r="BQ29" s="350">
        <v>2</v>
      </c>
      <c r="BR29" s="350">
        <v>2.8</v>
      </c>
      <c r="BS29" s="350">
        <v>3</v>
      </c>
      <c r="BT29" s="350">
        <v>5.6</v>
      </c>
      <c r="BU29" s="350">
        <v>3.2</v>
      </c>
      <c r="BV29" s="350">
        <v>7.4</v>
      </c>
      <c r="BW29" s="350">
        <v>4.2</v>
      </c>
      <c r="BX29" s="350">
        <v>3.6</v>
      </c>
      <c r="BY29" s="350">
        <v>2.2999999999999998</v>
      </c>
      <c r="BZ29" s="350">
        <v>2.2000000000000002</v>
      </c>
      <c r="CA29" s="346" t="s">
        <v>56</v>
      </c>
      <c r="CB29" s="350">
        <v>11.3</v>
      </c>
      <c r="CC29" s="350">
        <v>11.5</v>
      </c>
      <c r="CD29" s="350">
        <v>12.4</v>
      </c>
      <c r="CE29" s="350">
        <v>14.2</v>
      </c>
      <c r="CF29" s="350">
        <v>4.9000000000000004</v>
      </c>
      <c r="CG29" s="350">
        <v>21</v>
      </c>
      <c r="CH29" s="350">
        <v>16.7</v>
      </c>
      <c r="CI29" s="350">
        <v>10.9</v>
      </c>
      <c r="CJ29" s="350">
        <v>12.5</v>
      </c>
      <c r="CK29" s="350">
        <v>15</v>
      </c>
      <c r="CL29" s="346" t="s">
        <v>56</v>
      </c>
      <c r="CM29" s="351">
        <v>11.4</v>
      </c>
      <c r="CN29" s="351">
        <v>19.100000000000001</v>
      </c>
      <c r="CO29" s="351">
        <v>15.3</v>
      </c>
      <c r="CP29" s="351">
        <v>20.399999999999999</v>
      </c>
      <c r="CQ29" s="351">
        <v>22.7</v>
      </c>
      <c r="CR29" s="351">
        <v>16.7</v>
      </c>
      <c r="CS29" s="351">
        <v>13.6</v>
      </c>
      <c r="CT29" s="351">
        <v>19</v>
      </c>
      <c r="CU29" s="351">
        <v>12.7</v>
      </c>
      <c r="CV29" s="351">
        <v>19.100000000000001</v>
      </c>
      <c r="CW29" s="346" t="s">
        <v>56</v>
      </c>
      <c r="CX29" s="351">
        <v>31.9</v>
      </c>
      <c r="CY29" s="351">
        <v>44.4</v>
      </c>
      <c r="CZ29" s="351">
        <v>44.8</v>
      </c>
      <c r="DA29" s="351">
        <v>44.2</v>
      </c>
      <c r="DB29" s="351">
        <v>39.200000000000003</v>
      </c>
      <c r="DC29" s="351">
        <v>44.7</v>
      </c>
      <c r="DD29" s="351">
        <v>51</v>
      </c>
      <c r="DE29" s="351">
        <v>45</v>
      </c>
      <c r="DF29" s="351">
        <v>47.4</v>
      </c>
      <c r="DG29" s="351">
        <v>54.2</v>
      </c>
      <c r="DH29" s="346" t="s">
        <v>56</v>
      </c>
      <c r="DI29" s="351">
        <v>16.7</v>
      </c>
      <c r="DJ29" s="351">
        <v>14.9</v>
      </c>
      <c r="DK29" s="351">
        <v>16.3</v>
      </c>
      <c r="DL29" s="351">
        <v>16.899999999999999</v>
      </c>
      <c r="DM29" s="351">
        <v>14.4</v>
      </c>
      <c r="DN29" s="351">
        <v>18.5</v>
      </c>
      <c r="DO29" s="351">
        <v>14.6</v>
      </c>
      <c r="DP29" s="351">
        <v>16.600000000000001</v>
      </c>
      <c r="DQ29" s="351">
        <v>17.100000000000001</v>
      </c>
      <c r="DR29" s="351">
        <v>18.2</v>
      </c>
      <c r="DS29" s="346" t="s">
        <v>56</v>
      </c>
      <c r="DT29" s="349"/>
      <c r="DU29" s="349"/>
      <c r="DV29" s="349"/>
      <c r="DW29" s="349"/>
      <c r="DX29" s="349"/>
      <c r="DY29" s="349"/>
      <c r="DZ29" s="349"/>
      <c r="EA29" s="349"/>
      <c r="EB29" s="349"/>
      <c r="EC29" s="349"/>
      <c r="ED29" s="346" t="s">
        <v>56</v>
      </c>
      <c r="EE29" s="349"/>
      <c r="EF29" s="349"/>
      <c r="EG29" s="349"/>
      <c r="EH29" s="349"/>
      <c r="EI29" s="349"/>
      <c r="EJ29" s="349"/>
      <c r="EK29" s="349"/>
      <c r="EL29" s="349"/>
      <c r="EM29" s="349"/>
      <c r="EN29" s="349"/>
      <c r="EO29" s="346" t="s">
        <v>56</v>
      </c>
      <c r="EP29" s="351">
        <v>9.3000000000000007</v>
      </c>
      <c r="EQ29" s="351">
        <v>8</v>
      </c>
      <c r="ER29" s="351">
        <v>8.1</v>
      </c>
      <c r="ES29" s="351">
        <v>9.6</v>
      </c>
      <c r="ET29" s="351">
        <v>9.1999999999999993</v>
      </c>
      <c r="EU29" s="351">
        <v>8.5</v>
      </c>
      <c r="EV29" s="351">
        <v>7.5</v>
      </c>
      <c r="EW29" s="351">
        <v>10.4</v>
      </c>
      <c r="EX29" s="351">
        <v>9.1</v>
      </c>
      <c r="EY29" s="351">
        <v>8.8000000000000007</v>
      </c>
      <c r="EZ29" s="346" t="s">
        <v>56</v>
      </c>
      <c r="FA29" s="351">
        <v>2.7</v>
      </c>
      <c r="FB29" s="351">
        <v>4.7</v>
      </c>
      <c r="FC29" s="351">
        <v>5.7</v>
      </c>
      <c r="FD29" s="351">
        <v>7.5</v>
      </c>
      <c r="FE29" s="351">
        <v>4.3</v>
      </c>
      <c r="FF29" s="351">
        <v>3.8</v>
      </c>
      <c r="FG29" s="351">
        <v>6.5</v>
      </c>
      <c r="FH29" s="351">
        <v>5.6</v>
      </c>
      <c r="FI29" s="351">
        <v>3.8</v>
      </c>
      <c r="FJ29" s="351">
        <v>5.8</v>
      </c>
      <c r="FK29" s="346" t="s">
        <v>56</v>
      </c>
      <c r="FL29" s="351">
        <v>3.8</v>
      </c>
      <c r="FM29" s="351">
        <v>4</v>
      </c>
      <c r="FN29" s="351">
        <v>5.6</v>
      </c>
      <c r="FO29" s="351">
        <v>3.8</v>
      </c>
      <c r="FP29" s="351">
        <v>3.3</v>
      </c>
      <c r="FQ29" s="351">
        <v>5.2</v>
      </c>
      <c r="FR29" s="351">
        <v>4.2</v>
      </c>
      <c r="FS29" s="351">
        <v>2.4</v>
      </c>
      <c r="FT29" s="351">
        <v>6.4</v>
      </c>
      <c r="FU29" s="351">
        <v>4.5</v>
      </c>
      <c r="FV29" s="346" t="s">
        <v>56</v>
      </c>
      <c r="FW29" s="351">
        <v>12.8</v>
      </c>
      <c r="FX29" s="351">
        <v>13.3</v>
      </c>
      <c r="FY29" s="351">
        <v>14.2</v>
      </c>
      <c r="FZ29" s="351">
        <v>16.2</v>
      </c>
      <c r="GA29" s="351">
        <v>13.3</v>
      </c>
      <c r="GB29" s="351">
        <v>14.6</v>
      </c>
      <c r="GC29" s="351">
        <v>14.3</v>
      </c>
      <c r="GD29" s="351">
        <v>14.3</v>
      </c>
      <c r="GE29" s="351">
        <v>16.899999999999999</v>
      </c>
      <c r="GF29" s="351">
        <v>17.399999999999999</v>
      </c>
      <c r="GG29" s="346" t="s">
        <v>56</v>
      </c>
      <c r="GH29" s="349"/>
      <c r="GI29" s="351"/>
      <c r="GJ29" s="349"/>
      <c r="GK29" s="349"/>
      <c r="GL29" s="349"/>
      <c r="GM29" s="349"/>
      <c r="GN29" s="349"/>
      <c r="GO29" s="351"/>
      <c r="GP29" s="349"/>
      <c r="GQ29" s="349"/>
      <c r="GR29" s="346" t="s">
        <v>56</v>
      </c>
      <c r="GS29" s="351">
        <v>10.5</v>
      </c>
      <c r="GT29" s="351">
        <v>15.5</v>
      </c>
      <c r="GU29" s="351">
        <v>13</v>
      </c>
      <c r="GV29" s="351">
        <v>14.3</v>
      </c>
      <c r="GW29" s="351">
        <v>14.3</v>
      </c>
      <c r="GX29" s="351">
        <v>13.6</v>
      </c>
      <c r="GY29" s="351">
        <v>13.3</v>
      </c>
      <c r="GZ29" s="351">
        <v>12.2</v>
      </c>
      <c r="HA29" s="351">
        <v>12.9</v>
      </c>
      <c r="HB29" s="351">
        <v>18.2</v>
      </c>
      <c r="HC29" s="346" t="s">
        <v>56</v>
      </c>
      <c r="HD29" s="351">
        <v>11</v>
      </c>
      <c r="HE29" s="351">
        <v>16</v>
      </c>
      <c r="HF29" s="351">
        <v>12.1</v>
      </c>
      <c r="HG29" s="351">
        <v>10.9</v>
      </c>
      <c r="HH29" s="351">
        <v>14.6</v>
      </c>
      <c r="HI29" s="351">
        <v>15</v>
      </c>
      <c r="HJ29" s="351">
        <v>17.899999999999999</v>
      </c>
      <c r="HK29" s="351">
        <v>18.600000000000001</v>
      </c>
      <c r="HL29" s="351">
        <v>17.399999999999999</v>
      </c>
      <c r="HM29" s="351">
        <v>21.3</v>
      </c>
      <c r="HN29" s="346" t="s">
        <v>56</v>
      </c>
      <c r="HO29" s="351">
        <v>8.3000000000000007</v>
      </c>
      <c r="HP29" s="351">
        <v>13</v>
      </c>
      <c r="HQ29" s="351">
        <v>14.3</v>
      </c>
      <c r="HR29" s="351">
        <v>16.5</v>
      </c>
      <c r="HS29" s="351">
        <v>15.9</v>
      </c>
      <c r="HT29" s="351">
        <v>14.9</v>
      </c>
      <c r="HU29" s="351">
        <v>11.9</v>
      </c>
      <c r="HV29" s="351">
        <v>13.2</v>
      </c>
      <c r="HW29" s="351">
        <v>8.3000000000000007</v>
      </c>
      <c r="HX29" s="351">
        <v>13.8</v>
      </c>
      <c r="HY29" s="346" t="s">
        <v>56</v>
      </c>
      <c r="HZ29" s="349"/>
      <c r="IA29" s="349"/>
      <c r="IB29" s="349"/>
      <c r="IC29" s="349"/>
      <c r="ID29" s="349"/>
      <c r="IE29" s="349"/>
      <c r="IF29" s="351"/>
      <c r="IG29" s="351"/>
      <c r="IH29" s="351"/>
      <c r="II29" s="349"/>
      <c r="IJ29" s="346" t="s">
        <v>56</v>
      </c>
      <c r="IK29" s="349"/>
      <c r="IL29" s="349"/>
      <c r="IM29" s="349"/>
      <c r="IN29" s="349"/>
      <c r="IO29" s="349"/>
      <c r="IP29" s="349"/>
      <c r="IQ29" s="349"/>
      <c r="IR29" s="349"/>
      <c r="IS29" s="349"/>
      <c r="IT29" s="349"/>
      <c r="IU29" s="346" t="s">
        <v>56</v>
      </c>
      <c r="IV29" s="351">
        <v>2.6</v>
      </c>
      <c r="IW29" s="351">
        <v>4.5999999999999996</v>
      </c>
      <c r="IX29" s="351">
        <v>6.5</v>
      </c>
      <c r="IY29" s="351">
        <v>2.7</v>
      </c>
      <c r="IZ29" s="351">
        <v>4.9000000000000004</v>
      </c>
      <c r="JA29" s="351">
        <v>4.3</v>
      </c>
      <c r="JB29" s="351">
        <v>4.5</v>
      </c>
      <c r="JC29" s="351">
        <v>5.5</v>
      </c>
      <c r="JD29" s="351">
        <v>1.8</v>
      </c>
      <c r="JE29" s="351">
        <v>2.2000000000000002</v>
      </c>
      <c r="JF29" s="346" t="s">
        <v>56</v>
      </c>
      <c r="JG29" s="351">
        <v>16.100000000000001</v>
      </c>
      <c r="JH29" s="351">
        <v>22.5</v>
      </c>
      <c r="JI29" s="351">
        <v>19.8</v>
      </c>
      <c r="JJ29" s="351">
        <v>18.899999999999999</v>
      </c>
      <c r="JK29" s="351">
        <v>18.7</v>
      </c>
      <c r="JL29" s="351">
        <v>21.9</v>
      </c>
      <c r="JM29" s="351">
        <v>21.5</v>
      </c>
      <c r="JN29" s="351">
        <v>23.3</v>
      </c>
      <c r="JO29" s="351">
        <v>19.3</v>
      </c>
      <c r="JP29" s="351">
        <v>27.9</v>
      </c>
      <c r="JQ29" s="346" t="s">
        <v>56</v>
      </c>
      <c r="JR29" s="351">
        <v>7.3</v>
      </c>
      <c r="JS29" s="351">
        <v>12.7</v>
      </c>
      <c r="JT29" s="351">
        <v>11.4</v>
      </c>
      <c r="JU29" s="351">
        <v>14.1</v>
      </c>
      <c r="JV29" s="351">
        <v>10</v>
      </c>
      <c r="JW29" s="351">
        <v>11.5</v>
      </c>
      <c r="JX29" s="351">
        <v>12.2</v>
      </c>
      <c r="JY29" s="351">
        <v>10.3</v>
      </c>
      <c r="JZ29" s="351">
        <v>10.199999999999999</v>
      </c>
      <c r="KA29" s="351">
        <v>15</v>
      </c>
      <c r="KB29" s="346" t="s">
        <v>56</v>
      </c>
      <c r="KC29" s="351">
        <v>6.5</v>
      </c>
      <c r="KD29" s="351">
        <v>8.6</v>
      </c>
      <c r="KE29" s="351">
        <v>9.8000000000000007</v>
      </c>
      <c r="KF29" s="351">
        <v>11.7</v>
      </c>
      <c r="KG29" s="351">
        <v>14.3</v>
      </c>
      <c r="KH29" s="351">
        <v>10.5</v>
      </c>
      <c r="KI29" s="351">
        <v>10.9</v>
      </c>
      <c r="KJ29" s="351">
        <v>10.8</v>
      </c>
      <c r="KK29" s="351">
        <v>10.199999999999999</v>
      </c>
      <c r="KL29" s="351">
        <v>11.4</v>
      </c>
      <c r="KM29" s="346" t="s">
        <v>56</v>
      </c>
      <c r="KN29" s="351">
        <v>1.5</v>
      </c>
      <c r="KO29" s="351">
        <v>3.7</v>
      </c>
      <c r="KP29" s="351">
        <v>3.8</v>
      </c>
      <c r="KQ29" s="351">
        <v>3.2</v>
      </c>
      <c r="KR29" s="351">
        <v>3</v>
      </c>
      <c r="KS29" s="351">
        <v>2.8</v>
      </c>
      <c r="KT29" s="351">
        <v>3.8</v>
      </c>
      <c r="KU29" s="351">
        <v>4.4000000000000004</v>
      </c>
      <c r="KV29" s="351">
        <v>4.7</v>
      </c>
      <c r="KW29" s="351">
        <v>6</v>
      </c>
      <c r="KX29" s="346" t="s">
        <v>56</v>
      </c>
      <c r="KY29" s="351">
        <v>6.3</v>
      </c>
      <c r="KZ29" s="351">
        <v>6.7</v>
      </c>
      <c r="LA29" s="351">
        <v>6.5</v>
      </c>
      <c r="LB29" s="351">
        <v>6.1</v>
      </c>
      <c r="LC29" s="351">
        <v>5</v>
      </c>
      <c r="LD29" s="351">
        <v>6.3</v>
      </c>
      <c r="LE29" s="351">
        <v>7.5</v>
      </c>
      <c r="LF29" s="351">
        <v>7</v>
      </c>
      <c r="LG29" s="351">
        <v>8.1</v>
      </c>
      <c r="LH29" s="351">
        <v>8.3000000000000007</v>
      </c>
      <c r="LI29" s="346" t="s">
        <v>56</v>
      </c>
      <c r="LJ29" s="349"/>
      <c r="LK29" s="349"/>
      <c r="LL29" s="351">
        <v>1.7</v>
      </c>
      <c r="LM29" s="349"/>
      <c r="LN29" s="351">
        <v>2</v>
      </c>
      <c r="LO29" s="349"/>
      <c r="LP29" s="351">
        <v>1.6</v>
      </c>
      <c r="LQ29" s="349"/>
      <c r="LR29" s="351">
        <v>1.6</v>
      </c>
      <c r="LS29" s="351">
        <v>1.8</v>
      </c>
      <c r="LT29" s="346" t="s">
        <v>56</v>
      </c>
      <c r="LU29" s="349"/>
      <c r="LV29" s="349"/>
      <c r="LW29" s="349"/>
      <c r="LX29" s="349"/>
      <c r="LY29" s="349"/>
      <c r="LZ29" s="351"/>
      <c r="MA29" s="349"/>
      <c r="MB29" s="349"/>
      <c r="MC29" s="349"/>
      <c r="MD29" s="349"/>
      <c r="ME29" s="346" t="s">
        <v>56</v>
      </c>
      <c r="MF29" s="351"/>
      <c r="MG29" s="349"/>
      <c r="MH29" s="349"/>
      <c r="MI29" s="351"/>
      <c r="MJ29" s="349"/>
      <c r="MK29" s="349"/>
      <c r="ML29" s="349"/>
      <c r="MM29" s="349"/>
      <c r="MN29" s="349"/>
      <c r="MO29" s="349"/>
      <c r="MP29" s="346" t="s">
        <v>56</v>
      </c>
      <c r="MQ29" s="351">
        <v>1.6</v>
      </c>
      <c r="MR29" s="351">
        <v>2.2000000000000002</v>
      </c>
      <c r="MS29" s="351">
        <v>1.7</v>
      </c>
      <c r="MT29" s="351">
        <v>2.5</v>
      </c>
      <c r="MU29" s="351">
        <v>2.6</v>
      </c>
      <c r="MV29" s="351">
        <v>2.1</v>
      </c>
      <c r="MW29" s="351">
        <v>2.4</v>
      </c>
      <c r="MX29" s="351">
        <v>2</v>
      </c>
      <c r="MY29" s="351">
        <v>2.5</v>
      </c>
      <c r="MZ29" s="351">
        <v>1.9</v>
      </c>
      <c r="NA29" s="346" t="s">
        <v>56</v>
      </c>
      <c r="NB29" s="351">
        <v>3.6</v>
      </c>
      <c r="NC29" s="351">
        <v>3.1</v>
      </c>
      <c r="ND29" s="351">
        <v>3</v>
      </c>
      <c r="NE29" s="351">
        <v>3.5</v>
      </c>
      <c r="NF29" s="351">
        <v>2.4</v>
      </c>
      <c r="NG29" s="351">
        <v>4.4000000000000004</v>
      </c>
      <c r="NH29" s="351">
        <v>3</v>
      </c>
      <c r="NI29" s="351">
        <v>2.7</v>
      </c>
      <c r="NJ29" s="351">
        <v>4.2</v>
      </c>
      <c r="NK29" s="351">
        <v>3.2</v>
      </c>
      <c r="NL29" s="346" t="s">
        <v>56</v>
      </c>
      <c r="NM29" s="351">
        <v>3.6</v>
      </c>
      <c r="NN29" s="351">
        <v>3.2</v>
      </c>
      <c r="NO29" s="351">
        <v>3.6</v>
      </c>
      <c r="NP29" s="351">
        <v>3.1</v>
      </c>
      <c r="NQ29" s="351">
        <v>2.2999999999999998</v>
      </c>
      <c r="NR29" s="351">
        <v>4</v>
      </c>
      <c r="NS29" s="351">
        <v>2.7</v>
      </c>
      <c r="NT29" s="351">
        <v>3.5</v>
      </c>
      <c r="NU29" s="351">
        <v>4.2</v>
      </c>
      <c r="NV29" s="351">
        <v>4.5</v>
      </c>
      <c r="NW29" s="346" t="s">
        <v>56</v>
      </c>
      <c r="NX29" s="349"/>
      <c r="NY29" s="351">
        <v>2.7</v>
      </c>
      <c r="NZ29" s="351">
        <v>2.8</v>
      </c>
      <c r="OA29" s="351">
        <v>2.6</v>
      </c>
      <c r="OB29" s="349"/>
      <c r="OC29" s="351">
        <v>2.2999999999999998</v>
      </c>
      <c r="OD29" s="351">
        <v>1.6</v>
      </c>
      <c r="OE29" s="351">
        <v>1.9</v>
      </c>
      <c r="OF29" s="351">
        <v>2.1</v>
      </c>
      <c r="OG29" s="349"/>
      <c r="OH29" s="346" t="s">
        <v>56</v>
      </c>
      <c r="OI29" s="352">
        <v>27.9</v>
      </c>
      <c r="OJ29" s="352">
        <v>27.6</v>
      </c>
      <c r="OK29" s="352">
        <v>27.4</v>
      </c>
      <c r="OL29" s="352">
        <v>26.9</v>
      </c>
      <c r="OM29" s="352">
        <v>25.5</v>
      </c>
      <c r="ON29" s="352">
        <v>24.7</v>
      </c>
      <c r="OO29" s="352">
        <v>24.5</v>
      </c>
      <c r="OP29" s="352">
        <v>24</v>
      </c>
      <c r="OQ29" s="352">
        <v>23.4</v>
      </c>
      <c r="OR29" s="352">
        <v>23.1</v>
      </c>
      <c r="OS29" s="346" t="s">
        <v>56</v>
      </c>
      <c r="OT29" s="355"/>
      <c r="OU29" s="355"/>
      <c r="OV29" s="355"/>
      <c r="OW29" s="355"/>
      <c r="OX29" s="355"/>
      <c r="OY29" s="355"/>
      <c r="OZ29" s="355"/>
      <c r="PA29" s="355"/>
      <c r="PB29" s="355"/>
      <c r="PC29" s="355"/>
      <c r="PE29" s="354">
        <f>E29-'[1]Data-temp_employment'!F29</f>
        <v>2.5</v>
      </c>
      <c r="PF29" s="354">
        <f>F29-'[1]Data-temp_employment'!G29</f>
        <v>2.5999999999999996</v>
      </c>
      <c r="PG29" s="354">
        <f>O29-'[1]Data-temp_employment'!P29</f>
        <v>4.7999999999999972</v>
      </c>
      <c r="PH29" s="354">
        <f>P29-'[1]Data-temp_employment'!Q29</f>
        <v>16.600000000000009</v>
      </c>
      <c r="PI29" s="354">
        <f>AD29-'[1]Data-temp_employment'!AE29</f>
        <v>-4</v>
      </c>
      <c r="PJ29" s="354">
        <f>AE29-'[1]Data-temp_employment'!AF29</f>
        <v>-0.29999999999999982</v>
      </c>
      <c r="PK29" s="354">
        <f>BR29-'[1]Data-temp_employment'!BS29</f>
        <v>-2.7</v>
      </c>
      <c r="PL29" s="354">
        <f>BS29-'[1]Data-temp_employment'!BT29</f>
        <v>-1</v>
      </c>
      <c r="PM29" s="354">
        <f>CC29-'[1]Data-temp_employment'!CD29</f>
        <v>-2.4000000000000004</v>
      </c>
      <c r="PN29" s="354">
        <f>CD29-'[1]Data-temp_employment'!CE29</f>
        <v>0.29999999999999893</v>
      </c>
      <c r="PO29" s="354">
        <f>CR29-'[1]Data-temp_employment'!CS29</f>
        <v>-2.4000000000000021</v>
      </c>
      <c r="PP29" s="354">
        <f>CS29-'[1]Data-temp_employment'!CT29</f>
        <v>-1.7000000000000011</v>
      </c>
      <c r="PQ29" s="354">
        <f>DC29-'[1]Data-temp_employment'!DD29</f>
        <v>0.30000000000000426</v>
      </c>
      <c r="PR29" s="354">
        <f>DD29-'[1]Data-temp_employment'!DE29</f>
        <v>6.2000000000000028</v>
      </c>
      <c r="PS29" s="354">
        <f>DN29-'[1]Data-temp_employment'!DO29</f>
        <v>3.5999999999999996</v>
      </c>
      <c r="PT29" s="354">
        <f>DO29-'[1]Data-temp_employment'!DP29</f>
        <v>-1.7000000000000011</v>
      </c>
      <c r="PU29" s="354">
        <f>EF29-'[1]Data-temp_employment'!EG29</f>
        <v>0</v>
      </c>
      <c r="PV29" s="354">
        <f>EG29-'[1]Data-temp_employment'!EH29</f>
        <v>0</v>
      </c>
      <c r="PW29" s="354">
        <f>EU29-'[1]Data-temp_employment'!EV29</f>
        <v>0.5</v>
      </c>
      <c r="PX29" s="354">
        <f>EV29-'[1]Data-temp_employment'!EW29</f>
        <v>-0.59999999999999964</v>
      </c>
      <c r="PY29" s="354">
        <f>FF29-'[1]Data-temp_employment'!FG29</f>
        <v>-0.90000000000000036</v>
      </c>
      <c r="PZ29" s="354">
        <f>FG29-'[1]Data-temp_employment'!FH29</f>
        <v>0.79999999999999982</v>
      </c>
      <c r="QA29" s="354">
        <f>FQ29-'[1]Data-temp_employment'!FR29</f>
        <v>1.2000000000000002</v>
      </c>
      <c r="QB29" s="354">
        <f>FR29-'[1]Data-temp_employment'!FS29</f>
        <v>-1.3999999999999995</v>
      </c>
      <c r="QC29" s="354">
        <f>GB29-'[1]Data-temp_employment'!GC29</f>
        <v>1.2999999999999989</v>
      </c>
      <c r="QD29" s="354">
        <f>GC29-'[1]Data-temp_employment'!GD29</f>
        <v>0.10000000000000142</v>
      </c>
      <c r="QE29" s="354">
        <f>GM29-'[1]Data-temp_employment'!GN29</f>
        <v>0</v>
      </c>
      <c r="QF29" s="354">
        <f>GN29-'[1]Data-temp_employment'!GO29</f>
        <v>0</v>
      </c>
      <c r="QG29" s="354">
        <f>GX29-'[1]Data-temp_employment'!GY29</f>
        <v>-1.9000000000000004</v>
      </c>
      <c r="QH29" s="354">
        <f>GY29-'[1]Data-temp_employment'!GZ29</f>
        <v>0.30000000000000071</v>
      </c>
      <c r="QI29" s="354">
        <f>HI29-'[1]Data-temp_employment'!HJ29</f>
        <v>-1</v>
      </c>
      <c r="QJ29" s="354">
        <f>HJ29-'[1]Data-temp_employment'!HK29</f>
        <v>5.7999999999999989</v>
      </c>
      <c r="QK29" s="354">
        <f>HT29-'[1]Data-temp_employment'!HU29</f>
        <v>1.9000000000000004</v>
      </c>
      <c r="QL29" s="354">
        <f>HU29-'[1]Data-temp_employment'!HV29</f>
        <v>-2.4000000000000004</v>
      </c>
      <c r="QM29" s="354">
        <f>IE29-'[1]Data-temp_employment'!IF29</f>
        <v>0</v>
      </c>
      <c r="QN29" s="354">
        <f>IF29-'[1]Data-temp_employment'!IG29</f>
        <v>0</v>
      </c>
      <c r="QO29" s="354">
        <f>JA29-'[1]Data-temp_employment'!JB29</f>
        <v>-0.29999999999999982</v>
      </c>
      <c r="QP29" s="354">
        <f>JB29-'[1]Data-temp_employment'!JC29</f>
        <v>-2</v>
      </c>
      <c r="QQ29" s="354">
        <f>JH29-'[1]Data-temp_employment'!JI29</f>
        <v>3.8999999999999986</v>
      </c>
      <c r="QR29" s="354">
        <f>JI29-'[1]Data-temp_employment'!JJ29</f>
        <v>4.5</v>
      </c>
      <c r="QS29" s="354">
        <f>JS29-'[1]Data-temp_employment'!JT29</f>
        <v>1.2999999999999989</v>
      </c>
      <c r="QT29" s="354">
        <f>JT29-'[1]Data-temp_employment'!JU29</f>
        <v>2.3000000000000007</v>
      </c>
      <c r="QU29" s="354">
        <f>KD29-'[1]Data-temp_employment'!KE29</f>
        <v>0.40000000000000036</v>
      </c>
      <c r="QV29" s="354">
        <f>KE29-'[1]Data-temp_employment'!KF29</f>
        <v>2.6000000000000005</v>
      </c>
      <c r="QW29" s="354">
        <f>KO29-'[1]Data-temp_employment'!KP29</f>
        <v>0</v>
      </c>
      <c r="QX29" s="354">
        <f>KP29-'[1]Data-temp_employment'!KQ29</f>
        <v>0</v>
      </c>
      <c r="QY29" s="354">
        <f>LD29-'[1]Data-temp_employment'!LE29</f>
        <v>-0.40000000000000036</v>
      </c>
      <c r="QZ29" s="354">
        <f>LE29-'[1]Data-temp_employment'!LF29</f>
        <v>1</v>
      </c>
      <c r="RA29" s="354">
        <f>LK29-'[1]Data-temp_employment'!LL29</f>
        <v>-2.2000000000000002</v>
      </c>
      <c r="RB29" s="354">
        <f>LL29-'[1]Data-temp_employment'!LM29</f>
        <v>1.7</v>
      </c>
      <c r="RC29" s="354">
        <f>LV29-'[1]Data-temp_employment'!LW29</f>
        <v>0</v>
      </c>
      <c r="RD29" s="354">
        <f>LW29-'[1]Data-temp_employment'!LX29</f>
        <v>0</v>
      </c>
      <c r="RE29" s="354">
        <f>MK29-'[1]Data-temp_employment'!ML29</f>
        <v>0</v>
      </c>
      <c r="RF29" s="354">
        <f>ML29-'[1]Data-temp_employment'!MM29</f>
        <v>0</v>
      </c>
      <c r="RG29" s="354">
        <f>MV29-'[1]Data-temp_employment'!MW29</f>
        <v>-0.10000000000000009</v>
      </c>
      <c r="RH29" s="354">
        <f>MW29-'[1]Data-temp_employment'!MX29</f>
        <v>0.7</v>
      </c>
      <c r="RI29" s="354">
        <f>NG29-'[1]Data-temp_employment'!NH29</f>
        <v>1.3000000000000003</v>
      </c>
      <c r="RJ29" s="354">
        <f>NH29-'[1]Data-temp_employment'!NI29</f>
        <v>0</v>
      </c>
      <c r="RK29" s="354">
        <f>NR29-'[1]Data-temp_employment'!NS29</f>
        <v>0.79999999999999982</v>
      </c>
      <c r="RL29" s="354">
        <f>NS29-'[1]Data-temp_employment'!NT29</f>
        <v>-0.89999999999999991</v>
      </c>
      <c r="RM29" s="354">
        <f>OC29-'[1]Data-temp_employment'!OD29</f>
        <v>-0.40000000000000036</v>
      </c>
      <c r="RN29" s="354">
        <f>OD29-'[1]Data-temp_employment'!OE29</f>
        <v>-1.1999999999999997</v>
      </c>
      <c r="RO29" s="354">
        <f>OT29-'[1]Data-temp_employment'!OV29</f>
        <v>0</v>
      </c>
      <c r="RP29" s="354">
        <f>OU29-'[1]Data-temp_employment'!OW29</f>
        <v>0</v>
      </c>
    </row>
    <row r="30" spans="1:485" s="345" customFormat="1">
      <c r="A30" s="345">
        <v>27</v>
      </c>
      <c r="B30" s="346" t="s">
        <v>33</v>
      </c>
      <c r="C30" s="347">
        <v>7.5</v>
      </c>
      <c r="D30" s="347">
        <v>7.1</v>
      </c>
      <c r="E30" s="347">
        <v>7.6</v>
      </c>
      <c r="F30" s="347">
        <v>8.3000000000000007</v>
      </c>
      <c r="G30" s="347">
        <v>6.7</v>
      </c>
      <c r="H30" s="347">
        <v>5.7</v>
      </c>
      <c r="I30" s="347">
        <v>5.4</v>
      </c>
      <c r="J30" s="347">
        <v>6.3</v>
      </c>
      <c r="K30" s="347">
        <v>7.6</v>
      </c>
      <c r="L30" s="347">
        <v>7.7</v>
      </c>
      <c r="M30" s="346" t="s">
        <v>33</v>
      </c>
      <c r="N30" s="347">
        <v>12.8</v>
      </c>
      <c r="O30" s="347">
        <v>12.5</v>
      </c>
      <c r="P30" s="347">
        <v>13.7</v>
      </c>
      <c r="Q30" s="347">
        <v>14.8</v>
      </c>
      <c r="R30" s="347">
        <v>11.9</v>
      </c>
      <c r="S30" s="347">
        <v>10.5</v>
      </c>
      <c r="T30" s="347">
        <v>10.199999999999999</v>
      </c>
      <c r="U30" s="347">
        <v>12</v>
      </c>
      <c r="V30" s="347">
        <v>14.6</v>
      </c>
      <c r="W30" s="347">
        <v>15.1</v>
      </c>
      <c r="X30" s="346" t="s">
        <v>33</v>
      </c>
      <c r="Y30" s="348"/>
      <c r="Z30" s="348"/>
      <c r="AA30" s="348"/>
      <c r="AB30" s="348"/>
      <c r="AC30" s="348"/>
      <c r="AD30" s="348"/>
      <c r="AE30" s="348"/>
      <c r="AF30" s="348"/>
      <c r="AG30" s="348"/>
      <c r="AH30" s="348"/>
      <c r="AI30" s="346" t="s">
        <v>33</v>
      </c>
      <c r="AJ30" s="348"/>
      <c r="AK30" s="348"/>
      <c r="AL30" s="347"/>
      <c r="AM30" s="348"/>
      <c r="AN30" s="348"/>
      <c r="AO30" s="348"/>
      <c r="AP30" s="348"/>
      <c r="AQ30" s="348"/>
      <c r="AR30" s="348"/>
      <c r="AS30" s="348"/>
      <c r="AT30" s="346" t="s">
        <v>33</v>
      </c>
      <c r="AU30" s="347">
        <v>3.3</v>
      </c>
      <c r="AV30" s="347">
        <v>2.2999999999999998</v>
      </c>
      <c r="AW30" s="347">
        <v>2.4</v>
      </c>
      <c r="AX30" s="347">
        <v>4.8</v>
      </c>
      <c r="AY30" s="347">
        <v>2.4</v>
      </c>
      <c r="AZ30" s="347">
        <v>2.2999999999999998</v>
      </c>
      <c r="BA30" s="347">
        <v>2.4</v>
      </c>
      <c r="BB30" s="347">
        <v>3.6</v>
      </c>
      <c r="BC30" s="347">
        <v>3.4</v>
      </c>
      <c r="BD30" s="347">
        <v>1.6</v>
      </c>
      <c r="BE30" s="346" t="s">
        <v>33</v>
      </c>
      <c r="BF30" s="351">
        <v>5.5</v>
      </c>
      <c r="BG30" s="351">
        <v>5.3</v>
      </c>
      <c r="BH30" s="351">
        <v>3.9</v>
      </c>
      <c r="BI30" s="351">
        <v>5.5</v>
      </c>
      <c r="BJ30" s="351">
        <v>5.3</v>
      </c>
      <c r="BK30" s="351">
        <v>4</v>
      </c>
      <c r="BL30" s="351">
        <v>2.4</v>
      </c>
      <c r="BM30" s="351">
        <v>3.5</v>
      </c>
      <c r="BN30" s="351">
        <v>3.8</v>
      </c>
      <c r="BO30" s="351">
        <v>5.8</v>
      </c>
      <c r="BP30" s="346" t="s">
        <v>33</v>
      </c>
      <c r="BQ30" s="350"/>
      <c r="BR30" s="350"/>
      <c r="BS30" s="350">
        <v>2.2000000000000002</v>
      </c>
      <c r="BT30" s="350"/>
      <c r="BU30" s="350"/>
      <c r="BV30" s="350"/>
      <c r="BW30" s="350">
        <v>1.8</v>
      </c>
      <c r="BX30" s="350">
        <v>1.8</v>
      </c>
      <c r="BY30" s="350">
        <v>3.6</v>
      </c>
      <c r="BZ30" s="350">
        <v>2</v>
      </c>
      <c r="CA30" s="346" t="s">
        <v>33</v>
      </c>
      <c r="CB30" s="350"/>
      <c r="CC30" s="350"/>
      <c r="CD30" s="350"/>
      <c r="CE30" s="350"/>
      <c r="CF30" s="350"/>
      <c r="CG30" s="350"/>
      <c r="CH30" s="350"/>
      <c r="CI30" s="350"/>
      <c r="CJ30" s="350"/>
      <c r="CK30" s="350"/>
      <c r="CL30" s="346" t="s">
        <v>33</v>
      </c>
      <c r="CM30" s="351">
        <v>4.2</v>
      </c>
      <c r="CN30" s="351">
        <v>4.0999999999999996</v>
      </c>
      <c r="CO30" s="351">
        <v>3.5</v>
      </c>
      <c r="CP30" s="351">
        <v>5.2</v>
      </c>
      <c r="CQ30" s="351">
        <v>4.4000000000000004</v>
      </c>
      <c r="CR30" s="351">
        <v>3.3</v>
      </c>
      <c r="CS30" s="351">
        <v>3</v>
      </c>
      <c r="CT30" s="351">
        <v>4.2</v>
      </c>
      <c r="CU30" s="351">
        <v>3.7</v>
      </c>
      <c r="CV30" s="351">
        <v>4.9000000000000004</v>
      </c>
      <c r="CW30" s="346" t="s">
        <v>33</v>
      </c>
      <c r="CX30" s="351">
        <v>3.9</v>
      </c>
      <c r="CY30" s="351">
        <v>4.5999999999999996</v>
      </c>
      <c r="CZ30" s="351">
        <v>6.5</v>
      </c>
      <c r="DA30" s="351">
        <v>5</v>
      </c>
      <c r="DB30" s="351">
        <v>3.9</v>
      </c>
      <c r="DC30" s="351">
        <v>4.5</v>
      </c>
      <c r="DD30" s="351">
        <v>3.6</v>
      </c>
      <c r="DE30" s="351">
        <v>4.4000000000000004</v>
      </c>
      <c r="DF30" s="351">
        <v>6.5</v>
      </c>
      <c r="DG30" s="351">
        <v>6</v>
      </c>
      <c r="DH30" s="346" t="s">
        <v>33</v>
      </c>
      <c r="DI30" s="351">
        <v>4.7</v>
      </c>
      <c r="DJ30" s="351">
        <v>3.8</v>
      </c>
      <c r="DK30" s="351">
        <v>3.6</v>
      </c>
      <c r="DL30" s="351">
        <v>4.5</v>
      </c>
      <c r="DM30" s="351">
        <v>3.6</v>
      </c>
      <c r="DN30" s="351">
        <v>2.8</v>
      </c>
      <c r="DO30" s="351">
        <v>3.6</v>
      </c>
      <c r="DP30" s="351">
        <v>3.3</v>
      </c>
      <c r="DQ30" s="351">
        <v>4.4000000000000004</v>
      </c>
      <c r="DR30" s="351">
        <v>4.3</v>
      </c>
      <c r="DS30" s="346" t="s">
        <v>33</v>
      </c>
      <c r="DT30" s="349"/>
      <c r="DU30" s="349"/>
      <c r="DV30" s="349"/>
      <c r="DW30" s="349"/>
      <c r="DX30" s="349"/>
      <c r="DY30" s="349"/>
      <c r="DZ30" s="349"/>
      <c r="EA30" s="349"/>
      <c r="EB30" s="349"/>
      <c r="EC30" s="349"/>
      <c r="ED30" s="346" t="s">
        <v>33</v>
      </c>
      <c r="EE30" s="349"/>
      <c r="EF30" s="349"/>
      <c r="EG30" s="349"/>
      <c r="EH30" s="349"/>
      <c r="EI30" s="349"/>
      <c r="EJ30" s="349"/>
      <c r="EK30" s="349"/>
      <c r="EL30" s="349"/>
      <c r="EM30" s="349"/>
      <c r="EN30" s="349"/>
      <c r="EO30" s="346" t="s">
        <v>33</v>
      </c>
      <c r="EP30" s="349"/>
      <c r="EQ30" s="351">
        <v>2.1</v>
      </c>
      <c r="ER30" s="351">
        <v>2.5</v>
      </c>
      <c r="ES30" s="351">
        <v>1.9</v>
      </c>
      <c r="ET30" s="349"/>
      <c r="EU30" s="351">
        <v>1.5</v>
      </c>
      <c r="EV30" s="351">
        <v>2.5</v>
      </c>
      <c r="EW30" s="351">
        <v>2.2000000000000002</v>
      </c>
      <c r="EX30" s="351">
        <v>1.9</v>
      </c>
      <c r="EY30" s="351">
        <v>3.7</v>
      </c>
      <c r="EZ30" s="346" t="s">
        <v>33</v>
      </c>
      <c r="FA30" s="349"/>
      <c r="FB30" s="351">
        <v>1.6</v>
      </c>
      <c r="FC30" s="351">
        <v>1.6</v>
      </c>
      <c r="FD30" s="351">
        <v>2.1</v>
      </c>
      <c r="FE30" s="351">
        <v>1.8</v>
      </c>
      <c r="FF30" s="349"/>
      <c r="FG30" s="349"/>
      <c r="FH30" s="349"/>
      <c r="FI30" s="351">
        <v>3.2</v>
      </c>
      <c r="FJ30" s="351">
        <v>3.5</v>
      </c>
      <c r="FK30" s="346" t="s">
        <v>33</v>
      </c>
      <c r="FL30" s="351">
        <v>2.8</v>
      </c>
      <c r="FM30" s="349"/>
      <c r="FN30" s="351">
        <v>1.8</v>
      </c>
      <c r="FO30" s="351">
        <v>2.5</v>
      </c>
      <c r="FP30" s="349"/>
      <c r="FQ30" s="349"/>
      <c r="FR30" s="349"/>
      <c r="FS30" s="349"/>
      <c r="FT30" s="351">
        <v>1.9</v>
      </c>
      <c r="FU30" s="351">
        <v>2.5</v>
      </c>
      <c r="FV30" s="346" t="s">
        <v>33</v>
      </c>
      <c r="FW30" s="351">
        <v>2.8</v>
      </c>
      <c r="FX30" s="351">
        <v>3.3</v>
      </c>
      <c r="FY30" s="351">
        <v>4</v>
      </c>
      <c r="FZ30" s="351">
        <v>2.2999999999999998</v>
      </c>
      <c r="GA30" s="351">
        <v>3.5</v>
      </c>
      <c r="GB30" s="351">
        <v>3.4</v>
      </c>
      <c r="GC30" s="351">
        <v>1.9</v>
      </c>
      <c r="GD30" s="351">
        <v>2.1</v>
      </c>
      <c r="GE30" s="351">
        <v>2.4</v>
      </c>
      <c r="GF30" s="351">
        <v>2</v>
      </c>
      <c r="GG30" s="346" t="s">
        <v>33</v>
      </c>
      <c r="GH30" s="349"/>
      <c r="GI30" s="349"/>
      <c r="GJ30" s="349"/>
      <c r="GK30" s="349"/>
      <c r="GL30" s="349"/>
      <c r="GM30" s="349"/>
      <c r="GN30" s="349"/>
      <c r="GO30" s="349"/>
      <c r="GP30" s="349"/>
      <c r="GQ30" s="349"/>
      <c r="GR30" s="346" t="s">
        <v>33</v>
      </c>
      <c r="GS30" s="349"/>
      <c r="GT30" s="349"/>
      <c r="GU30" s="349"/>
      <c r="GV30" s="349"/>
      <c r="GW30" s="349"/>
      <c r="GX30" s="349"/>
      <c r="GY30" s="349"/>
      <c r="GZ30" s="349"/>
      <c r="HA30" s="349"/>
      <c r="HB30" s="349"/>
      <c r="HC30" s="346" t="s">
        <v>33</v>
      </c>
      <c r="HD30" s="349"/>
      <c r="HE30" s="349"/>
      <c r="HF30" s="349"/>
      <c r="HG30" s="349"/>
      <c r="HH30" s="349"/>
      <c r="HI30" s="349"/>
      <c r="HJ30" s="349"/>
      <c r="HK30" s="349"/>
      <c r="HL30" s="349"/>
      <c r="HM30" s="349"/>
      <c r="HN30" s="346" t="s">
        <v>33</v>
      </c>
      <c r="HO30" s="349"/>
      <c r="HP30" s="351"/>
      <c r="HQ30" s="349"/>
      <c r="HR30" s="351"/>
      <c r="HS30" s="349"/>
      <c r="HT30" s="349"/>
      <c r="HU30" s="349"/>
      <c r="HV30" s="349"/>
      <c r="HW30" s="351"/>
      <c r="HX30" s="349"/>
      <c r="HY30" s="346" t="s">
        <v>33</v>
      </c>
      <c r="HZ30" s="349"/>
      <c r="IA30" s="349"/>
      <c r="IB30" s="349"/>
      <c r="IC30" s="349"/>
      <c r="ID30" s="349"/>
      <c r="IE30" s="349"/>
      <c r="IF30" s="349"/>
      <c r="IG30" s="349"/>
      <c r="IH30" s="349"/>
      <c r="II30" s="349"/>
      <c r="IJ30" s="346" t="s">
        <v>33</v>
      </c>
      <c r="IK30" s="349"/>
      <c r="IL30" s="349"/>
      <c r="IM30" s="349"/>
      <c r="IN30" s="349"/>
      <c r="IO30" s="349"/>
      <c r="IP30" s="349"/>
      <c r="IQ30" s="349"/>
      <c r="IR30" s="349"/>
      <c r="IS30" s="349"/>
      <c r="IT30" s="349"/>
      <c r="IU30" s="346" t="s">
        <v>33</v>
      </c>
      <c r="IV30" s="349"/>
      <c r="IW30" s="349"/>
      <c r="IX30" s="349"/>
      <c r="IY30" s="349"/>
      <c r="IZ30" s="349"/>
      <c r="JA30" s="349"/>
      <c r="JB30" s="349"/>
      <c r="JC30" s="349"/>
      <c r="JD30" s="349"/>
      <c r="JE30" s="349"/>
      <c r="JF30" s="346" t="s">
        <v>33</v>
      </c>
      <c r="JG30" s="349"/>
      <c r="JH30" s="349"/>
      <c r="JI30" s="349"/>
      <c r="JJ30" s="351"/>
      <c r="JK30" s="349"/>
      <c r="JL30" s="351"/>
      <c r="JM30" s="349"/>
      <c r="JN30" s="349"/>
      <c r="JO30" s="349"/>
      <c r="JP30" s="351"/>
      <c r="JQ30" s="346" t="s">
        <v>33</v>
      </c>
      <c r="JR30" s="349"/>
      <c r="JS30" s="349"/>
      <c r="JT30" s="349"/>
      <c r="JU30" s="349"/>
      <c r="JV30" s="349"/>
      <c r="JW30" s="349"/>
      <c r="JX30" s="349"/>
      <c r="JY30" s="349"/>
      <c r="JZ30" s="349"/>
      <c r="KA30" s="349"/>
      <c r="KB30" s="346" t="s">
        <v>33</v>
      </c>
      <c r="KC30" s="351"/>
      <c r="KD30" s="349"/>
      <c r="KE30" s="349"/>
      <c r="KF30" s="349"/>
      <c r="KG30" s="349"/>
      <c r="KH30" s="349"/>
      <c r="KI30" s="349"/>
      <c r="KJ30" s="349"/>
      <c r="KK30" s="349"/>
      <c r="KL30" s="349"/>
      <c r="KM30" s="346" t="s">
        <v>33</v>
      </c>
      <c r="KN30" s="349"/>
      <c r="KO30" s="349"/>
      <c r="KP30" s="349"/>
      <c r="KQ30" s="349"/>
      <c r="KR30" s="349"/>
      <c r="KS30" s="349"/>
      <c r="KT30" s="349"/>
      <c r="KU30" s="349"/>
      <c r="KV30" s="349"/>
      <c r="KW30" s="351"/>
      <c r="KX30" s="346" t="s">
        <v>33</v>
      </c>
      <c r="KY30" s="349"/>
      <c r="KZ30" s="349"/>
      <c r="LA30" s="349"/>
      <c r="LB30" s="349"/>
      <c r="LC30" s="349"/>
      <c r="LD30" s="349"/>
      <c r="LE30" s="349"/>
      <c r="LF30" s="349"/>
      <c r="LG30" s="349"/>
      <c r="LH30" s="349"/>
      <c r="LI30" s="346" t="s">
        <v>33</v>
      </c>
      <c r="LJ30" s="349"/>
      <c r="LK30" s="349"/>
      <c r="LL30" s="349"/>
      <c r="LM30" s="349"/>
      <c r="LN30" s="349"/>
      <c r="LO30" s="349"/>
      <c r="LP30" s="349"/>
      <c r="LQ30" s="349"/>
      <c r="LR30" s="349"/>
      <c r="LS30" s="349"/>
      <c r="LT30" s="346" t="s">
        <v>33</v>
      </c>
      <c r="LU30" s="349"/>
      <c r="LV30" s="349"/>
      <c r="LW30" s="349"/>
      <c r="LX30" s="349"/>
      <c r="LY30" s="349"/>
      <c r="LZ30" s="349"/>
      <c r="MA30" s="349"/>
      <c r="MB30" s="349"/>
      <c r="MC30" s="349"/>
      <c r="MD30" s="349"/>
      <c r="ME30" s="346" t="s">
        <v>33</v>
      </c>
      <c r="MF30" s="349"/>
      <c r="MG30" s="349"/>
      <c r="MH30" s="349"/>
      <c r="MI30" s="349"/>
      <c r="MJ30" s="349"/>
      <c r="MK30" s="349"/>
      <c r="ML30" s="349"/>
      <c r="MM30" s="349"/>
      <c r="MN30" s="349"/>
      <c r="MO30" s="349"/>
      <c r="MP30" s="346" t="s">
        <v>33</v>
      </c>
      <c r="MQ30" s="349"/>
      <c r="MR30" s="349"/>
      <c r="MS30" s="349"/>
      <c r="MT30" s="349"/>
      <c r="MU30" s="349"/>
      <c r="MV30" s="349"/>
      <c r="MW30" s="349"/>
      <c r="MX30" s="349"/>
      <c r="MY30" s="351"/>
      <c r="MZ30" s="349"/>
      <c r="NA30" s="346" t="s">
        <v>33</v>
      </c>
      <c r="NB30" s="351"/>
      <c r="NC30" s="351"/>
      <c r="ND30" s="351"/>
      <c r="NE30" s="351"/>
      <c r="NF30" s="349"/>
      <c r="NG30" s="349"/>
      <c r="NH30" s="349"/>
      <c r="NI30" s="349"/>
      <c r="NJ30" s="349"/>
      <c r="NK30" s="349"/>
      <c r="NL30" s="346" t="s">
        <v>33</v>
      </c>
      <c r="NM30" s="351">
        <v>2</v>
      </c>
      <c r="NN30" s="349"/>
      <c r="NO30" s="351">
        <v>2</v>
      </c>
      <c r="NP30" s="351">
        <v>1.8</v>
      </c>
      <c r="NQ30" s="351">
        <v>1.9</v>
      </c>
      <c r="NR30" s="351">
        <v>1.5</v>
      </c>
      <c r="NS30" s="351">
        <v>1.9</v>
      </c>
      <c r="NT30" s="351">
        <v>1.6</v>
      </c>
      <c r="NU30" s="349"/>
      <c r="NV30" s="351">
        <v>1.7</v>
      </c>
      <c r="NW30" s="346" t="s">
        <v>33</v>
      </c>
      <c r="NX30" s="349"/>
      <c r="NY30" s="351">
        <v>1.5</v>
      </c>
      <c r="NZ30" s="351">
        <v>1.7</v>
      </c>
      <c r="OA30" s="349"/>
      <c r="OB30" s="351">
        <v>1.6</v>
      </c>
      <c r="OC30" s="349"/>
      <c r="OD30" s="349"/>
      <c r="OE30" s="349"/>
      <c r="OF30" s="351">
        <v>1.8</v>
      </c>
      <c r="OG30" s="351">
        <v>3</v>
      </c>
      <c r="OH30" s="346" t="s">
        <v>33</v>
      </c>
      <c r="OI30" s="352">
        <v>5.9</v>
      </c>
      <c r="OJ30" s="352">
        <v>5.7</v>
      </c>
      <c r="OK30" s="352">
        <v>5.7</v>
      </c>
      <c r="OL30" s="352">
        <v>5.4</v>
      </c>
      <c r="OM30" s="352">
        <v>5.3</v>
      </c>
      <c r="ON30" s="352">
        <v>5.2</v>
      </c>
      <c r="OO30" s="352">
        <v>4.9000000000000004</v>
      </c>
      <c r="OP30" s="352">
        <v>4.9000000000000004</v>
      </c>
      <c r="OQ30" s="352">
        <v>4.8</v>
      </c>
      <c r="OR30" s="352">
        <v>4.2</v>
      </c>
      <c r="OS30" s="346" t="s">
        <v>33</v>
      </c>
      <c r="OT30" s="353">
        <v>0.1</v>
      </c>
      <c r="OU30" s="353">
        <v>0.8</v>
      </c>
      <c r="OV30" s="353">
        <v>1.7</v>
      </c>
      <c r="OW30" s="353">
        <v>2.2000000000000002</v>
      </c>
      <c r="OX30" s="353">
        <v>1.8</v>
      </c>
      <c r="OY30" s="353">
        <v>0.9</v>
      </c>
      <c r="OZ30" s="353">
        <v>2.6</v>
      </c>
      <c r="PA30" s="353">
        <v>0.2</v>
      </c>
      <c r="PB30" s="353">
        <v>0.9</v>
      </c>
      <c r="PC30" s="353">
        <v>1.9</v>
      </c>
      <c r="PE30" s="354">
        <f>E30-'[1]Data-temp_employment'!F30</f>
        <v>-0.70000000000000107</v>
      </c>
      <c r="PF30" s="354">
        <f>F30-'[1]Data-temp_employment'!G30</f>
        <v>0.80000000000000071</v>
      </c>
      <c r="PG30" s="354">
        <f>O30-'[1]Data-temp_employment'!P30</f>
        <v>1.3000000000000007</v>
      </c>
      <c r="PH30" s="354">
        <f>P30-'[1]Data-temp_employment'!Q30</f>
        <v>0.19999999999999929</v>
      </c>
      <c r="PI30" s="354">
        <f>AD30-'[1]Data-temp_employment'!AE30</f>
        <v>0</v>
      </c>
      <c r="PJ30" s="354">
        <f>AE30-'[1]Data-temp_employment'!AF30</f>
        <v>0</v>
      </c>
      <c r="PK30" s="354">
        <f>BR30-'[1]Data-temp_employment'!BS30</f>
        <v>0</v>
      </c>
      <c r="PL30" s="354">
        <f>BS30-'[1]Data-temp_employment'!BT30</f>
        <v>2.2000000000000002</v>
      </c>
      <c r="PM30" s="354">
        <f>CC30-'[1]Data-temp_employment'!CD30</f>
        <v>0</v>
      </c>
      <c r="PN30" s="354">
        <f>CD30-'[1]Data-temp_employment'!CE30</f>
        <v>0</v>
      </c>
      <c r="PO30" s="354">
        <f>CR30-'[1]Data-temp_employment'!CS30</f>
        <v>-1.2999999999999998</v>
      </c>
      <c r="PP30" s="354">
        <f>CS30-'[1]Data-temp_employment'!CT30</f>
        <v>-0.70000000000000018</v>
      </c>
      <c r="PQ30" s="354">
        <f>DC30-'[1]Data-temp_employment'!DD30</f>
        <v>0.29999999999999982</v>
      </c>
      <c r="PR30" s="354">
        <f>DD30-'[1]Data-temp_employment'!DE30</f>
        <v>-2.4</v>
      </c>
      <c r="PS30" s="354">
        <f>DN30-'[1]Data-temp_employment'!DO30</f>
        <v>-0.10000000000000009</v>
      </c>
      <c r="PT30" s="354">
        <f>DO30-'[1]Data-temp_employment'!DP30</f>
        <v>0.39999999999999991</v>
      </c>
      <c r="PU30" s="354">
        <f>EF30-'[1]Data-temp_employment'!EG30</f>
        <v>0</v>
      </c>
      <c r="PV30" s="354">
        <f>EG30-'[1]Data-temp_employment'!EH30</f>
        <v>0</v>
      </c>
      <c r="PW30" s="354">
        <f>EU30-'[1]Data-temp_employment'!EV30</f>
        <v>1.5</v>
      </c>
      <c r="PX30" s="354">
        <f>EV30-'[1]Data-temp_employment'!EW30</f>
        <v>2.5</v>
      </c>
      <c r="PY30" s="354">
        <f>FF30-'[1]Data-temp_employment'!FG30</f>
        <v>0</v>
      </c>
      <c r="PZ30" s="354">
        <f>FG30-'[1]Data-temp_employment'!FH30</f>
        <v>0</v>
      </c>
      <c r="QA30" s="354">
        <f>FQ30-'[1]Data-temp_employment'!FR30</f>
        <v>0</v>
      </c>
      <c r="QB30" s="354">
        <f>FR30-'[1]Data-temp_employment'!FS30</f>
        <v>-2.1</v>
      </c>
      <c r="QC30" s="354">
        <f>GB30-'[1]Data-temp_employment'!GC30</f>
        <v>0.69999999999999973</v>
      </c>
      <c r="QD30" s="354">
        <f>GC30-'[1]Data-temp_employment'!GD30</f>
        <v>-1.5</v>
      </c>
      <c r="QE30" s="354">
        <f>GM30-'[1]Data-temp_employment'!GN30</f>
        <v>0</v>
      </c>
      <c r="QF30" s="354">
        <f>GN30-'[1]Data-temp_employment'!GO30</f>
        <v>0</v>
      </c>
      <c r="QG30" s="354">
        <f>GX30-'[1]Data-temp_employment'!GY30</f>
        <v>0</v>
      </c>
      <c r="QH30" s="354">
        <f>GY30-'[1]Data-temp_employment'!GZ30</f>
        <v>0</v>
      </c>
      <c r="QI30" s="354">
        <f>HI30-'[1]Data-temp_employment'!HJ30</f>
        <v>0</v>
      </c>
      <c r="QJ30" s="354">
        <f>HJ30-'[1]Data-temp_employment'!HK30</f>
        <v>0</v>
      </c>
      <c r="QK30" s="354">
        <f>HT30-'[1]Data-temp_employment'!HU30</f>
        <v>-2</v>
      </c>
      <c r="QL30" s="354">
        <f>HU30-'[1]Data-temp_employment'!HV30</f>
        <v>0</v>
      </c>
      <c r="QM30" s="354">
        <f>IE30-'[1]Data-temp_employment'!IF30</f>
        <v>0</v>
      </c>
      <c r="QN30" s="354">
        <f>IF30-'[1]Data-temp_employment'!IG30</f>
        <v>0</v>
      </c>
      <c r="QO30" s="354">
        <f>JA30-'[1]Data-temp_employment'!JB30</f>
        <v>0</v>
      </c>
      <c r="QP30" s="354">
        <f>JB30-'[1]Data-temp_employment'!JC30</f>
        <v>0</v>
      </c>
      <c r="QQ30" s="354">
        <f>JH30-'[1]Data-temp_employment'!JI30</f>
        <v>0</v>
      </c>
      <c r="QR30" s="354">
        <f>JI30-'[1]Data-temp_employment'!JJ30</f>
        <v>0</v>
      </c>
      <c r="QS30" s="354">
        <f>JS30-'[1]Data-temp_employment'!JT30</f>
        <v>0</v>
      </c>
      <c r="QT30" s="354">
        <f>JT30-'[1]Data-temp_employment'!JU30</f>
        <v>0</v>
      </c>
      <c r="QU30" s="354">
        <f>KD30-'[1]Data-temp_employment'!KE30</f>
        <v>0</v>
      </c>
      <c r="QV30" s="354">
        <f>KE30-'[1]Data-temp_employment'!KF30</f>
        <v>0</v>
      </c>
      <c r="QW30" s="354">
        <f>KO30-'[1]Data-temp_employment'!KP30</f>
        <v>0</v>
      </c>
      <c r="QX30" s="354">
        <f>KP30-'[1]Data-temp_employment'!KQ30</f>
        <v>0</v>
      </c>
      <c r="QY30" s="354">
        <f>LD30-'[1]Data-temp_employment'!LE30</f>
        <v>0</v>
      </c>
      <c r="QZ30" s="354">
        <f>LE30-'[1]Data-temp_employment'!LF30</f>
        <v>0</v>
      </c>
      <c r="RA30" s="354">
        <f>LK30-'[1]Data-temp_employment'!LL30</f>
        <v>0</v>
      </c>
      <c r="RB30" s="354">
        <f>LL30-'[1]Data-temp_employment'!LM30</f>
        <v>0</v>
      </c>
      <c r="RC30" s="354">
        <f>LV30-'[1]Data-temp_employment'!LW30</f>
        <v>0</v>
      </c>
      <c r="RD30" s="354">
        <f>LW30-'[1]Data-temp_employment'!LX30</f>
        <v>0</v>
      </c>
      <c r="RE30" s="354">
        <f>MK30-'[1]Data-temp_employment'!ML30</f>
        <v>0</v>
      </c>
      <c r="RF30" s="354">
        <f>ML30-'[1]Data-temp_employment'!MM30</f>
        <v>0</v>
      </c>
      <c r="RG30" s="354">
        <f>MV30-'[1]Data-temp_employment'!MW30</f>
        <v>0</v>
      </c>
      <c r="RH30" s="354">
        <f>MW30-'[1]Data-temp_employment'!MX30</f>
        <v>0</v>
      </c>
      <c r="RI30" s="354">
        <f>NG30-'[1]Data-temp_employment'!NH30</f>
        <v>0</v>
      </c>
      <c r="RJ30" s="354">
        <f>NH30-'[1]Data-temp_employment'!NI30</f>
        <v>0</v>
      </c>
      <c r="RK30" s="354">
        <f>NR30-'[1]Data-temp_employment'!NS30</f>
        <v>1.5</v>
      </c>
      <c r="RL30" s="354">
        <f>NS30-'[1]Data-temp_employment'!NT30</f>
        <v>1.9</v>
      </c>
      <c r="RM30" s="354">
        <f>OC30-'[1]Data-temp_employment'!OD30</f>
        <v>0</v>
      </c>
      <c r="RN30" s="354">
        <f>OD30-'[1]Data-temp_employment'!OE30</f>
        <v>0</v>
      </c>
      <c r="RO30" s="354">
        <f>OT30-'[1]Data-temp_employment'!OV30</f>
        <v>-2</v>
      </c>
      <c r="RP30" s="354">
        <f>OU30-'[1]Data-temp_employment'!OW30</f>
        <v>-0.5</v>
      </c>
    </row>
    <row r="31" spans="1:485">
      <c r="A31">
        <v>28</v>
      </c>
      <c r="B31" s="158" t="s">
        <v>34</v>
      </c>
      <c r="C31" s="332">
        <v>19.7</v>
      </c>
      <c r="D31" s="332">
        <v>20.399999999999999</v>
      </c>
      <c r="E31" s="332">
        <v>21.1</v>
      </c>
      <c r="F31" s="332">
        <v>21.3</v>
      </c>
      <c r="G31" s="332">
        <v>21.2</v>
      </c>
      <c r="H31" s="332">
        <v>21.7</v>
      </c>
      <c r="I31" s="332">
        <v>22.3</v>
      </c>
      <c r="J31" s="332">
        <v>21.8</v>
      </c>
      <c r="K31" s="332">
        <v>20.9</v>
      </c>
      <c r="L31" s="332">
        <v>21.4</v>
      </c>
      <c r="M31" s="158" t="s">
        <v>34</v>
      </c>
      <c r="N31" s="332">
        <v>1325.3</v>
      </c>
      <c r="O31" s="332">
        <v>1397.1</v>
      </c>
      <c r="P31" s="332">
        <v>1455.4</v>
      </c>
      <c r="Q31" s="332">
        <v>1467.4</v>
      </c>
      <c r="R31" s="332">
        <v>1454.7</v>
      </c>
      <c r="S31" s="332">
        <v>1510.6</v>
      </c>
      <c r="T31" s="332">
        <v>1563.7</v>
      </c>
      <c r="U31" s="332">
        <v>1534.7</v>
      </c>
      <c r="V31" s="332">
        <v>1469.1</v>
      </c>
      <c r="W31" s="332">
        <v>1517.9</v>
      </c>
      <c r="X31" s="158" t="s">
        <v>34</v>
      </c>
      <c r="Y31" s="332">
        <v>4.2</v>
      </c>
      <c r="Z31" s="332">
        <v>5.4</v>
      </c>
      <c r="AA31" s="332">
        <v>9.6999999999999993</v>
      </c>
      <c r="AB31" s="332">
        <v>6.2</v>
      </c>
      <c r="AC31" s="332">
        <v>4.5</v>
      </c>
      <c r="AD31" s="332">
        <v>3.8</v>
      </c>
      <c r="AE31" s="332">
        <v>11</v>
      </c>
      <c r="AF31" s="332">
        <v>5.0999999999999996</v>
      </c>
      <c r="AG31" s="332">
        <v>4.8</v>
      </c>
      <c r="AH31" s="332">
        <v>2.8</v>
      </c>
      <c r="AI31" s="158" t="s">
        <v>34</v>
      </c>
      <c r="AJ31" s="332">
        <v>53.2</v>
      </c>
      <c r="AK31" s="332">
        <v>60.4</v>
      </c>
      <c r="AL31" s="332">
        <v>90.5</v>
      </c>
      <c r="AM31" s="332">
        <v>61</v>
      </c>
      <c r="AN31" s="332">
        <v>56.7</v>
      </c>
      <c r="AO31" s="332">
        <v>68.900000000000006</v>
      </c>
      <c r="AP31" s="332">
        <v>92</v>
      </c>
      <c r="AQ31" s="332">
        <v>68.2</v>
      </c>
      <c r="AR31" s="332">
        <v>55.2</v>
      </c>
      <c r="AS31" s="332">
        <v>67.2</v>
      </c>
      <c r="AT31" s="158" t="s">
        <v>34</v>
      </c>
      <c r="AU31" s="332">
        <v>55.5</v>
      </c>
      <c r="AV31" s="332">
        <v>63.2</v>
      </c>
      <c r="AW31" s="332">
        <v>71.5</v>
      </c>
      <c r="AX31" s="332">
        <v>61.1</v>
      </c>
      <c r="AY31" s="332">
        <v>59</v>
      </c>
      <c r="AZ31" s="332">
        <v>67.400000000000006</v>
      </c>
      <c r="BA31" s="332">
        <v>74.2</v>
      </c>
      <c r="BB31" s="332">
        <v>66.5</v>
      </c>
      <c r="BC31" s="332">
        <v>61.3</v>
      </c>
      <c r="BD31" s="332">
        <v>60.6</v>
      </c>
      <c r="BE31" s="158" t="s">
        <v>34</v>
      </c>
      <c r="BF31" s="280">
        <v>400.1</v>
      </c>
      <c r="BG31" s="280">
        <v>409.4</v>
      </c>
      <c r="BH31" s="280">
        <v>404.4</v>
      </c>
      <c r="BI31" s="280">
        <v>399</v>
      </c>
      <c r="BJ31" s="280">
        <v>425</v>
      </c>
      <c r="BK31" s="280">
        <v>424.5</v>
      </c>
      <c r="BL31" s="280">
        <v>406.3</v>
      </c>
      <c r="BM31" s="280">
        <v>421.4</v>
      </c>
      <c r="BN31" s="280">
        <v>392.9</v>
      </c>
      <c r="BO31" s="280">
        <v>390</v>
      </c>
      <c r="BP31" s="158" t="s">
        <v>34</v>
      </c>
      <c r="BQ31" s="7">
        <v>51.8</v>
      </c>
      <c r="BR31" s="7">
        <v>42.3</v>
      </c>
      <c r="BS31" s="7">
        <v>57.7</v>
      </c>
      <c r="BT31" s="7">
        <v>57.9</v>
      </c>
      <c r="BU31" s="7">
        <v>48.7</v>
      </c>
      <c r="BV31" s="7">
        <v>58.9</v>
      </c>
      <c r="BW31" s="7">
        <v>53.5</v>
      </c>
      <c r="BX31" s="7">
        <v>47.7</v>
      </c>
      <c r="BY31" s="7">
        <v>40.700000000000003</v>
      </c>
      <c r="BZ31" s="7">
        <v>45.8</v>
      </c>
      <c r="CA31" s="6" t="s">
        <v>34</v>
      </c>
      <c r="CB31" s="7">
        <v>27.9</v>
      </c>
      <c r="CC31" s="7">
        <v>29.3</v>
      </c>
      <c r="CD31" s="7">
        <v>31</v>
      </c>
      <c r="CE31" s="7">
        <v>30.5</v>
      </c>
      <c r="CF31" s="7">
        <v>29.5</v>
      </c>
      <c r="CG31" s="7">
        <v>31.1</v>
      </c>
      <c r="CH31" s="7">
        <v>29.299999999999997</v>
      </c>
      <c r="CI31" s="7">
        <v>32</v>
      </c>
      <c r="CJ31" s="7">
        <v>34.299999999999997</v>
      </c>
      <c r="CK31" s="7">
        <v>30.1</v>
      </c>
      <c r="CL31" s="158" t="s">
        <v>34</v>
      </c>
      <c r="CM31" s="280">
        <v>426.3</v>
      </c>
      <c r="CN31" s="280">
        <v>452.3</v>
      </c>
      <c r="CO31" s="280">
        <v>458</v>
      </c>
      <c r="CP31" s="280">
        <v>457.1</v>
      </c>
      <c r="CQ31" s="280">
        <v>453.9</v>
      </c>
      <c r="CR31" s="280">
        <v>471.2</v>
      </c>
      <c r="CS31" s="280">
        <v>476.1</v>
      </c>
      <c r="CT31" s="280">
        <v>475.1</v>
      </c>
      <c r="CU31" s="280">
        <v>462.5</v>
      </c>
      <c r="CV31" s="280">
        <v>490.7</v>
      </c>
      <c r="CW31" s="158" t="s">
        <v>34</v>
      </c>
      <c r="CX31" s="280">
        <v>538.4</v>
      </c>
      <c r="CY31" s="280">
        <v>571.9</v>
      </c>
      <c r="CZ31" s="280">
        <v>618.9</v>
      </c>
      <c r="DA31" s="280">
        <v>600.70000000000005</v>
      </c>
      <c r="DB31" s="280">
        <v>593</v>
      </c>
      <c r="DC31" s="280">
        <v>613.79999999999995</v>
      </c>
      <c r="DD31" s="280">
        <v>671.3</v>
      </c>
      <c r="DE31" s="280">
        <v>635.9</v>
      </c>
      <c r="DF31" s="280">
        <v>599.1</v>
      </c>
      <c r="DG31" s="280">
        <v>613.9</v>
      </c>
      <c r="DH31" s="158" t="s">
        <v>34</v>
      </c>
      <c r="DI31" s="280">
        <v>349.6</v>
      </c>
      <c r="DJ31" s="280">
        <v>357.6</v>
      </c>
      <c r="DK31" s="280">
        <v>363.4</v>
      </c>
      <c r="DL31" s="280">
        <v>392.9</v>
      </c>
      <c r="DM31" s="280">
        <v>389.2</v>
      </c>
      <c r="DN31" s="280">
        <v>407.2</v>
      </c>
      <c r="DO31" s="280">
        <v>396.7</v>
      </c>
      <c r="DP31" s="280">
        <v>408.5</v>
      </c>
      <c r="DQ31" s="280">
        <v>391.8</v>
      </c>
      <c r="DR31" s="280">
        <v>396.5</v>
      </c>
      <c r="DS31" s="158" t="s">
        <v>34</v>
      </c>
      <c r="DT31" s="280">
        <v>11</v>
      </c>
      <c r="DU31" s="280">
        <v>15.3</v>
      </c>
      <c r="DV31" s="280">
        <v>15.1</v>
      </c>
      <c r="DW31" s="280">
        <v>16.7</v>
      </c>
      <c r="DX31" s="280">
        <v>18.5</v>
      </c>
      <c r="DY31" s="280">
        <v>18.399999999999999</v>
      </c>
      <c r="DZ31" s="280">
        <v>19.7</v>
      </c>
      <c r="EA31" s="280">
        <v>15.2</v>
      </c>
      <c r="EB31" s="280">
        <v>15.8</v>
      </c>
      <c r="EC31" s="280">
        <v>16.899999999999999</v>
      </c>
      <c r="ED31" s="158" t="s">
        <v>34</v>
      </c>
      <c r="EE31" s="280">
        <v>21.3</v>
      </c>
      <c r="EF31" s="280">
        <v>25.2</v>
      </c>
      <c r="EG31" s="280">
        <v>22.8</v>
      </c>
      <c r="EH31" s="280">
        <v>25.9</v>
      </c>
      <c r="EI31" s="280">
        <v>22.2</v>
      </c>
      <c r="EJ31" s="280">
        <v>23.4</v>
      </c>
      <c r="EK31" s="280">
        <v>23.3</v>
      </c>
      <c r="EL31" s="280">
        <v>24.6</v>
      </c>
      <c r="EM31" s="280">
        <v>18.100000000000001</v>
      </c>
      <c r="EN31" s="280">
        <v>15.6</v>
      </c>
      <c r="EO31" s="158" t="s">
        <v>34</v>
      </c>
      <c r="EP31" s="280">
        <v>234.8</v>
      </c>
      <c r="EQ31" s="280">
        <v>235.4</v>
      </c>
      <c r="ER31" s="280">
        <v>229.6</v>
      </c>
      <c r="ES31" s="280">
        <v>248.3</v>
      </c>
      <c r="ET31" s="280">
        <v>241.2</v>
      </c>
      <c r="EU31" s="280">
        <v>257.8</v>
      </c>
      <c r="EV31" s="280">
        <v>234.5</v>
      </c>
      <c r="EW31" s="280">
        <v>257.39999999999998</v>
      </c>
      <c r="EX31" s="280">
        <v>254.7</v>
      </c>
      <c r="EY31" s="280">
        <v>259.89999999999998</v>
      </c>
      <c r="EZ31" s="158" t="s">
        <v>34</v>
      </c>
      <c r="FA31" s="280">
        <v>141.30000000000001</v>
      </c>
      <c r="FB31" s="280">
        <v>143.30000000000001</v>
      </c>
      <c r="FC31" s="280">
        <v>159.5</v>
      </c>
      <c r="FD31" s="280">
        <v>174.2</v>
      </c>
      <c r="FE31" s="280">
        <v>176</v>
      </c>
      <c r="FF31" s="280">
        <v>179.2</v>
      </c>
      <c r="FG31" s="280">
        <v>182.8</v>
      </c>
      <c r="FH31" s="280">
        <v>180.1</v>
      </c>
      <c r="FI31" s="280">
        <v>166.6</v>
      </c>
      <c r="FJ31" s="280">
        <v>177.5</v>
      </c>
      <c r="FK31" s="158" t="s">
        <v>34</v>
      </c>
      <c r="FL31" s="280">
        <v>124.7</v>
      </c>
      <c r="FM31" s="280">
        <v>136.6</v>
      </c>
      <c r="FN31" s="280">
        <v>145.30000000000001</v>
      </c>
      <c r="FO31" s="280">
        <v>146</v>
      </c>
      <c r="FP31" s="280">
        <v>139.6</v>
      </c>
      <c r="FQ31" s="280">
        <v>147</v>
      </c>
      <c r="FR31" s="280">
        <v>150.4</v>
      </c>
      <c r="FS31" s="280">
        <v>148.69999999999999</v>
      </c>
      <c r="FT31" s="280">
        <v>143.80000000000001</v>
      </c>
      <c r="FU31" s="280">
        <v>144</v>
      </c>
      <c r="FV31" s="158" t="s">
        <v>34</v>
      </c>
      <c r="FW31" s="280">
        <v>351.9</v>
      </c>
      <c r="FX31" s="280">
        <v>383.1</v>
      </c>
      <c r="FY31" s="280">
        <v>388.1</v>
      </c>
      <c r="FZ31" s="280">
        <v>387.4</v>
      </c>
      <c r="GA31" s="280">
        <v>388.1</v>
      </c>
      <c r="GB31" s="280">
        <v>400</v>
      </c>
      <c r="GC31" s="280">
        <v>423.1</v>
      </c>
      <c r="GD31" s="280">
        <v>398.8</v>
      </c>
      <c r="GE31" s="280">
        <v>394.5</v>
      </c>
      <c r="GF31" s="280">
        <v>418.8</v>
      </c>
      <c r="GG31" s="158" t="s">
        <v>34</v>
      </c>
      <c r="GH31" s="280">
        <v>13.7</v>
      </c>
      <c r="GI31" s="280">
        <v>20.100000000000001</v>
      </c>
      <c r="GJ31" s="280">
        <v>19.100000000000001</v>
      </c>
      <c r="GK31" s="280">
        <v>16.399999999999999</v>
      </c>
      <c r="GL31" s="280">
        <v>15.1</v>
      </c>
      <c r="GM31" s="280">
        <v>19</v>
      </c>
      <c r="GN31" s="280">
        <v>19.5</v>
      </c>
      <c r="GO31" s="280">
        <v>15.3</v>
      </c>
      <c r="GP31" s="280">
        <v>13.5</v>
      </c>
      <c r="GQ31" s="280">
        <v>16.600000000000001</v>
      </c>
      <c r="GR31" s="158" t="s">
        <v>34</v>
      </c>
      <c r="GS31" s="280">
        <v>103.5</v>
      </c>
      <c r="GT31" s="280">
        <v>109.2</v>
      </c>
      <c r="GU31" s="280">
        <v>114.9</v>
      </c>
      <c r="GV31" s="280">
        <v>114.4</v>
      </c>
      <c r="GW31" s="280">
        <v>105.4</v>
      </c>
      <c r="GX31" s="280">
        <v>101.9</v>
      </c>
      <c r="GY31" s="280">
        <v>104.7</v>
      </c>
      <c r="GZ31" s="280">
        <v>101.7</v>
      </c>
      <c r="HA31" s="280">
        <v>94.9</v>
      </c>
      <c r="HB31" s="280">
        <v>96.7</v>
      </c>
      <c r="HC31" s="2" t="s">
        <v>34</v>
      </c>
      <c r="HD31" s="280">
        <v>74.599999999999994</v>
      </c>
      <c r="HE31" s="280">
        <v>70.900000000000006</v>
      </c>
      <c r="HF31" s="280">
        <v>75</v>
      </c>
      <c r="HG31" s="280">
        <v>77.599999999999994</v>
      </c>
      <c r="HH31" s="280">
        <v>74.400000000000006</v>
      </c>
      <c r="HI31" s="280">
        <v>76.400000000000006</v>
      </c>
      <c r="HJ31" s="280">
        <v>89.2</v>
      </c>
      <c r="HK31" s="280">
        <v>82.9</v>
      </c>
      <c r="HL31" s="280">
        <v>75.7</v>
      </c>
      <c r="HM31" s="280">
        <v>80.2</v>
      </c>
      <c r="HN31" s="158" t="s">
        <v>34</v>
      </c>
      <c r="HO31" s="280">
        <v>243.8</v>
      </c>
      <c r="HP31" s="280">
        <v>256.39999999999998</v>
      </c>
      <c r="HQ31" s="280">
        <v>281.8</v>
      </c>
      <c r="HR31" s="280">
        <v>257.7</v>
      </c>
      <c r="HS31" s="280">
        <v>272.7</v>
      </c>
      <c r="HT31" s="280">
        <v>279.8</v>
      </c>
      <c r="HU31" s="280">
        <v>299.5</v>
      </c>
      <c r="HV31" s="280">
        <v>296.10000000000002</v>
      </c>
      <c r="HW31" s="280">
        <v>282.39999999999998</v>
      </c>
      <c r="HX31" s="280">
        <v>283.8</v>
      </c>
      <c r="HY31" s="158" t="s">
        <v>34</v>
      </c>
      <c r="HZ31" s="281"/>
      <c r="IA31" s="281"/>
      <c r="IB31" s="281"/>
      <c r="IC31" s="281"/>
      <c r="ID31" s="281"/>
      <c r="IE31" s="281"/>
      <c r="IF31" s="281"/>
      <c r="IG31" s="280"/>
      <c r="IH31" s="281"/>
      <c r="II31" s="281"/>
      <c r="IJ31" s="158" t="s">
        <v>34</v>
      </c>
      <c r="IK31" s="280">
        <v>15.7</v>
      </c>
      <c r="IL31" s="280">
        <v>16.600000000000001</v>
      </c>
      <c r="IM31" s="280">
        <v>19.100000000000001</v>
      </c>
      <c r="IN31" s="280">
        <v>18.600000000000001</v>
      </c>
      <c r="IO31" s="280">
        <v>19.100000000000001</v>
      </c>
      <c r="IP31" s="280">
        <v>25.3</v>
      </c>
      <c r="IQ31" s="280">
        <v>35.6</v>
      </c>
      <c r="IR31" s="280">
        <v>27.4</v>
      </c>
      <c r="IS31" s="280">
        <v>23.9</v>
      </c>
      <c r="IT31" s="280">
        <v>23.5</v>
      </c>
      <c r="IU31" s="158" t="s">
        <v>34</v>
      </c>
      <c r="IV31" s="280">
        <v>19.899999999999999</v>
      </c>
      <c r="IW31" s="280">
        <v>21.2</v>
      </c>
      <c r="IX31" s="280">
        <v>21.7</v>
      </c>
      <c r="IY31" s="280">
        <v>15.9</v>
      </c>
      <c r="IZ31" s="280">
        <v>17.100000000000001</v>
      </c>
      <c r="JA31" s="280">
        <v>20.5</v>
      </c>
      <c r="JB31" s="280">
        <v>18</v>
      </c>
      <c r="JC31" s="280">
        <v>19.7</v>
      </c>
      <c r="JD31" s="280">
        <v>17.8</v>
      </c>
      <c r="JE31" s="280">
        <v>19.399999999999999</v>
      </c>
      <c r="JF31" s="158" t="s">
        <v>34</v>
      </c>
      <c r="JG31" s="280">
        <v>109.3</v>
      </c>
      <c r="JH31" s="280">
        <v>118.8</v>
      </c>
      <c r="JI31" s="280">
        <v>121.1</v>
      </c>
      <c r="JJ31" s="280">
        <v>130.4</v>
      </c>
      <c r="JK31" s="280">
        <v>124.1</v>
      </c>
      <c r="JL31" s="280">
        <v>120.4</v>
      </c>
      <c r="JM31" s="280">
        <v>123.5</v>
      </c>
      <c r="JN31" s="280">
        <v>121</v>
      </c>
      <c r="JO31" s="280">
        <v>121.2</v>
      </c>
      <c r="JP31" s="280">
        <v>125</v>
      </c>
      <c r="JQ31" s="158" t="s">
        <v>34</v>
      </c>
      <c r="JR31" s="280">
        <v>38.5</v>
      </c>
      <c r="JS31" s="280">
        <v>42.4</v>
      </c>
      <c r="JT31" s="280">
        <v>48.4</v>
      </c>
      <c r="JU31" s="280">
        <v>50.9</v>
      </c>
      <c r="JV31" s="280">
        <v>44.6</v>
      </c>
      <c r="JW31" s="280">
        <v>44.8</v>
      </c>
      <c r="JX31" s="280">
        <v>51.7</v>
      </c>
      <c r="JY31" s="280">
        <v>48.6</v>
      </c>
      <c r="JZ31" s="280">
        <v>45.5</v>
      </c>
      <c r="KA31" s="280">
        <v>44.5</v>
      </c>
      <c r="KB31" s="158" t="s">
        <v>34</v>
      </c>
      <c r="KC31" s="280">
        <v>243.1</v>
      </c>
      <c r="KD31" s="280">
        <v>262.10000000000002</v>
      </c>
      <c r="KE31" s="280">
        <v>268.89999999999998</v>
      </c>
      <c r="KF31" s="280">
        <v>272.89999999999998</v>
      </c>
      <c r="KG31" s="280">
        <v>278.39999999999998</v>
      </c>
      <c r="KH31" s="280">
        <v>275.7</v>
      </c>
      <c r="KI31" s="280">
        <v>296.10000000000002</v>
      </c>
      <c r="KJ31" s="280">
        <v>286.2</v>
      </c>
      <c r="KK31" s="280">
        <v>280</v>
      </c>
      <c r="KL31" s="280">
        <v>290.89999999999998</v>
      </c>
      <c r="KM31" s="158" t="s">
        <v>34</v>
      </c>
      <c r="KN31" s="280">
        <v>66.099999999999994</v>
      </c>
      <c r="KO31" s="280">
        <v>66.7</v>
      </c>
      <c r="KP31" s="280">
        <v>70.2</v>
      </c>
      <c r="KQ31" s="280">
        <v>70.2</v>
      </c>
      <c r="KR31" s="280">
        <v>63.2</v>
      </c>
      <c r="KS31" s="280">
        <v>70.7</v>
      </c>
      <c r="KT31" s="280">
        <v>78.7</v>
      </c>
      <c r="KU31" s="280">
        <v>75.099999999999994</v>
      </c>
      <c r="KV31" s="280">
        <v>73.099999999999994</v>
      </c>
      <c r="KW31" s="280">
        <v>77.2</v>
      </c>
      <c r="KX31" s="158" t="s">
        <v>34</v>
      </c>
      <c r="KY31" s="280">
        <v>123.6</v>
      </c>
      <c r="KZ31" s="280">
        <v>141.30000000000001</v>
      </c>
      <c r="LA31" s="280">
        <v>144.6</v>
      </c>
      <c r="LB31" s="280">
        <v>123.4</v>
      </c>
      <c r="LC31" s="280">
        <v>130</v>
      </c>
      <c r="LD31" s="280">
        <v>130.6</v>
      </c>
      <c r="LE31" s="280">
        <v>144.5</v>
      </c>
      <c r="LF31" s="280">
        <v>137.5</v>
      </c>
      <c r="LG31" s="280">
        <v>138.30000000000001</v>
      </c>
      <c r="LH31" s="280">
        <v>152.1</v>
      </c>
      <c r="LI31" s="158" t="s">
        <v>34</v>
      </c>
      <c r="LJ31" s="280">
        <v>28.8</v>
      </c>
      <c r="LK31" s="280">
        <v>32.1</v>
      </c>
      <c r="LL31" s="280">
        <v>32.700000000000003</v>
      </c>
      <c r="LM31" s="280">
        <v>32.799999999999997</v>
      </c>
      <c r="LN31" s="280">
        <v>28</v>
      </c>
      <c r="LO31" s="280">
        <v>29.3</v>
      </c>
      <c r="LP31" s="280">
        <v>29.9</v>
      </c>
      <c r="LQ31" s="280">
        <v>34.4</v>
      </c>
      <c r="LR31" s="280">
        <v>40</v>
      </c>
      <c r="LS31" s="280">
        <v>36.299999999999997</v>
      </c>
      <c r="LT31" s="158" t="s">
        <v>34</v>
      </c>
      <c r="LU31" s="280">
        <v>22</v>
      </c>
      <c r="LV31" s="280">
        <v>24.3</v>
      </c>
      <c r="LW31" s="280">
        <v>23.5</v>
      </c>
      <c r="LX31" s="280">
        <v>26.5</v>
      </c>
      <c r="LY31" s="280">
        <v>26.6</v>
      </c>
      <c r="LZ31" s="280">
        <v>26.9</v>
      </c>
      <c r="MA31" s="280">
        <v>22</v>
      </c>
      <c r="MB31" s="280">
        <v>23</v>
      </c>
      <c r="MC31" s="280">
        <v>23.2</v>
      </c>
      <c r="MD31" s="280">
        <v>22.3</v>
      </c>
      <c r="ME31" s="158" t="s">
        <v>34</v>
      </c>
      <c r="MF31" s="280">
        <v>52.5</v>
      </c>
      <c r="MG31" s="280">
        <v>50.1</v>
      </c>
      <c r="MH31" s="280">
        <v>51.2</v>
      </c>
      <c r="MI31" s="280">
        <v>57.6</v>
      </c>
      <c r="MJ31" s="280">
        <v>51.8</v>
      </c>
      <c r="MK31" s="280">
        <v>59.5</v>
      </c>
      <c r="ML31" s="280">
        <v>56.1</v>
      </c>
      <c r="MM31" s="280">
        <v>59.4</v>
      </c>
      <c r="MN31" s="280">
        <v>55.5</v>
      </c>
      <c r="MO31" s="280">
        <v>59.8</v>
      </c>
      <c r="MP31" s="158" t="s">
        <v>34</v>
      </c>
      <c r="MQ31" s="280">
        <v>111.5</v>
      </c>
      <c r="MR31" s="280">
        <v>115.1</v>
      </c>
      <c r="MS31" s="280">
        <v>124.3</v>
      </c>
      <c r="MT31" s="280">
        <v>123.2</v>
      </c>
      <c r="MU31" s="280">
        <v>119.1</v>
      </c>
      <c r="MV31" s="280">
        <v>117.6</v>
      </c>
      <c r="MW31" s="280">
        <v>122</v>
      </c>
      <c r="MX31" s="280">
        <v>119.3</v>
      </c>
      <c r="MY31" s="280">
        <v>108</v>
      </c>
      <c r="MZ31" s="280">
        <v>111.5</v>
      </c>
      <c r="NA31" s="158" t="s">
        <v>34</v>
      </c>
      <c r="NB31" s="280">
        <v>36.299999999999997</v>
      </c>
      <c r="NC31" s="280">
        <v>37.700000000000003</v>
      </c>
      <c r="ND31" s="280">
        <v>39.299999999999997</v>
      </c>
      <c r="NE31" s="280">
        <v>42.8</v>
      </c>
      <c r="NF31" s="280">
        <v>45.9</v>
      </c>
      <c r="NG31" s="280">
        <v>48.5</v>
      </c>
      <c r="NH31" s="280">
        <v>48.1</v>
      </c>
      <c r="NI31" s="280">
        <v>47.5</v>
      </c>
      <c r="NJ31" s="280">
        <v>42.3</v>
      </c>
      <c r="NK31" s="280">
        <v>48.8</v>
      </c>
      <c r="NL31" s="158" t="s">
        <v>34</v>
      </c>
      <c r="NM31" s="280">
        <v>86.5</v>
      </c>
      <c r="NN31" s="280">
        <v>79.400000000000006</v>
      </c>
      <c r="NO31" s="280">
        <v>72.099999999999994</v>
      </c>
      <c r="NP31" s="280">
        <v>87.8</v>
      </c>
      <c r="NQ31" s="280">
        <v>82.3</v>
      </c>
      <c r="NR31" s="280">
        <v>84.8</v>
      </c>
      <c r="NS31" s="280">
        <v>74.7</v>
      </c>
      <c r="NT31" s="280">
        <v>84.7</v>
      </c>
      <c r="NU31" s="280">
        <v>87.9</v>
      </c>
      <c r="NV31" s="280">
        <v>84.5</v>
      </c>
      <c r="NW31" s="158" t="s">
        <v>34</v>
      </c>
      <c r="NX31" s="280">
        <v>155.80000000000001</v>
      </c>
      <c r="NY31" s="280">
        <v>167.1</v>
      </c>
      <c r="NZ31" s="280">
        <v>183.5</v>
      </c>
      <c r="OA31" s="280">
        <v>178.1</v>
      </c>
      <c r="OB31" s="280">
        <v>172.2</v>
      </c>
      <c r="OC31" s="280">
        <v>166.6</v>
      </c>
      <c r="OD31" s="280">
        <v>179.2</v>
      </c>
      <c r="OE31" s="280">
        <v>172.7</v>
      </c>
      <c r="OF31" s="280">
        <v>164.2</v>
      </c>
      <c r="OG31" s="280">
        <v>173.5</v>
      </c>
      <c r="OH31" s="191" t="s">
        <v>34</v>
      </c>
      <c r="OI31" s="192">
        <v>7</v>
      </c>
      <c r="OJ31" s="192">
        <v>7.1</v>
      </c>
      <c r="OK31" s="192">
        <v>7.5</v>
      </c>
      <c r="OL31" s="192">
        <v>6.9</v>
      </c>
      <c r="OM31" s="192">
        <v>6.6</v>
      </c>
      <c r="ON31" s="192">
        <v>6.6</v>
      </c>
      <c r="OO31" s="192">
        <v>6.8</v>
      </c>
      <c r="OP31" s="192">
        <v>6.2</v>
      </c>
      <c r="OQ31" s="192">
        <v>5.6</v>
      </c>
      <c r="OR31" s="192">
        <v>5.4</v>
      </c>
      <c r="OS31" s="158" t="s">
        <v>34</v>
      </c>
      <c r="OT31" s="340">
        <v>1</v>
      </c>
      <c r="OU31" s="340">
        <v>0.2</v>
      </c>
      <c r="OV31" s="340">
        <v>1.1000000000000001</v>
      </c>
      <c r="OW31" s="340">
        <v>0.8</v>
      </c>
      <c r="OX31" s="340">
        <v>0.5</v>
      </c>
      <c r="OY31" s="340">
        <v>0.9</v>
      </c>
      <c r="OZ31" s="340">
        <v>0.8</v>
      </c>
      <c r="PA31" s="340">
        <v>0.9</v>
      </c>
      <c r="PB31" s="340">
        <v>0.5</v>
      </c>
      <c r="PC31" s="340">
        <v>0.7</v>
      </c>
      <c r="PE31" s="210">
        <f>E31-'[1]Data-temp_employment'!F31</f>
        <v>0.40000000000000213</v>
      </c>
      <c r="PF31" s="210">
        <f>F31-'[1]Data-temp_employment'!G31</f>
        <v>1.1000000000000014</v>
      </c>
      <c r="PG31" s="210">
        <f>O31-'[1]Data-temp_employment'!P31</f>
        <v>46.799999999999955</v>
      </c>
      <c r="PH31" s="210">
        <f>P31-'[1]Data-temp_employment'!Q31</f>
        <v>43.200000000000045</v>
      </c>
      <c r="PI31" s="210">
        <f>AD31-'[1]Data-temp_employment'!AE31</f>
        <v>-1.6000000000000005</v>
      </c>
      <c r="PJ31" s="210">
        <f>AE31-'[1]Data-temp_employment'!AF31</f>
        <v>1.3000000000000007</v>
      </c>
      <c r="PK31" s="210">
        <f>BR31-'[1]Data-temp_employment'!BS31</f>
        <v>-6</v>
      </c>
      <c r="PL31" s="210">
        <f>BS31-'[1]Data-temp_employment'!BT31</f>
        <v>7.1000000000000014</v>
      </c>
      <c r="PM31" s="210">
        <f>CC31-'[1]Data-temp_employment'!CD31</f>
        <v>-3.1999999999999993</v>
      </c>
      <c r="PN31" s="210">
        <f>CD31-'[1]Data-temp_employment'!CE31</f>
        <v>-5</v>
      </c>
      <c r="PO31" s="210">
        <f>CR31-'[1]Data-temp_employment'!CS31</f>
        <v>18.899999999999977</v>
      </c>
      <c r="PP31" s="210">
        <f>CS31-'[1]Data-temp_employment'!CT31</f>
        <v>18.100000000000023</v>
      </c>
      <c r="PQ31" s="210">
        <f>DC31-'[1]Data-temp_employment'!DD31</f>
        <v>41.899999999999977</v>
      </c>
      <c r="PR31" s="210">
        <f>DD31-'[1]Data-temp_employment'!DE31</f>
        <v>52.399999999999977</v>
      </c>
      <c r="PS31" s="210">
        <f>DN31-'[1]Data-temp_employment'!DO31</f>
        <v>49.599999999999966</v>
      </c>
      <c r="PT31" s="210">
        <f>DO31-'[1]Data-temp_employment'!DP31</f>
        <v>33.300000000000011</v>
      </c>
      <c r="PU31" s="210">
        <f>EF31-'[1]Data-temp_employment'!EG31</f>
        <v>6.1999999999999993</v>
      </c>
      <c r="PV31" s="210">
        <f>EG31-'[1]Data-temp_employment'!EH31</f>
        <v>3.5</v>
      </c>
      <c r="PW31" s="210">
        <f>EU31-'[1]Data-temp_employment'!EV31</f>
        <v>22.400000000000006</v>
      </c>
      <c r="PX31" s="210">
        <f>EV31-'[1]Data-temp_employment'!EW31</f>
        <v>4.9000000000000057</v>
      </c>
      <c r="PY31" s="210">
        <f>FF31-'[1]Data-temp_employment'!FG31</f>
        <v>35.899999999999977</v>
      </c>
      <c r="PZ31" s="210">
        <f>FG31-'[1]Data-temp_employment'!FH31</f>
        <v>23.300000000000011</v>
      </c>
      <c r="QA31" s="210">
        <f>FQ31-'[1]Data-temp_employment'!FR31</f>
        <v>10.400000000000006</v>
      </c>
      <c r="QB31" s="210">
        <f>FR31-'[1]Data-temp_employment'!FS31</f>
        <v>5.0999999999999943</v>
      </c>
      <c r="QC31" s="210">
        <f>GB31-'[1]Data-temp_employment'!GC31</f>
        <v>16.899999999999977</v>
      </c>
      <c r="QD31" s="210">
        <f>GC31-'[1]Data-temp_employment'!GD31</f>
        <v>35</v>
      </c>
      <c r="QE31" s="210">
        <f>GM31-'[1]Data-temp_employment'!GN31</f>
        <v>-1.1000000000000014</v>
      </c>
      <c r="QF31" s="210">
        <f>GN31-'[1]Data-temp_employment'!GO31</f>
        <v>0.39999999999999858</v>
      </c>
      <c r="QG31" s="210">
        <f>GX31-'[1]Data-temp_employment'!GY31</f>
        <v>-7.2999999999999972</v>
      </c>
      <c r="QH31" s="210">
        <f>GY31-'[1]Data-temp_employment'!GZ31</f>
        <v>-10.200000000000003</v>
      </c>
      <c r="QI31" s="210">
        <f>HI31-'[1]Data-temp_employment'!HJ31</f>
        <v>5.5</v>
      </c>
      <c r="QJ31" s="210">
        <f>HJ31-'[1]Data-temp_employment'!HK31</f>
        <v>14.200000000000003</v>
      </c>
      <c r="QK31" s="210">
        <f>HT31-'[1]Data-temp_employment'!HU31</f>
        <v>23.400000000000034</v>
      </c>
      <c r="QL31" s="210">
        <f>HU31-'[1]Data-temp_employment'!HV31</f>
        <v>17.699999999999989</v>
      </c>
      <c r="QM31" s="210">
        <f>IE31-'[1]Data-temp_employment'!IF31</f>
        <v>0</v>
      </c>
      <c r="QN31" s="210">
        <f>IF31-'[1]Data-temp_employment'!IG31</f>
        <v>0</v>
      </c>
      <c r="QO31" s="210">
        <f>JA31-'[1]Data-temp_employment'!JB31</f>
        <v>-0.69999999999999929</v>
      </c>
      <c r="QP31" s="210">
        <f>JB31-'[1]Data-temp_employment'!JC31</f>
        <v>-3.6999999999999993</v>
      </c>
      <c r="QQ31" s="210">
        <f>JH31-'[1]Data-temp_employment'!JI31</f>
        <v>9.2999999999999972</v>
      </c>
      <c r="QR31" s="210">
        <f>JI31-'[1]Data-temp_employment'!JJ31</f>
        <v>2</v>
      </c>
      <c r="QS31" s="210">
        <f>JS31-'[1]Data-temp_employment'!JT31</f>
        <v>-1</v>
      </c>
      <c r="QT31" s="210">
        <f>JT31-'[1]Data-temp_employment'!JU31</f>
        <v>3.7999999999999972</v>
      </c>
      <c r="QU31" s="210">
        <f>KD31-'[1]Data-temp_employment'!KE31</f>
        <v>16.300000000000011</v>
      </c>
      <c r="QV31" s="210">
        <f>KE31-'[1]Data-temp_employment'!KF31</f>
        <v>20.399999999999977</v>
      </c>
      <c r="QW31" s="210">
        <f>KO31-'[1]Data-temp_employment'!KP31</f>
        <v>6.2000000000000028</v>
      </c>
      <c r="QX31" s="210">
        <f>KP31-'[1]Data-temp_employment'!KQ31</f>
        <v>5.7000000000000028</v>
      </c>
      <c r="QY31" s="210">
        <f>LD31-'[1]Data-temp_employment'!LE31</f>
        <v>-10.700000000000017</v>
      </c>
      <c r="QZ31" s="210">
        <f>LE31-'[1]Data-temp_employment'!LF31</f>
        <v>-9.9999999999994316E-2</v>
      </c>
      <c r="RA31" s="210">
        <f>LK31-'[1]Data-temp_employment'!LL31</f>
        <v>5.7000000000000028</v>
      </c>
      <c r="RB31" s="210">
        <f>LL31-'[1]Data-temp_employment'!LM31</f>
        <v>4.9000000000000021</v>
      </c>
      <c r="RC31" s="210">
        <f>LV31-'[1]Data-temp_employment'!LW31</f>
        <v>5.1000000000000014</v>
      </c>
      <c r="RD31" s="210">
        <f>LW31-'[1]Data-temp_employment'!LX31</f>
        <v>2.1000000000000014</v>
      </c>
      <c r="RE31" s="210">
        <f>MK31-'[1]Data-temp_employment'!ML31</f>
        <v>9.3999999999999986</v>
      </c>
      <c r="RF31" s="210">
        <f>ML31-'[1]Data-temp_employment'!MM31</f>
        <v>4.8999999999999986</v>
      </c>
      <c r="RG31" s="210">
        <f>MV31-'[1]Data-temp_employment'!MW31</f>
        <v>2.5</v>
      </c>
      <c r="RH31" s="210">
        <f>MW31-'[1]Data-temp_employment'!MX31</f>
        <v>-2.2999999999999972</v>
      </c>
      <c r="RI31" s="210">
        <f>NG31-'[1]Data-temp_employment'!NH31</f>
        <v>10.799999999999997</v>
      </c>
      <c r="RJ31" s="210">
        <f>NH31-'[1]Data-temp_employment'!NI31</f>
        <v>8.8000000000000043</v>
      </c>
      <c r="RK31" s="210">
        <f>NR31-'[1]Data-temp_employment'!NS31</f>
        <v>5.3999999999999915</v>
      </c>
      <c r="RL31" s="210">
        <f>NS31-'[1]Data-temp_employment'!NT31</f>
        <v>2.6000000000000085</v>
      </c>
      <c r="RM31" s="210">
        <f>OC31-'[1]Data-temp_employment'!OD31</f>
        <v>-0.5</v>
      </c>
      <c r="RN31" s="210">
        <f>OD31-'[1]Data-temp_employment'!OE31</f>
        <v>-4.3000000000000114</v>
      </c>
      <c r="RO31" s="210">
        <f>OT31-'[1]Data-temp_employment'!OV31</f>
        <v>0.9</v>
      </c>
      <c r="RP31" s="210">
        <f>OU31-'[1]Data-temp_employment'!OW31</f>
        <v>0</v>
      </c>
      <c r="RQ31" s="13"/>
    </row>
    <row r="32" spans="1:485">
      <c r="A32">
        <v>29</v>
      </c>
      <c r="B32" s="158" t="s">
        <v>45</v>
      </c>
      <c r="C32" s="332">
        <v>8.4</v>
      </c>
      <c r="D32" s="332">
        <v>8.9</v>
      </c>
      <c r="E32" s="332">
        <v>9.5</v>
      </c>
      <c r="F32" s="332">
        <v>8.1999999999999993</v>
      </c>
      <c r="G32" s="332">
        <v>7.8</v>
      </c>
      <c r="H32" s="332">
        <v>8.6999999999999993</v>
      </c>
      <c r="I32" s="332">
        <v>9.3000000000000007</v>
      </c>
      <c r="J32" s="332">
        <v>8.3000000000000007</v>
      </c>
      <c r="K32" s="332">
        <v>8</v>
      </c>
      <c r="L32" s="332">
        <v>8.4</v>
      </c>
      <c r="M32" s="158" t="s">
        <v>45</v>
      </c>
      <c r="N32" s="332">
        <v>199.3</v>
      </c>
      <c r="O32" s="332">
        <v>212.4</v>
      </c>
      <c r="P32" s="332">
        <v>226.3</v>
      </c>
      <c r="Q32" s="332">
        <v>195</v>
      </c>
      <c r="R32" s="332">
        <v>184.6</v>
      </c>
      <c r="S32" s="332">
        <v>209</v>
      </c>
      <c r="T32" s="332">
        <v>223</v>
      </c>
      <c r="U32" s="332">
        <v>197.8</v>
      </c>
      <c r="V32" s="332">
        <v>191.5</v>
      </c>
      <c r="W32" s="332">
        <v>204</v>
      </c>
      <c r="X32" s="158" t="s">
        <v>45</v>
      </c>
      <c r="Y32" s="336"/>
      <c r="Z32" s="332">
        <v>2.5</v>
      </c>
      <c r="AA32" s="332">
        <v>5.6</v>
      </c>
      <c r="AB32" s="336"/>
      <c r="AC32" s="336"/>
      <c r="AD32" s="336"/>
      <c r="AE32" s="332">
        <v>8.1999999999999993</v>
      </c>
      <c r="AF32" s="332">
        <v>2.1</v>
      </c>
      <c r="AG32" s="336"/>
      <c r="AH32" s="336"/>
      <c r="AI32" s="158" t="s">
        <v>45</v>
      </c>
      <c r="AJ32" s="332">
        <v>5.4</v>
      </c>
      <c r="AK32" s="332">
        <v>13.5</v>
      </c>
      <c r="AL32" s="332">
        <v>19.5</v>
      </c>
      <c r="AM32" s="332">
        <v>10.6</v>
      </c>
      <c r="AN32" s="332">
        <v>5.9</v>
      </c>
      <c r="AO32" s="332">
        <v>12.4</v>
      </c>
      <c r="AP32" s="332">
        <v>19.2</v>
      </c>
      <c r="AQ32" s="332">
        <v>6.5</v>
      </c>
      <c r="AR32" s="332">
        <v>3.5</v>
      </c>
      <c r="AS32" s="332">
        <v>15.4</v>
      </c>
      <c r="AT32" s="158" t="s">
        <v>45</v>
      </c>
      <c r="AU32" s="332">
        <v>11</v>
      </c>
      <c r="AV32" s="332">
        <v>10.8</v>
      </c>
      <c r="AW32" s="332">
        <v>11.4</v>
      </c>
      <c r="AX32" s="332">
        <v>7.5</v>
      </c>
      <c r="AY32" s="332">
        <v>10.6</v>
      </c>
      <c r="AZ32" s="332">
        <v>10.9</v>
      </c>
      <c r="BA32" s="332">
        <v>10.9</v>
      </c>
      <c r="BB32" s="332">
        <v>10.6</v>
      </c>
      <c r="BC32" s="332">
        <v>11.8</v>
      </c>
      <c r="BD32" s="332">
        <v>13.7</v>
      </c>
      <c r="BE32" s="158" t="s">
        <v>45</v>
      </c>
      <c r="BF32" s="280">
        <v>27.7</v>
      </c>
      <c r="BG32" s="280">
        <v>21.4</v>
      </c>
      <c r="BH32" s="280">
        <v>29</v>
      </c>
      <c r="BI32" s="280">
        <v>29.7</v>
      </c>
      <c r="BJ32" s="280">
        <v>28.2</v>
      </c>
      <c r="BK32" s="280">
        <v>28.2</v>
      </c>
      <c r="BL32" s="280">
        <v>22.6</v>
      </c>
      <c r="BM32" s="280">
        <v>27</v>
      </c>
      <c r="BN32" s="280">
        <v>24.5</v>
      </c>
      <c r="BO32" s="280">
        <v>23.7</v>
      </c>
      <c r="BP32" s="158" t="s">
        <v>45</v>
      </c>
      <c r="BQ32" s="7">
        <v>21.6</v>
      </c>
      <c r="BR32" s="7">
        <v>25.200000000000003</v>
      </c>
      <c r="BS32" s="7">
        <v>25.5</v>
      </c>
      <c r="BT32" s="7">
        <v>20.799999999999997</v>
      </c>
      <c r="BU32" s="7">
        <v>20.7</v>
      </c>
      <c r="BV32" s="7">
        <v>23.2</v>
      </c>
      <c r="BW32" s="7">
        <v>24.2</v>
      </c>
      <c r="BX32" s="7">
        <v>20.9</v>
      </c>
      <c r="BY32" s="7">
        <v>21.6</v>
      </c>
      <c r="BZ32" s="7">
        <v>21.1</v>
      </c>
      <c r="CA32" s="6" t="s">
        <v>45</v>
      </c>
      <c r="CB32" s="7">
        <v>38.799999999999997</v>
      </c>
      <c r="CC32" s="7">
        <v>40</v>
      </c>
      <c r="CD32" s="7">
        <v>39.700000000000003</v>
      </c>
      <c r="CE32" s="7">
        <v>37.1</v>
      </c>
      <c r="CF32" s="7">
        <v>36.4</v>
      </c>
      <c r="CG32" s="7">
        <v>41.5</v>
      </c>
      <c r="CH32" s="7">
        <v>33.200000000000003</v>
      </c>
      <c r="CI32" s="7">
        <v>34</v>
      </c>
      <c r="CJ32" s="7">
        <v>38.700000000000003</v>
      </c>
      <c r="CK32" s="7">
        <v>33.5</v>
      </c>
      <c r="CL32" s="158" t="s">
        <v>45</v>
      </c>
      <c r="CM32" s="280">
        <v>57.1</v>
      </c>
      <c r="CN32" s="280">
        <v>63.5</v>
      </c>
      <c r="CO32" s="280">
        <v>67</v>
      </c>
      <c r="CP32" s="280">
        <v>57.5</v>
      </c>
      <c r="CQ32" s="280">
        <v>55.4</v>
      </c>
      <c r="CR32" s="280">
        <v>60.2</v>
      </c>
      <c r="CS32" s="280">
        <v>60.8</v>
      </c>
      <c r="CT32" s="280">
        <v>54.7</v>
      </c>
      <c r="CU32" s="280">
        <v>49.2</v>
      </c>
      <c r="CV32" s="280">
        <v>51</v>
      </c>
      <c r="CW32" s="158" t="s">
        <v>45</v>
      </c>
      <c r="CX32" s="280">
        <v>65.7</v>
      </c>
      <c r="CY32" s="280">
        <v>64.5</v>
      </c>
      <c r="CZ32" s="280">
        <v>74.900000000000006</v>
      </c>
      <c r="DA32" s="280">
        <v>59.5</v>
      </c>
      <c r="DB32" s="280">
        <v>59.3</v>
      </c>
      <c r="DC32" s="280">
        <v>64.8</v>
      </c>
      <c r="DD32" s="280">
        <v>78.099999999999994</v>
      </c>
      <c r="DE32" s="280">
        <v>66</v>
      </c>
      <c r="DF32" s="280">
        <v>62.4</v>
      </c>
      <c r="DG32" s="280">
        <v>74.5</v>
      </c>
      <c r="DH32" s="158" t="s">
        <v>45</v>
      </c>
      <c r="DI32" s="280">
        <v>76.5</v>
      </c>
      <c r="DJ32" s="280">
        <v>84.3</v>
      </c>
      <c r="DK32" s="280">
        <v>84.3</v>
      </c>
      <c r="DL32" s="280">
        <v>77.900000000000006</v>
      </c>
      <c r="DM32" s="280">
        <v>69.900000000000006</v>
      </c>
      <c r="DN32" s="280">
        <v>84.1</v>
      </c>
      <c r="DO32" s="280">
        <v>84.1</v>
      </c>
      <c r="DP32" s="280">
        <v>77.099999999999994</v>
      </c>
      <c r="DQ32" s="280">
        <v>79.8</v>
      </c>
      <c r="DR32" s="280">
        <v>78.5</v>
      </c>
      <c r="DS32" s="132" t="s">
        <v>45</v>
      </c>
      <c r="DT32" s="281"/>
      <c r="DU32" s="281"/>
      <c r="DV32" s="281"/>
      <c r="DW32" s="281"/>
      <c r="DX32" s="281"/>
      <c r="DY32" s="281"/>
      <c r="DZ32" s="281"/>
      <c r="EA32" s="281"/>
      <c r="EB32" s="281"/>
      <c r="EC32" s="281"/>
      <c r="ED32" s="158" t="s">
        <v>45</v>
      </c>
      <c r="EE32" s="281"/>
      <c r="EF32" s="281"/>
      <c r="EG32" s="281"/>
      <c r="EH32" s="280"/>
      <c r="EI32" s="281"/>
      <c r="EJ32" s="280"/>
      <c r="EK32" s="280"/>
      <c r="EL32" s="280"/>
      <c r="EM32" s="281"/>
      <c r="EN32" s="281"/>
      <c r="EO32" s="158" t="s">
        <v>45</v>
      </c>
      <c r="EP32" s="280">
        <v>56.5</v>
      </c>
      <c r="EQ32" s="280">
        <v>55.3</v>
      </c>
      <c r="ER32" s="280">
        <v>55.4</v>
      </c>
      <c r="ES32" s="280">
        <v>52.8</v>
      </c>
      <c r="ET32" s="280">
        <v>51.5</v>
      </c>
      <c r="EU32" s="280">
        <v>52.5</v>
      </c>
      <c r="EV32" s="280">
        <v>52.4</v>
      </c>
      <c r="EW32" s="280">
        <v>54.1</v>
      </c>
      <c r="EX32" s="280">
        <v>53.8</v>
      </c>
      <c r="EY32" s="280">
        <v>48.9</v>
      </c>
      <c r="EZ32" s="2" t="s">
        <v>45</v>
      </c>
      <c r="FA32" s="280">
        <v>20.9</v>
      </c>
      <c r="FB32" s="280">
        <v>22.3</v>
      </c>
      <c r="FC32" s="280">
        <v>23</v>
      </c>
      <c r="FD32" s="280">
        <v>18</v>
      </c>
      <c r="FE32" s="280">
        <v>18.899999999999999</v>
      </c>
      <c r="FF32" s="280">
        <v>24.1</v>
      </c>
      <c r="FG32" s="280">
        <v>22.7</v>
      </c>
      <c r="FH32" s="280">
        <v>20.6</v>
      </c>
      <c r="FI32" s="280">
        <v>21.3</v>
      </c>
      <c r="FJ32" s="280">
        <v>19.600000000000001</v>
      </c>
      <c r="FK32" s="2" t="s">
        <v>45</v>
      </c>
      <c r="FL32" s="280">
        <v>13.2</v>
      </c>
      <c r="FM32" s="280">
        <v>15.2</v>
      </c>
      <c r="FN32" s="280">
        <v>15.4</v>
      </c>
      <c r="FO32" s="280">
        <v>13.3</v>
      </c>
      <c r="FP32" s="280">
        <v>11.3</v>
      </c>
      <c r="FQ32" s="280">
        <v>16</v>
      </c>
      <c r="FR32" s="280">
        <v>14.9</v>
      </c>
      <c r="FS32" s="280">
        <v>11.3</v>
      </c>
      <c r="FT32" s="280">
        <v>11.2</v>
      </c>
      <c r="FU32" s="280">
        <v>15.7</v>
      </c>
      <c r="FV32" s="2" t="s">
        <v>45</v>
      </c>
      <c r="FW32" s="280">
        <v>70.900000000000006</v>
      </c>
      <c r="FX32" s="280">
        <v>75.400000000000006</v>
      </c>
      <c r="FY32" s="280">
        <v>82.3</v>
      </c>
      <c r="FZ32" s="280">
        <v>67.099999999999994</v>
      </c>
      <c r="GA32" s="280">
        <v>61.8</v>
      </c>
      <c r="GB32" s="280">
        <v>73</v>
      </c>
      <c r="GC32" s="280">
        <v>81.3</v>
      </c>
      <c r="GD32" s="280">
        <v>66.5</v>
      </c>
      <c r="GE32" s="280">
        <v>63</v>
      </c>
      <c r="GF32" s="280">
        <v>76.099999999999994</v>
      </c>
      <c r="GG32" s="2" t="s">
        <v>45</v>
      </c>
      <c r="GH32" s="281"/>
      <c r="GI32" s="280">
        <v>2.6</v>
      </c>
      <c r="GJ32" s="280">
        <v>3.3</v>
      </c>
      <c r="GK32" s="281"/>
      <c r="GL32" s="281"/>
      <c r="GM32" s="280">
        <v>2.5</v>
      </c>
      <c r="GN32" s="280">
        <v>4.5</v>
      </c>
      <c r="GO32" s="281"/>
      <c r="GP32" s="280">
        <v>2.5</v>
      </c>
      <c r="GQ32" s="280">
        <v>3.7</v>
      </c>
      <c r="GR32" s="158" t="s">
        <v>45</v>
      </c>
      <c r="GS32" s="280">
        <v>13.2</v>
      </c>
      <c r="GT32" s="280">
        <v>14</v>
      </c>
      <c r="GU32" s="280">
        <v>13.5</v>
      </c>
      <c r="GV32" s="280">
        <v>14.8</v>
      </c>
      <c r="GW32" s="280">
        <v>15.9</v>
      </c>
      <c r="GX32" s="280">
        <v>11.4</v>
      </c>
      <c r="GY32" s="280">
        <v>12.9</v>
      </c>
      <c r="GZ32" s="280">
        <v>14.1</v>
      </c>
      <c r="HA32" s="280">
        <v>13.8</v>
      </c>
      <c r="HB32" s="280">
        <v>13.6</v>
      </c>
      <c r="HC32" s="2" t="s">
        <v>45</v>
      </c>
      <c r="HD32" s="280">
        <v>7.6</v>
      </c>
      <c r="HE32" s="280">
        <v>9.1</v>
      </c>
      <c r="HF32" s="280">
        <v>12</v>
      </c>
      <c r="HG32" s="280">
        <v>10.9</v>
      </c>
      <c r="HH32" s="280">
        <v>9.8000000000000007</v>
      </c>
      <c r="HI32" s="280">
        <v>10.3</v>
      </c>
      <c r="HJ32" s="280">
        <v>14.3</v>
      </c>
      <c r="HK32" s="280">
        <v>12.6</v>
      </c>
      <c r="HL32" s="280">
        <v>8.4</v>
      </c>
      <c r="HM32" s="280">
        <v>9</v>
      </c>
      <c r="HN32" s="279" t="s">
        <v>45</v>
      </c>
      <c r="HO32" s="280">
        <v>12.9</v>
      </c>
      <c r="HP32" s="280">
        <v>14.5</v>
      </c>
      <c r="HQ32" s="280">
        <v>17.3</v>
      </c>
      <c r="HR32" s="280">
        <v>9.6999999999999993</v>
      </c>
      <c r="HS32" s="280">
        <v>9.6</v>
      </c>
      <c r="HT32" s="280">
        <v>11.6</v>
      </c>
      <c r="HU32" s="280">
        <v>12.3</v>
      </c>
      <c r="HV32" s="280">
        <v>10.1</v>
      </c>
      <c r="HW32" s="280">
        <v>13.5</v>
      </c>
      <c r="HX32" s="280">
        <v>13.7</v>
      </c>
      <c r="HY32" s="2" t="s">
        <v>45</v>
      </c>
      <c r="HZ32" s="281"/>
      <c r="IA32" s="280">
        <v>2.7</v>
      </c>
      <c r="IB32" s="280">
        <v>2.7</v>
      </c>
      <c r="IC32" s="280">
        <v>4.4000000000000004</v>
      </c>
      <c r="ID32" s="280">
        <v>3.4</v>
      </c>
      <c r="IE32" s="280">
        <v>4.5</v>
      </c>
      <c r="IF32" s="280">
        <v>3.6</v>
      </c>
      <c r="IG32" s="280">
        <v>3.1</v>
      </c>
      <c r="IH32" s="281"/>
      <c r="II32" s="281"/>
      <c r="IJ32" s="2" t="s">
        <v>45</v>
      </c>
      <c r="IK32" s="281"/>
      <c r="IL32" s="281"/>
      <c r="IM32" s="281"/>
      <c r="IN32" s="281"/>
      <c r="IO32" s="281"/>
      <c r="IP32" s="281"/>
      <c r="IQ32" s="281"/>
      <c r="IR32" s="281"/>
      <c r="IS32" s="281"/>
      <c r="IT32" s="281"/>
      <c r="IU32" s="2" t="s">
        <v>45</v>
      </c>
      <c r="IV32" s="281"/>
      <c r="IW32" s="280">
        <v>2.8</v>
      </c>
      <c r="IX32" s="280">
        <v>4.0999999999999996</v>
      </c>
      <c r="IY32" s="281"/>
      <c r="IZ32" s="281"/>
      <c r="JA32" s="280">
        <v>2.5</v>
      </c>
      <c r="JB32" s="280">
        <v>5</v>
      </c>
      <c r="JC32" s="281"/>
      <c r="JD32" s="280">
        <v>2.8</v>
      </c>
      <c r="JE32" s="280">
        <v>4.0999999999999996</v>
      </c>
      <c r="JF32" s="2" t="s">
        <v>45</v>
      </c>
      <c r="JG32" s="280">
        <v>6.7</v>
      </c>
      <c r="JH32" s="280">
        <v>10</v>
      </c>
      <c r="JI32" s="280">
        <v>11.5</v>
      </c>
      <c r="JJ32" s="280">
        <v>9.1</v>
      </c>
      <c r="JK32" s="280">
        <v>9.1999999999999993</v>
      </c>
      <c r="JL32" s="280">
        <v>9.1</v>
      </c>
      <c r="JM32" s="280">
        <v>11.1</v>
      </c>
      <c r="JN32" s="280">
        <v>10.4</v>
      </c>
      <c r="JO32" s="280">
        <v>6.6</v>
      </c>
      <c r="JP32" s="280">
        <v>6.8</v>
      </c>
      <c r="JQ32" s="158" t="s">
        <v>45</v>
      </c>
      <c r="JR32" s="280">
        <v>9.3000000000000007</v>
      </c>
      <c r="JS32" s="280">
        <v>9.4</v>
      </c>
      <c r="JT32" s="280">
        <v>10.9</v>
      </c>
      <c r="JU32" s="280">
        <v>8.6999999999999993</v>
      </c>
      <c r="JV32" s="280">
        <v>9.3000000000000007</v>
      </c>
      <c r="JW32" s="280">
        <v>7.5</v>
      </c>
      <c r="JX32" s="280">
        <v>7.7</v>
      </c>
      <c r="JY32" s="280">
        <v>7.2</v>
      </c>
      <c r="JZ32" s="280">
        <v>8.5</v>
      </c>
      <c r="KA32" s="280">
        <v>9.4</v>
      </c>
      <c r="KB32" s="2" t="s">
        <v>45</v>
      </c>
      <c r="KC32" s="280">
        <v>23.6</v>
      </c>
      <c r="KD32" s="280">
        <v>19.899999999999999</v>
      </c>
      <c r="KE32" s="280">
        <v>30.5</v>
      </c>
      <c r="KF32" s="280">
        <v>20.399999999999999</v>
      </c>
      <c r="KG32" s="280">
        <v>18.399999999999999</v>
      </c>
      <c r="KH32" s="280">
        <v>24.1</v>
      </c>
      <c r="KI32" s="280">
        <v>26.8</v>
      </c>
      <c r="KJ32" s="280">
        <v>25.1</v>
      </c>
      <c r="KK32" s="280">
        <v>17.399999999999999</v>
      </c>
      <c r="KL32" s="280">
        <v>19.2</v>
      </c>
      <c r="KM32" s="2" t="s">
        <v>45</v>
      </c>
      <c r="KN32" s="280">
        <v>5.2</v>
      </c>
      <c r="KO32" s="280">
        <v>5.8</v>
      </c>
      <c r="KP32" s="280">
        <v>6</v>
      </c>
      <c r="KQ32" s="280">
        <v>4.5999999999999996</v>
      </c>
      <c r="KR32" s="280">
        <v>4.3</v>
      </c>
      <c r="KS32" s="280">
        <v>8.1</v>
      </c>
      <c r="KT32" s="280">
        <v>9.5</v>
      </c>
      <c r="KU32" s="280">
        <v>8.6</v>
      </c>
      <c r="KV32" s="280">
        <v>7.4</v>
      </c>
      <c r="KW32" s="280">
        <v>9.9</v>
      </c>
      <c r="KX32" s="2" t="s">
        <v>45</v>
      </c>
      <c r="KY32" s="280">
        <v>9.3000000000000007</v>
      </c>
      <c r="KZ32" s="280">
        <v>9.9</v>
      </c>
      <c r="LA32" s="280">
        <v>11.5</v>
      </c>
      <c r="LB32" s="280">
        <v>8.4</v>
      </c>
      <c r="LC32" s="280">
        <v>7.5</v>
      </c>
      <c r="LD32" s="280">
        <v>10.7</v>
      </c>
      <c r="LE32" s="280">
        <v>12.1</v>
      </c>
      <c r="LF32" s="280">
        <v>10</v>
      </c>
      <c r="LG32" s="280">
        <v>10.6</v>
      </c>
      <c r="LH32" s="280">
        <v>11.5</v>
      </c>
      <c r="LI32" s="158" t="s">
        <v>45</v>
      </c>
      <c r="LJ32" s="280">
        <v>4.8</v>
      </c>
      <c r="LK32" s="280">
        <v>3.6</v>
      </c>
      <c r="LL32" s="280">
        <v>4.4000000000000004</v>
      </c>
      <c r="LM32" s="280">
        <v>4.4000000000000004</v>
      </c>
      <c r="LN32" s="280">
        <v>4.0999999999999996</v>
      </c>
      <c r="LO32" s="280">
        <v>4.2</v>
      </c>
      <c r="LP32" s="280">
        <v>4.5</v>
      </c>
      <c r="LQ32" s="280">
        <v>4</v>
      </c>
      <c r="LR32" s="280">
        <v>3.6</v>
      </c>
      <c r="LS32" s="280">
        <v>6</v>
      </c>
      <c r="LT32" s="2" t="s">
        <v>45</v>
      </c>
      <c r="LU32" s="281"/>
      <c r="LV32" s="281"/>
      <c r="LW32" s="281"/>
      <c r="LX32" s="281"/>
      <c r="LY32" s="281"/>
      <c r="LZ32" s="281"/>
      <c r="MA32" s="281"/>
      <c r="MB32" s="281"/>
      <c r="MC32" s="281"/>
      <c r="MD32" s="281"/>
      <c r="ME32" s="158" t="s">
        <v>45</v>
      </c>
      <c r="MF32" s="280">
        <v>6.5</v>
      </c>
      <c r="MG32" s="280">
        <v>7.2</v>
      </c>
      <c r="MH32" s="280">
        <v>5.0999999999999996</v>
      </c>
      <c r="MI32" s="280">
        <v>4</v>
      </c>
      <c r="MJ32" s="280">
        <v>5</v>
      </c>
      <c r="MK32" s="280">
        <v>5.8</v>
      </c>
      <c r="ML32" s="280">
        <v>6.6</v>
      </c>
      <c r="MM32" s="280">
        <v>4.3</v>
      </c>
      <c r="MN32" s="280">
        <v>4.5999999999999996</v>
      </c>
      <c r="MO32" s="280">
        <v>5.7</v>
      </c>
      <c r="MP32" s="158" t="s">
        <v>45</v>
      </c>
      <c r="MQ32" s="280">
        <v>11.2</v>
      </c>
      <c r="MR32" s="280">
        <v>12.4</v>
      </c>
      <c r="MS32" s="280">
        <v>13.2</v>
      </c>
      <c r="MT32" s="280">
        <v>13.6</v>
      </c>
      <c r="MU32" s="280">
        <v>11.5</v>
      </c>
      <c r="MV32" s="280">
        <v>13</v>
      </c>
      <c r="MW32" s="280">
        <v>13.7</v>
      </c>
      <c r="MX32" s="280">
        <v>17.100000000000001</v>
      </c>
      <c r="MY32" s="280">
        <v>16.7</v>
      </c>
      <c r="MZ32" s="280">
        <v>17.8</v>
      </c>
      <c r="NA32" s="158" t="s">
        <v>45</v>
      </c>
      <c r="NB32" s="280">
        <v>11.6</v>
      </c>
      <c r="NC32" s="280">
        <v>12.2</v>
      </c>
      <c r="ND32" s="280">
        <v>14.6</v>
      </c>
      <c r="NE32" s="280">
        <v>14.5</v>
      </c>
      <c r="NF32" s="280">
        <v>13.6</v>
      </c>
      <c r="NG32" s="280">
        <v>15.5</v>
      </c>
      <c r="NH32" s="280">
        <v>12.8</v>
      </c>
      <c r="NI32" s="280">
        <v>8.8000000000000007</v>
      </c>
      <c r="NJ32" s="280">
        <v>10.4</v>
      </c>
      <c r="NK32" s="280">
        <v>10</v>
      </c>
      <c r="NL32" s="158" t="s">
        <v>45</v>
      </c>
      <c r="NM32" s="280">
        <v>28.2</v>
      </c>
      <c r="NN32" s="280">
        <v>29.9</v>
      </c>
      <c r="NO32" s="280">
        <v>25.4</v>
      </c>
      <c r="NP32" s="280">
        <v>33.700000000000003</v>
      </c>
      <c r="NQ32" s="280">
        <v>29.6</v>
      </c>
      <c r="NR32" s="280">
        <v>28.1</v>
      </c>
      <c r="NS32" s="280">
        <v>23.9</v>
      </c>
      <c r="NT32" s="280">
        <v>27.3</v>
      </c>
      <c r="NU32" s="280">
        <v>31.1</v>
      </c>
      <c r="NV32" s="280">
        <v>27.1</v>
      </c>
      <c r="NW32" s="2" t="s">
        <v>45</v>
      </c>
      <c r="NX32" s="280">
        <v>63.2</v>
      </c>
      <c r="NY32" s="280">
        <v>65.900000000000006</v>
      </c>
      <c r="NZ32" s="280">
        <v>66.5</v>
      </c>
      <c r="OA32" s="280">
        <v>57.3</v>
      </c>
      <c r="OB32" s="280">
        <v>53.1</v>
      </c>
      <c r="OC32" s="280">
        <v>62.6</v>
      </c>
      <c r="OD32" s="280">
        <v>67.900000000000006</v>
      </c>
      <c r="OE32" s="280">
        <v>56.5</v>
      </c>
      <c r="OF32" s="280">
        <v>55.7</v>
      </c>
      <c r="OG32" s="280">
        <v>60.1</v>
      </c>
      <c r="OH32" s="191" t="s">
        <v>45</v>
      </c>
      <c r="OI32" s="192">
        <v>3.6</v>
      </c>
      <c r="OJ32" s="192">
        <v>3.4</v>
      </c>
      <c r="OK32" s="192">
        <v>4.2</v>
      </c>
      <c r="OL32" s="192">
        <v>4.3</v>
      </c>
      <c r="OM32" s="192">
        <v>4.4000000000000004</v>
      </c>
      <c r="ON32" s="192">
        <v>4.2</v>
      </c>
      <c r="OO32" s="192">
        <v>4.8</v>
      </c>
      <c r="OP32" s="192">
        <v>4.8</v>
      </c>
      <c r="OQ32" s="192">
        <v>4.8</v>
      </c>
      <c r="OR32" s="192">
        <v>4.3</v>
      </c>
      <c r="OS32" s="2" t="s">
        <v>45</v>
      </c>
      <c r="OT32" s="340">
        <v>1</v>
      </c>
      <c r="OU32" s="340">
        <v>-0.3</v>
      </c>
      <c r="OV32" s="340">
        <v>-0.8</v>
      </c>
      <c r="OW32" s="340">
        <v>2</v>
      </c>
      <c r="OX32" s="340">
        <v>0.4</v>
      </c>
      <c r="OY32" s="340">
        <v>0.8</v>
      </c>
      <c r="OZ32" s="340">
        <v>0.5</v>
      </c>
      <c r="PA32" s="340">
        <v>0.2</v>
      </c>
      <c r="PB32" s="340">
        <v>0.3</v>
      </c>
      <c r="PC32" s="340">
        <v>0.4</v>
      </c>
      <c r="PE32" s="210">
        <f>E32-'[1]Data-temp_employment'!F32</f>
        <v>1</v>
      </c>
      <c r="PF32" s="210">
        <f>F32-'[1]Data-temp_employment'!G32</f>
        <v>0</v>
      </c>
      <c r="PG32" s="210">
        <f>O32-'[1]Data-temp_employment'!P32</f>
        <v>19.099999999999994</v>
      </c>
      <c r="PH32" s="210">
        <f>P32-'[1]Data-temp_employment'!Q32</f>
        <v>24</v>
      </c>
      <c r="PI32" s="210">
        <f>AD32-'[1]Data-temp_employment'!AE32</f>
        <v>-2.5</v>
      </c>
      <c r="PJ32" s="210">
        <f>AE32-'[1]Data-temp_employment'!AF32</f>
        <v>2.5999999999999996</v>
      </c>
      <c r="PK32" s="210">
        <f>BR32-'[1]Data-temp_employment'!BS32</f>
        <v>2.6000000000000014</v>
      </c>
      <c r="PL32" s="210">
        <f>BS32-'[1]Data-temp_employment'!BT32</f>
        <v>-1.5</v>
      </c>
      <c r="PM32" s="210">
        <f>CC32-'[1]Data-temp_employment'!CD32</f>
        <v>1.8999999999999986</v>
      </c>
      <c r="PN32" s="210">
        <f>CD32-'[1]Data-temp_employment'!CE32</f>
        <v>6.3000000000000043</v>
      </c>
      <c r="PO32" s="210">
        <f>CR32-'[1]Data-temp_employment'!CS32</f>
        <v>-3.2999999999999972</v>
      </c>
      <c r="PP32" s="210">
        <f>CS32-'[1]Data-temp_employment'!CT32</f>
        <v>-6.2000000000000028</v>
      </c>
      <c r="PQ32" s="210">
        <f>DC32-'[1]Data-temp_employment'!DD32</f>
        <v>0.29999999999999716</v>
      </c>
      <c r="PR32" s="210">
        <f>DD32-'[1]Data-temp_employment'!DE32</f>
        <v>3.1999999999999886</v>
      </c>
      <c r="PS32" s="210">
        <f>DN32-'[1]Data-temp_employment'!DO32</f>
        <v>-0.20000000000000284</v>
      </c>
      <c r="PT32" s="210">
        <f>DO32-'[1]Data-temp_employment'!DP32</f>
        <v>-0.20000000000000284</v>
      </c>
      <c r="PU32" s="210">
        <f>EF32-'[1]Data-temp_employment'!EG32</f>
        <v>0</v>
      </c>
      <c r="PV32" s="210">
        <f>EG32-'[1]Data-temp_employment'!EH32</f>
        <v>0</v>
      </c>
      <c r="PW32" s="210">
        <f>EU32-'[1]Data-temp_employment'!EV32</f>
        <v>-2.7999999999999972</v>
      </c>
      <c r="PX32" s="210">
        <f>EV32-'[1]Data-temp_employment'!EW32</f>
        <v>-3</v>
      </c>
      <c r="PY32" s="210">
        <f>FF32-'[1]Data-temp_employment'!FG32</f>
        <v>1.8000000000000007</v>
      </c>
      <c r="PZ32" s="210">
        <f>FG32-'[1]Data-temp_employment'!FH32</f>
        <v>-0.30000000000000071</v>
      </c>
      <c r="QA32" s="210">
        <f>FQ32-'[1]Data-temp_employment'!FR32</f>
        <v>0.80000000000000071</v>
      </c>
      <c r="QB32" s="210">
        <f>FR32-'[1]Data-temp_employment'!FS32</f>
        <v>-0.5</v>
      </c>
      <c r="QC32" s="210">
        <f>GB32-'[1]Data-temp_employment'!GC32</f>
        <v>-2.4000000000000057</v>
      </c>
      <c r="QD32" s="210">
        <f>GC32-'[1]Data-temp_employment'!GD32</f>
        <v>-1</v>
      </c>
      <c r="QE32" s="210">
        <f>GM32-'[1]Data-temp_employment'!GN32</f>
        <v>-0.10000000000000009</v>
      </c>
      <c r="QF32" s="210">
        <f>GN32-'[1]Data-temp_employment'!GO32</f>
        <v>1.2000000000000002</v>
      </c>
      <c r="QG32" s="210">
        <f>GX32-'[1]Data-temp_employment'!GY32</f>
        <v>-2.5999999999999996</v>
      </c>
      <c r="QH32" s="210">
        <f>GY32-'[1]Data-temp_employment'!GZ32</f>
        <v>-0.59999999999999964</v>
      </c>
      <c r="QI32" s="210">
        <f>HI32-'[1]Data-temp_employment'!HJ32</f>
        <v>1.2000000000000011</v>
      </c>
      <c r="QJ32" s="210">
        <f>HJ32-'[1]Data-temp_employment'!HK32</f>
        <v>2.3000000000000007</v>
      </c>
      <c r="QK32" s="210">
        <f>HT32-'[1]Data-temp_employment'!HU32</f>
        <v>-2.9000000000000004</v>
      </c>
      <c r="QL32" s="210">
        <f>HU32-'[1]Data-temp_employment'!HV32</f>
        <v>-5</v>
      </c>
      <c r="QM32" s="210">
        <f>IE32-'[1]Data-temp_employment'!IF32</f>
        <v>1.7999999999999998</v>
      </c>
      <c r="QN32" s="210">
        <f>IF32-'[1]Data-temp_employment'!IG32</f>
        <v>0.89999999999999991</v>
      </c>
      <c r="QO32" s="210">
        <f>JA32-'[1]Data-temp_employment'!JB32</f>
        <v>-0.29999999999999982</v>
      </c>
      <c r="QP32" s="210">
        <f>JB32-'[1]Data-temp_employment'!JC32</f>
        <v>0.90000000000000036</v>
      </c>
      <c r="QQ32" s="210">
        <f>JH32-'[1]Data-temp_employment'!JI32</f>
        <v>-0.90000000000000036</v>
      </c>
      <c r="QR32" s="210">
        <f>JI32-'[1]Data-temp_employment'!JJ32</f>
        <v>3.1999999999999993</v>
      </c>
      <c r="QS32" s="210">
        <f>JS32-'[1]Data-temp_employment'!JT32</f>
        <v>2.7</v>
      </c>
      <c r="QT32" s="210">
        <f>JT32-'[1]Data-temp_employment'!JU32</f>
        <v>0.30000000000000071</v>
      </c>
      <c r="QU32" s="210">
        <f>KD32-'[1]Data-temp_employment'!KE32</f>
        <v>-2.3000000000000007</v>
      </c>
      <c r="QV32" s="210">
        <f>KE32-'[1]Data-temp_employment'!KF32</f>
        <v>5.1999999999999993</v>
      </c>
      <c r="QW32" s="210">
        <f>KO32-'[1]Data-temp_employment'!KP32</f>
        <v>-0.60000000000000053</v>
      </c>
      <c r="QX32" s="210">
        <f>KP32-'[1]Data-temp_employment'!KQ32</f>
        <v>-5.5</v>
      </c>
      <c r="QY32" s="210">
        <f>LD32-'[1]Data-temp_employment'!LE32</f>
        <v>0.79999999999999893</v>
      </c>
      <c r="QZ32" s="210">
        <f>LE32-'[1]Data-temp_employment'!LF32</f>
        <v>0.59999999999999964</v>
      </c>
      <c r="RA32" s="210">
        <f>LK32-'[1]Data-temp_employment'!LL32</f>
        <v>-1.3000000000000003</v>
      </c>
      <c r="RB32" s="210">
        <f>LL32-'[1]Data-temp_employment'!LM32</f>
        <v>-0.29999999999999982</v>
      </c>
      <c r="RC32" s="210">
        <f>LV32-'[1]Data-temp_employment'!LW32</f>
        <v>0</v>
      </c>
      <c r="RD32" s="210">
        <f>LW32-'[1]Data-temp_employment'!LX32</f>
        <v>0</v>
      </c>
      <c r="RE32" s="210">
        <f>MK32-'[1]Data-temp_employment'!ML32</f>
        <v>-1.4000000000000004</v>
      </c>
      <c r="RF32" s="210">
        <f>ML32-'[1]Data-temp_employment'!MM32</f>
        <v>1.5</v>
      </c>
      <c r="RG32" s="210">
        <f>MV32-'[1]Data-temp_employment'!MW32</f>
        <v>0.59999999999999964</v>
      </c>
      <c r="RH32" s="210">
        <f>MW32-'[1]Data-temp_employment'!MX32</f>
        <v>0.5</v>
      </c>
      <c r="RI32" s="210">
        <f>NG32-'[1]Data-temp_employment'!NH32</f>
        <v>3.3000000000000007</v>
      </c>
      <c r="RJ32" s="210">
        <f>NH32-'[1]Data-temp_employment'!NI32</f>
        <v>-1.7999999999999989</v>
      </c>
      <c r="RK32" s="210">
        <f>NR32-'[1]Data-temp_employment'!NS32</f>
        <v>-1.7999999999999972</v>
      </c>
      <c r="RL32" s="210">
        <f>NS32-'[1]Data-temp_employment'!NT32</f>
        <v>-1.5</v>
      </c>
      <c r="RM32" s="210">
        <f>OC32-'[1]Data-temp_employment'!OD32</f>
        <v>-3.3000000000000043</v>
      </c>
      <c r="RN32" s="210">
        <f>OD32-'[1]Data-temp_employment'!OE32</f>
        <v>1.4000000000000057</v>
      </c>
      <c r="RO32" s="210">
        <f>OT32-'[1]Data-temp_employment'!OV32</f>
        <v>0.5</v>
      </c>
      <c r="RP32" s="210">
        <f>OU32-'[1]Data-temp_employment'!OW32</f>
        <v>-1.8</v>
      </c>
      <c r="RQ32" s="13"/>
    </row>
    <row r="33" spans="1:485">
      <c r="A33">
        <v>30</v>
      </c>
      <c r="B33" s="158" t="s">
        <v>36</v>
      </c>
      <c r="C33" s="332">
        <v>27.7</v>
      </c>
      <c r="D33" s="332">
        <v>28.2</v>
      </c>
      <c r="E33" s="332">
        <v>27.3</v>
      </c>
      <c r="F33" s="332">
        <v>26.7</v>
      </c>
      <c r="G33" s="332">
        <v>26.3</v>
      </c>
      <c r="H33" s="332">
        <v>26.7</v>
      </c>
      <c r="I33" s="332">
        <v>26</v>
      </c>
      <c r="J33" s="332">
        <v>25.5</v>
      </c>
      <c r="K33" s="332">
        <v>25.3</v>
      </c>
      <c r="L33" s="332">
        <v>24.8</v>
      </c>
      <c r="M33" s="158" t="s">
        <v>36</v>
      </c>
      <c r="N33" s="332">
        <v>3469.5</v>
      </c>
      <c r="O33" s="332">
        <v>3569</v>
      </c>
      <c r="P33" s="332">
        <v>3480.1</v>
      </c>
      <c r="Q33" s="332">
        <v>3422.1</v>
      </c>
      <c r="R33" s="332">
        <v>3345.7</v>
      </c>
      <c r="S33" s="332">
        <v>3469.9</v>
      </c>
      <c r="T33" s="332">
        <v>3359.1</v>
      </c>
      <c r="U33" s="332">
        <v>3281.6</v>
      </c>
      <c r="V33" s="332">
        <v>3263.1</v>
      </c>
      <c r="W33" s="332">
        <v>3219.8</v>
      </c>
      <c r="X33" s="158" t="s">
        <v>36</v>
      </c>
      <c r="Y33" s="332">
        <v>90.7</v>
      </c>
      <c r="Z33" s="332">
        <v>75</v>
      </c>
      <c r="AA33" s="332">
        <v>67.099999999999994</v>
      </c>
      <c r="AB33" s="332">
        <v>61.7</v>
      </c>
      <c r="AC33" s="332">
        <v>59.8</v>
      </c>
      <c r="AD33" s="332">
        <v>65.3</v>
      </c>
      <c r="AE33" s="332">
        <v>72.099999999999994</v>
      </c>
      <c r="AF33" s="332">
        <v>52.5</v>
      </c>
      <c r="AG33" s="332">
        <v>55.5</v>
      </c>
      <c r="AH33" s="332">
        <v>54.1</v>
      </c>
      <c r="AI33" s="158" t="s">
        <v>36</v>
      </c>
      <c r="AJ33" s="332">
        <v>482.6</v>
      </c>
      <c r="AK33" s="332">
        <v>497.6</v>
      </c>
      <c r="AL33" s="332">
        <v>504.6</v>
      </c>
      <c r="AM33" s="332">
        <v>527.20000000000005</v>
      </c>
      <c r="AN33" s="332">
        <v>448.3</v>
      </c>
      <c r="AO33" s="332">
        <v>432.4</v>
      </c>
      <c r="AP33" s="332">
        <v>459.1</v>
      </c>
      <c r="AQ33" s="332">
        <v>439.1</v>
      </c>
      <c r="AR33" s="332">
        <v>440</v>
      </c>
      <c r="AS33" s="332">
        <v>434.2</v>
      </c>
      <c r="AT33" s="158" t="s">
        <v>36</v>
      </c>
      <c r="AU33" s="332">
        <v>372.4</v>
      </c>
      <c r="AV33" s="332">
        <v>402.2</v>
      </c>
      <c r="AW33" s="332">
        <v>454.9</v>
      </c>
      <c r="AX33" s="332">
        <v>414.4</v>
      </c>
      <c r="AY33" s="332">
        <v>344.7</v>
      </c>
      <c r="AZ33" s="332">
        <v>405.9</v>
      </c>
      <c r="BA33" s="332">
        <v>419.6</v>
      </c>
      <c r="BB33" s="332">
        <v>402.1</v>
      </c>
      <c r="BC33" s="332">
        <v>339.8</v>
      </c>
      <c r="BD33" s="332">
        <v>364.3</v>
      </c>
      <c r="BE33" s="158" t="s">
        <v>36</v>
      </c>
      <c r="BF33" s="280">
        <v>998.2</v>
      </c>
      <c r="BG33" s="280">
        <v>1075.9000000000001</v>
      </c>
      <c r="BH33" s="280">
        <v>1028.5999999999999</v>
      </c>
      <c r="BI33" s="280">
        <v>1017.5</v>
      </c>
      <c r="BJ33" s="280">
        <v>1048</v>
      </c>
      <c r="BK33" s="280">
        <v>1116.9000000000001</v>
      </c>
      <c r="BL33" s="280">
        <v>1069.4000000000001</v>
      </c>
      <c r="BM33" s="280">
        <v>1055.0999999999999</v>
      </c>
      <c r="BN33" s="280">
        <v>1068.8</v>
      </c>
      <c r="BO33" s="280">
        <v>1066.0999999999999</v>
      </c>
      <c r="BP33" s="158" t="s">
        <v>36</v>
      </c>
      <c r="BQ33" s="7">
        <v>672.9</v>
      </c>
      <c r="BR33" s="7">
        <v>706.2</v>
      </c>
      <c r="BS33" s="7">
        <v>677.1</v>
      </c>
      <c r="BT33" s="7">
        <v>666.5</v>
      </c>
      <c r="BU33" s="7">
        <v>706.8</v>
      </c>
      <c r="BV33" s="7">
        <v>742.09999999999991</v>
      </c>
      <c r="BW33" s="7">
        <v>691.2</v>
      </c>
      <c r="BX33" s="7">
        <v>669.3</v>
      </c>
      <c r="BY33" s="7">
        <v>695.4</v>
      </c>
      <c r="BZ33" s="7">
        <v>694.9</v>
      </c>
      <c r="CA33" s="6" t="s">
        <v>36</v>
      </c>
      <c r="CB33" s="7">
        <v>852.59999999999991</v>
      </c>
      <c r="CC33" s="7">
        <v>812.1</v>
      </c>
      <c r="CD33" s="7">
        <v>747.8</v>
      </c>
      <c r="CE33" s="7">
        <v>734.90000000000009</v>
      </c>
      <c r="CF33" s="7">
        <v>738.2</v>
      </c>
      <c r="CG33" s="7">
        <v>707.3</v>
      </c>
      <c r="CH33" s="7">
        <v>647.70000000000005</v>
      </c>
      <c r="CI33" s="7">
        <v>663.5</v>
      </c>
      <c r="CJ33" s="7">
        <v>663.6</v>
      </c>
      <c r="CK33" s="7">
        <v>606.20000000000005</v>
      </c>
      <c r="CL33" s="129" t="s">
        <v>36</v>
      </c>
      <c r="CM33" s="280">
        <v>283.3</v>
      </c>
      <c r="CN33" s="280">
        <v>279.10000000000002</v>
      </c>
      <c r="CO33" s="280">
        <v>268.5</v>
      </c>
      <c r="CP33" s="280">
        <v>276.89999999999998</v>
      </c>
      <c r="CQ33" s="280">
        <v>264.8</v>
      </c>
      <c r="CR33" s="280">
        <v>280.60000000000002</v>
      </c>
      <c r="CS33" s="280">
        <v>291.8</v>
      </c>
      <c r="CT33" s="280">
        <v>271.60000000000002</v>
      </c>
      <c r="CU33" s="280">
        <v>264.8</v>
      </c>
      <c r="CV33" s="280">
        <v>267.39999999999998</v>
      </c>
      <c r="CW33" s="130" t="s">
        <v>36</v>
      </c>
      <c r="CX33" s="280">
        <v>2298.6999999999998</v>
      </c>
      <c r="CY33" s="280">
        <v>2384.9</v>
      </c>
      <c r="CZ33" s="280">
        <v>2350.1999999999998</v>
      </c>
      <c r="DA33" s="280">
        <v>2285.6</v>
      </c>
      <c r="DB33" s="280">
        <v>2211.3000000000002</v>
      </c>
      <c r="DC33" s="280">
        <v>2249.8000000000002</v>
      </c>
      <c r="DD33" s="280">
        <v>2188.6</v>
      </c>
      <c r="DE33" s="280">
        <v>2187.6</v>
      </c>
      <c r="DF33" s="280">
        <v>2134.8000000000002</v>
      </c>
      <c r="DG33" s="280">
        <v>2091.8000000000002</v>
      </c>
      <c r="DH33" s="131" t="s">
        <v>36</v>
      </c>
      <c r="DI33" s="280">
        <v>887.5</v>
      </c>
      <c r="DJ33" s="280">
        <v>905</v>
      </c>
      <c r="DK33" s="280">
        <v>861.3</v>
      </c>
      <c r="DL33" s="280">
        <v>859.6</v>
      </c>
      <c r="DM33" s="280">
        <v>869.6</v>
      </c>
      <c r="DN33" s="280">
        <v>939.5</v>
      </c>
      <c r="DO33" s="280">
        <v>878.7</v>
      </c>
      <c r="DP33" s="280">
        <v>822.4</v>
      </c>
      <c r="DQ33" s="280">
        <v>863.5</v>
      </c>
      <c r="DR33" s="280">
        <v>860.6</v>
      </c>
      <c r="DS33" s="132" t="s">
        <v>36</v>
      </c>
      <c r="DT33" s="281"/>
      <c r="DU33" s="281"/>
      <c r="DV33" s="281"/>
      <c r="DW33" s="281"/>
      <c r="DX33" s="281"/>
      <c r="DY33" s="281"/>
      <c r="DZ33" s="281"/>
      <c r="EA33" s="281"/>
      <c r="EB33" s="281"/>
      <c r="EC33" s="281"/>
      <c r="ED33" s="2" t="s">
        <v>36</v>
      </c>
      <c r="EE33" s="280">
        <v>61.8</v>
      </c>
      <c r="EF33" s="280">
        <v>66.2</v>
      </c>
      <c r="EG33" s="280">
        <v>80.2</v>
      </c>
      <c r="EH33" s="280">
        <v>69.5</v>
      </c>
      <c r="EI33" s="280">
        <v>56.8</v>
      </c>
      <c r="EJ33" s="280">
        <v>65.7</v>
      </c>
      <c r="EK33" s="280">
        <v>75.5</v>
      </c>
      <c r="EL33" s="280">
        <v>61.6</v>
      </c>
      <c r="EM33" s="280">
        <v>54.3</v>
      </c>
      <c r="EN33" s="280">
        <v>61.6</v>
      </c>
      <c r="EO33" s="2" t="s">
        <v>36</v>
      </c>
      <c r="EP33" s="280">
        <v>449.1</v>
      </c>
      <c r="EQ33" s="280">
        <v>440.6</v>
      </c>
      <c r="ER33" s="280">
        <v>375.8</v>
      </c>
      <c r="ES33" s="280">
        <v>378.7</v>
      </c>
      <c r="ET33" s="280">
        <v>410.8</v>
      </c>
      <c r="EU33" s="280">
        <v>455.8</v>
      </c>
      <c r="EV33" s="280">
        <v>374.1</v>
      </c>
      <c r="EW33" s="280">
        <v>384.3</v>
      </c>
      <c r="EX33" s="280">
        <v>435.2</v>
      </c>
      <c r="EY33" s="280">
        <v>415.9</v>
      </c>
      <c r="EZ33" s="2" t="s">
        <v>36</v>
      </c>
      <c r="FA33" s="280">
        <v>321.10000000000002</v>
      </c>
      <c r="FB33" s="280">
        <v>359.9</v>
      </c>
      <c r="FC33" s="280">
        <v>380.2</v>
      </c>
      <c r="FD33" s="280">
        <v>357</v>
      </c>
      <c r="FE33" s="280">
        <v>313.39999999999998</v>
      </c>
      <c r="FF33" s="280">
        <v>353.3</v>
      </c>
      <c r="FG33" s="280">
        <v>375.5</v>
      </c>
      <c r="FH33" s="280">
        <v>378.1</v>
      </c>
      <c r="FI33" s="280">
        <v>359.2</v>
      </c>
      <c r="FJ33" s="280">
        <v>332.4</v>
      </c>
      <c r="FK33" s="2" t="s">
        <v>36</v>
      </c>
      <c r="FL33" s="280">
        <v>301.2</v>
      </c>
      <c r="FM33" s="280">
        <v>277.2</v>
      </c>
      <c r="FN33" s="280">
        <v>297.8</v>
      </c>
      <c r="FO33" s="280">
        <v>303.2</v>
      </c>
      <c r="FP33" s="280">
        <v>314.8</v>
      </c>
      <c r="FQ33" s="280">
        <v>291.10000000000002</v>
      </c>
      <c r="FR33" s="280">
        <v>291.7</v>
      </c>
      <c r="FS33" s="280">
        <v>270.3</v>
      </c>
      <c r="FT33" s="280">
        <v>251.7</v>
      </c>
      <c r="FU33" s="280">
        <v>270.89999999999998</v>
      </c>
      <c r="FV33" s="2" t="s">
        <v>36</v>
      </c>
      <c r="FW33" s="280">
        <v>739.5</v>
      </c>
      <c r="FX33" s="280">
        <v>718.2</v>
      </c>
      <c r="FY33" s="280">
        <v>719</v>
      </c>
      <c r="FZ33" s="280">
        <v>756.8</v>
      </c>
      <c r="GA33" s="280">
        <v>700.1</v>
      </c>
      <c r="GB33" s="280">
        <v>656</v>
      </c>
      <c r="GC33" s="280">
        <v>677.2</v>
      </c>
      <c r="GD33" s="280">
        <v>677</v>
      </c>
      <c r="GE33" s="280">
        <v>674.1</v>
      </c>
      <c r="GF33" s="280">
        <v>688.6</v>
      </c>
      <c r="GG33" s="2" t="s">
        <v>36</v>
      </c>
      <c r="GH33" s="280">
        <v>17.100000000000001</v>
      </c>
      <c r="GI33" s="280">
        <v>21.7</v>
      </c>
      <c r="GJ33" s="280">
        <v>23.2</v>
      </c>
      <c r="GK33" s="280">
        <v>18.399999999999999</v>
      </c>
      <c r="GL33" s="280">
        <v>22.9</v>
      </c>
      <c r="GM33" s="280">
        <v>26.6</v>
      </c>
      <c r="GN33" s="280">
        <v>23.2</v>
      </c>
      <c r="GO33" s="280">
        <v>24</v>
      </c>
      <c r="GP33" s="280">
        <v>20.5</v>
      </c>
      <c r="GQ33" s="280">
        <v>24.9</v>
      </c>
      <c r="GR33" s="158" t="s">
        <v>36</v>
      </c>
      <c r="GS33" s="280">
        <v>627.1</v>
      </c>
      <c r="GT33" s="280">
        <v>670.9</v>
      </c>
      <c r="GU33" s="280">
        <v>649.29999999999995</v>
      </c>
      <c r="GV33" s="280">
        <v>597.4</v>
      </c>
      <c r="GW33" s="280">
        <v>588.70000000000005</v>
      </c>
      <c r="GX33" s="280">
        <v>652.6</v>
      </c>
      <c r="GY33" s="280">
        <v>601.20000000000005</v>
      </c>
      <c r="GZ33" s="280">
        <v>559.6</v>
      </c>
      <c r="HA33" s="280">
        <v>580.79999999999995</v>
      </c>
      <c r="HB33" s="280">
        <v>556.20000000000005</v>
      </c>
      <c r="HC33" s="2" t="s">
        <v>36</v>
      </c>
      <c r="HD33" s="280">
        <v>430.7</v>
      </c>
      <c r="HE33" s="280">
        <v>461.6</v>
      </c>
      <c r="HF33" s="280">
        <v>436.7</v>
      </c>
      <c r="HG33" s="280">
        <v>440.9</v>
      </c>
      <c r="HH33" s="280">
        <v>418</v>
      </c>
      <c r="HI33" s="280">
        <v>424.8</v>
      </c>
      <c r="HJ33" s="280">
        <v>394</v>
      </c>
      <c r="HK33" s="280">
        <v>424.2</v>
      </c>
      <c r="HL33" s="280">
        <v>431.7</v>
      </c>
      <c r="HM33" s="280">
        <v>394.5</v>
      </c>
      <c r="HN33" s="279" t="s">
        <v>36</v>
      </c>
      <c r="HO33" s="280">
        <v>484.3</v>
      </c>
      <c r="HP33" s="280">
        <v>503</v>
      </c>
      <c r="HQ33" s="280">
        <v>479.6</v>
      </c>
      <c r="HR33" s="280">
        <v>459.9</v>
      </c>
      <c r="HS33" s="280">
        <v>477.3</v>
      </c>
      <c r="HT33" s="280">
        <v>504.8</v>
      </c>
      <c r="HU33" s="280">
        <v>504.8</v>
      </c>
      <c r="HV33" s="280">
        <v>460</v>
      </c>
      <c r="HW33" s="280">
        <v>413.5</v>
      </c>
      <c r="HX33" s="280">
        <v>439</v>
      </c>
      <c r="HY33" s="2" t="s">
        <v>36</v>
      </c>
      <c r="HZ33" s="280">
        <v>29.1</v>
      </c>
      <c r="IA33" s="280">
        <v>26.8</v>
      </c>
      <c r="IB33" s="280">
        <v>20.8</v>
      </c>
      <c r="IC33" s="280">
        <v>24.8</v>
      </c>
      <c r="ID33" s="280">
        <v>24.7</v>
      </c>
      <c r="IE33" s="280">
        <v>25.1</v>
      </c>
      <c r="IF33" s="280">
        <v>20.100000000000001</v>
      </c>
      <c r="IG33" s="280">
        <v>21.9</v>
      </c>
      <c r="IH33" s="280">
        <v>21</v>
      </c>
      <c r="II33" s="280">
        <v>20.7</v>
      </c>
      <c r="IJ33" s="2" t="s">
        <v>36</v>
      </c>
      <c r="IK33" s="280">
        <v>8.6</v>
      </c>
      <c r="IL33" s="280">
        <v>22.8</v>
      </c>
      <c r="IM33" s="280">
        <v>17.600000000000001</v>
      </c>
      <c r="IN33" s="280">
        <v>15.6</v>
      </c>
      <c r="IO33" s="280">
        <v>18.2</v>
      </c>
      <c r="IP33" s="280">
        <v>14.2</v>
      </c>
      <c r="IQ33" s="280">
        <v>21.8</v>
      </c>
      <c r="IR33" s="280">
        <v>20.6</v>
      </c>
      <c r="IS33" s="280">
        <v>21.1</v>
      </c>
      <c r="IT33" s="280">
        <v>15.2</v>
      </c>
      <c r="IU33" s="2" t="s">
        <v>36</v>
      </c>
      <c r="IV33" s="280">
        <v>63.7</v>
      </c>
      <c r="IW33" s="280">
        <v>80.3</v>
      </c>
      <c r="IX33" s="280">
        <v>76.7</v>
      </c>
      <c r="IY33" s="280">
        <v>67.3</v>
      </c>
      <c r="IZ33" s="280">
        <v>73.3</v>
      </c>
      <c r="JA33" s="280">
        <v>97</v>
      </c>
      <c r="JB33" s="280">
        <v>106.2</v>
      </c>
      <c r="JC33" s="280">
        <v>84</v>
      </c>
      <c r="JD33" s="280">
        <v>62</v>
      </c>
      <c r="JE33" s="280">
        <v>70.3</v>
      </c>
      <c r="JF33" s="2" t="s">
        <v>36</v>
      </c>
      <c r="JG33" s="280">
        <v>896.1</v>
      </c>
      <c r="JH33" s="280">
        <v>965.6</v>
      </c>
      <c r="JI33" s="280">
        <v>924</v>
      </c>
      <c r="JJ33" s="280">
        <v>866.1</v>
      </c>
      <c r="JK33" s="280">
        <v>870.2</v>
      </c>
      <c r="JL33" s="280">
        <v>923.3</v>
      </c>
      <c r="JM33" s="280">
        <v>879.6</v>
      </c>
      <c r="JN33" s="280">
        <v>852.1</v>
      </c>
      <c r="JO33" s="280">
        <v>874.1</v>
      </c>
      <c r="JP33" s="280">
        <v>808.7</v>
      </c>
      <c r="JQ33" s="2" t="s">
        <v>36</v>
      </c>
      <c r="JR33" s="280">
        <v>318.8</v>
      </c>
      <c r="JS33" s="280">
        <v>342.8</v>
      </c>
      <c r="JT33" s="280">
        <v>365.8</v>
      </c>
      <c r="JU33" s="280">
        <v>326.10000000000002</v>
      </c>
      <c r="JV33" s="280">
        <v>307.3</v>
      </c>
      <c r="JW33" s="280">
        <v>307.2</v>
      </c>
      <c r="JX33" s="280">
        <v>297.39999999999998</v>
      </c>
      <c r="JY33" s="280">
        <v>302.5</v>
      </c>
      <c r="JZ33" s="280">
        <v>288.60000000000002</v>
      </c>
      <c r="KA33" s="280">
        <v>282.2</v>
      </c>
      <c r="KB33" s="2" t="s">
        <v>36</v>
      </c>
      <c r="KC33" s="280">
        <v>707.9</v>
      </c>
      <c r="KD33" s="280">
        <v>679.5</v>
      </c>
      <c r="KE33" s="280">
        <v>638.6</v>
      </c>
      <c r="KF33" s="280">
        <v>679.1</v>
      </c>
      <c r="KG33" s="280">
        <v>636.70000000000005</v>
      </c>
      <c r="KH33" s="280">
        <v>616.5</v>
      </c>
      <c r="KI33" s="280">
        <v>608.20000000000005</v>
      </c>
      <c r="KJ33" s="280">
        <v>596.70000000000005</v>
      </c>
      <c r="KK33" s="280">
        <v>565.5</v>
      </c>
      <c r="KL33" s="280">
        <v>579.4</v>
      </c>
      <c r="KM33" s="2" t="s">
        <v>36</v>
      </c>
      <c r="KN33" s="280">
        <v>222.4</v>
      </c>
      <c r="KO33" s="280">
        <v>204.7</v>
      </c>
      <c r="KP33" s="280">
        <v>189.3</v>
      </c>
      <c r="KQ33" s="280">
        <v>211.4</v>
      </c>
      <c r="KR33" s="280">
        <v>204.6</v>
      </c>
      <c r="KS33" s="280">
        <v>198.1</v>
      </c>
      <c r="KT33" s="280">
        <v>199.3</v>
      </c>
      <c r="KU33" s="280">
        <v>203.6</v>
      </c>
      <c r="KV33" s="280">
        <v>204</v>
      </c>
      <c r="KW33" s="280">
        <v>204.9</v>
      </c>
      <c r="KX33" s="2" t="s">
        <v>36</v>
      </c>
      <c r="KY33" s="280">
        <v>137.9</v>
      </c>
      <c r="KZ33" s="280">
        <v>164.8</v>
      </c>
      <c r="LA33" s="280">
        <v>176.9</v>
      </c>
      <c r="LB33" s="280">
        <v>158.19999999999999</v>
      </c>
      <c r="LC33" s="280">
        <v>141.80000000000001</v>
      </c>
      <c r="LD33" s="280">
        <v>154.19999999999999</v>
      </c>
      <c r="LE33" s="280">
        <v>166.3</v>
      </c>
      <c r="LF33" s="280">
        <v>151</v>
      </c>
      <c r="LG33" s="280">
        <v>164</v>
      </c>
      <c r="LH33" s="280">
        <v>146.6</v>
      </c>
      <c r="LI33" s="158" t="s">
        <v>36</v>
      </c>
      <c r="LJ33" s="280">
        <v>62.4</v>
      </c>
      <c r="LK33" s="280">
        <v>66.099999999999994</v>
      </c>
      <c r="LL33" s="280">
        <v>64</v>
      </c>
      <c r="LM33" s="280">
        <v>62.7</v>
      </c>
      <c r="LN33" s="280">
        <v>70.599999999999994</v>
      </c>
      <c r="LO33" s="280">
        <v>69.7</v>
      </c>
      <c r="LP33" s="280">
        <v>70.900000000000006</v>
      </c>
      <c r="LQ33" s="280">
        <v>59.4</v>
      </c>
      <c r="LR33" s="280">
        <v>60</v>
      </c>
      <c r="LS33" s="280">
        <v>67.599999999999994</v>
      </c>
      <c r="LT33" s="2" t="s">
        <v>36</v>
      </c>
      <c r="LU33" s="280">
        <v>60.2</v>
      </c>
      <c r="LV33" s="280">
        <v>65.7</v>
      </c>
      <c r="LW33" s="280">
        <v>69.3</v>
      </c>
      <c r="LX33" s="280">
        <v>63.3</v>
      </c>
      <c r="LY33" s="280">
        <v>61.2</v>
      </c>
      <c r="LZ33" s="280">
        <v>58.9</v>
      </c>
      <c r="MA33" s="280">
        <v>54.7</v>
      </c>
      <c r="MB33" s="280">
        <v>62.5</v>
      </c>
      <c r="MC33" s="280">
        <v>60.2</v>
      </c>
      <c r="MD33" s="280">
        <v>54.7</v>
      </c>
      <c r="ME33" s="2" t="s">
        <v>36</v>
      </c>
      <c r="MF33" s="280">
        <v>92.6</v>
      </c>
      <c r="MG33" s="280">
        <v>94.5</v>
      </c>
      <c r="MH33" s="280">
        <v>92.9</v>
      </c>
      <c r="MI33" s="280">
        <v>85.6</v>
      </c>
      <c r="MJ33" s="280">
        <v>80.8</v>
      </c>
      <c r="MK33" s="280">
        <v>89.5</v>
      </c>
      <c r="ML33" s="280">
        <v>89.1</v>
      </c>
      <c r="MM33" s="280">
        <v>91.5</v>
      </c>
      <c r="MN33" s="280">
        <v>97.9</v>
      </c>
      <c r="MO33" s="280">
        <v>81</v>
      </c>
      <c r="MP33" s="2" t="s">
        <v>36</v>
      </c>
      <c r="MQ33" s="280">
        <v>215.9</v>
      </c>
      <c r="MR33" s="280">
        <v>210.1</v>
      </c>
      <c r="MS33" s="280">
        <v>211.7</v>
      </c>
      <c r="MT33" s="280">
        <v>205.8</v>
      </c>
      <c r="MU33" s="280">
        <v>215.4</v>
      </c>
      <c r="MV33" s="280">
        <v>236.3</v>
      </c>
      <c r="MW33" s="280">
        <v>209.6</v>
      </c>
      <c r="MX33" s="280">
        <v>198.6</v>
      </c>
      <c r="MY33" s="280">
        <v>203</v>
      </c>
      <c r="MZ33" s="280">
        <v>222.9</v>
      </c>
      <c r="NA33" s="158" t="s">
        <v>36</v>
      </c>
      <c r="NB33" s="280">
        <v>114.5</v>
      </c>
      <c r="NC33" s="280">
        <v>129.30000000000001</v>
      </c>
      <c r="ND33" s="280">
        <v>136.30000000000001</v>
      </c>
      <c r="NE33" s="280">
        <v>137.69999999999999</v>
      </c>
      <c r="NF33" s="280">
        <v>128.4</v>
      </c>
      <c r="NG33" s="280">
        <v>130.19999999999999</v>
      </c>
      <c r="NH33" s="280">
        <v>134.1</v>
      </c>
      <c r="NI33" s="280">
        <v>137.80000000000001</v>
      </c>
      <c r="NJ33" s="280">
        <v>120.8</v>
      </c>
      <c r="NK33" s="280">
        <v>131.1</v>
      </c>
      <c r="NL33" s="2" t="s">
        <v>36</v>
      </c>
      <c r="NM33" s="280">
        <v>172.8</v>
      </c>
      <c r="NN33" s="280">
        <v>171.3</v>
      </c>
      <c r="NO33" s="280">
        <v>143.80000000000001</v>
      </c>
      <c r="NP33" s="280">
        <v>158.4</v>
      </c>
      <c r="NQ33" s="280">
        <v>170.9</v>
      </c>
      <c r="NR33" s="280">
        <v>172.7</v>
      </c>
      <c r="NS33" s="280">
        <v>143.69999999999999</v>
      </c>
      <c r="NT33" s="280">
        <v>153.9</v>
      </c>
      <c r="NU33" s="280">
        <v>160.69999999999999</v>
      </c>
      <c r="NV33" s="280">
        <v>174.7</v>
      </c>
      <c r="NW33" s="2" t="s">
        <v>36</v>
      </c>
      <c r="NX33" s="280">
        <v>178.2</v>
      </c>
      <c r="NY33" s="280">
        <v>169.8</v>
      </c>
      <c r="NZ33" s="280">
        <v>159.80000000000001</v>
      </c>
      <c r="OA33" s="280">
        <v>164.1</v>
      </c>
      <c r="OB33" s="280">
        <v>167.3</v>
      </c>
      <c r="OC33" s="280">
        <v>190.1</v>
      </c>
      <c r="OD33" s="280">
        <v>167.1</v>
      </c>
      <c r="OE33" s="280">
        <v>170.1</v>
      </c>
      <c r="OF33" s="280">
        <v>177.1</v>
      </c>
      <c r="OG33" s="280">
        <v>182.4</v>
      </c>
      <c r="OH33" s="191" t="s">
        <v>36</v>
      </c>
      <c r="OI33" s="192">
        <v>8.1999999999999993</v>
      </c>
      <c r="OJ33" s="192">
        <v>8.1</v>
      </c>
      <c r="OK33" s="192">
        <v>8.6</v>
      </c>
      <c r="OL33" s="192">
        <v>7.4</v>
      </c>
      <c r="OM33" s="192">
        <v>7.1</v>
      </c>
      <c r="ON33" s="192">
        <v>6.9</v>
      </c>
      <c r="OO33" s="192">
        <v>7</v>
      </c>
      <c r="OP33" s="192">
        <v>6.2</v>
      </c>
      <c r="OQ33" s="192">
        <v>5.9</v>
      </c>
      <c r="OR33" s="192">
        <v>5.6</v>
      </c>
      <c r="OS33" s="2" t="s">
        <v>36</v>
      </c>
      <c r="OT33" s="340">
        <v>-0.1</v>
      </c>
      <c r="OU33" s="340">
        <v>1.3</v>
      </c>
      <c r="OV33" s="340">
        <v>0.2</v>
      </c>
      <c r="OW33" s="340">
        <v>2</v>
      </c>
      <c r="OX33" s="340">
        <v>1.2</v>
      </c>
      <c r="OY33" s="340">
        <v>1</v>
      </c>
      <c r="OZ33" s="340">
        <v>1.2</v>
      </c>
      <c r="PA33" s="340">
        <v>1.2</v>
      </c>
      <c r="PB33" s="340">
        <v>1.6</v>
      </c>
      <c r="PC33" s="340">
        <v>1.1000000000000001</v>
      </c>
      <c r="PE33" s="210">
        <f>E33-'[1]Data-temp_employment'!F33</f>
        <v>-0.59999999999999787</v>
      </c>
      <c r="PF33" s="210">
        <f>F33-'[1]Data-temp_employment'!G33</f>
        <v>-1.1000000000000014</v>
      </c>
      <c r="PG33" s="210">
        <f>O33-'[1]Data-temp_employment'!P33</f>
        <v>53</v>
      </c>
      <c r="PH33" s="210">
        <f>P33-'[1]Data-temp_employment'!Q33</f>
        <v>-36</v>
      </c>
      <c r="PI33" s="210">
        <f>AD33-'[1]Data-temp_employment'!AE33</f>
        <v>-9.7000000000000028</v>
      </c>
      <c r="PJ33" s="210">
        <f>AE33-'[1]Data-temp_employment'!AF33</f>
        <v>5</v>
      </c>
      <c r="PK33" s="210">
        <f>BR33-'[1]Data-temp_employment'!BS33</f>
        <v>35.799999999999955</v>
      </c>
      <c r="PL33" s="210">
        <f>BS33-'[1]Data-temp_employment'!BT33</f>
        <v>42.399999999999977</v>
      </c>
      <c r="PM33" s="210">
        <f>CC33-'[1]Data-temp_employment'!CD33</f>
        <v>7.2000000000000455</v>
      </c>
      <c r="PN33" s="210">
        <f>CD33-'[1]Data-temp_employment'!CE33</f>
        <v>-40.800000000000068</v>
      </c>
      <c r="PO33" s="210">
        <f>CR33-'[1]Data-temp_employment'!CS33</f>
        <v>1.5</v>
      </c>
      <c r="PP33" s="210">
        <f>CS33-'[1]Data-temp_employment'!CT33</f>
        <v>23.300000000000011</v>
      </c>
      <c r="PQ33" s="210">
        <f>DC33-'[1]Data-temp_employment'!DD33</f>
        <v>-135.09999999999991</v>
      </c>
      <c r="PR33" s="210">
        <f>DD33-'[1]Data-temp_employment'!DE33</f>
        <v>-161.59999999999991</v>
      </c>
      <c r="PS33" s="210">
        <f>DN33-'[1]Data-temp_employment'!DO33</f>
        <v>34.5</v>
      </c>
      <c r="PT33" s="210">
        <f>DO33-'[1]Data-temp_employment'!DP33</f>
        <v>17.400000000000091</v>
      </c>
      <c r="PU33" s="210">
        <f>EF33-'[1]Data-temp_employment'!EG33</f>
        <v>7.5</v>
      </c>
      <c r="PV33" s="210">
        <f>EG33-'[1]Data-temp_employment'!EH33</f>
        <v>17.400000000000006</v>
      </c>
      <c r="PW33" s="210">
        <f>EU33-'[1]Data-temp_employment'!EV33</f>
        <v>15.199999999999989</v>
      </c>
      <c r="PX33" s="210">
        <f>EV33-'[1]Data-temp_employment'!EW33</f>
        <v>-1.6999999999999886</v>
      </c>
      <c r="PY33" s="210">
        <f>FF33-'[1]Data-temp_employment'!FG33</f>
        <v>-6.5999999999999659</v>
      </c>
      <c r="PZ33" s="210">
        <f>FG33-'[1]Data-temp_employment'!FH33</f>
        <v>-4.6999999999999886</v>
      </c>
      <c r="QA33" s="210">
        <f>FQ33-'[1]Data-temp_employment'!FR33</f>
        <v>13.900000000000034</v>
      </c>
      <c r="QB33" s="210">
        <f>FR33-'[1]Data-temp_employment'!FS33</f>
        <v>-6.1000000000000227</v>
      </c>
      <c r="QC33" s="210">
        <f>GB33-'[1]Data-temp_employment'!GC33</f>
        <v>-62.200000000000045</v>
      </c>
      <c r="QD33" s="210">
        <f>GC33-'[1]Data-temp_employment'!GD33</f>
        <v>-41.799999999999955</v>
      </c>
      <c r="QE33" s="210">
        <f>GM33-'[1]Data-temp_employment'!GN33</f>
        <v>4.9000000000000021</v>
      </c>
      <c r="QF33" s="210">
        <f>GN33-'[1]Data-temp_employment'!GO33</f>
        <v>0</v>
      </c>
      <c r="QG33" s="210">
        <f>GX33-'[1]Data-temp_employment'!GY33</f>
        <v>-18.299999999999955</v>
      </c>
      <c r="QH33" s="210">
        <f>GY33-'[1]Data-temp_employment'!GZ33</f>
        <v>-48.099999999999909</v>
      </c>
      <c r="QI33" s="210">
        <f>HI33-'[1]Data-temp_employment'!HJ33</f>
        <v>-36.800000000000011</v>
      </c>
      <c r="QJ33" s="210">
        <f>HJ33-'[1]Data-temp_employment'!HK33</f>
        <v>-42.699999999999989</v>
      </c>
      <c r="QK33" s="210">
        <f>HT33-'[1]Data-temp_employment'!HU33</f>
        <v>1.8000000000000114</v>
      </c>
      <c r="QL33" s="210">
        <f>HU33-'[1]Data-temp_employment'!HV33</f>
        <v>25.199999999999989</v>
      </c>
      <c r="QM33" s="210">
        <f>IE33-'[1]Data-temp_employment'!IF33</f>
        <v>-1.6999999999999993</v>
      </c>
      <c r="QN33" s="210">
        <f>IF33-'[1]Data-temp_employment'!IG33</f>
        <v>-0.69999999999999929</v>
      </c>
      <c r="QO33" s="210">
        <f>JA33-'[1]Data-temp_employment'!JB33</f>
        <v>16.700000000000003</v>
      </c>
      <c r="QP33" s="210">
        <f>JB33-'[1]Data-temp_employment'!JC33</f>
        <v>29.5</v>
      </c>
      <c r="QQ33" s="210">
        <f>JH33-'[1]Data-temp_employment'!JI33</f>
        <v>58.700000000000045</v>
      </c>
      <c r="QR33" s="210">
        <f>JI33-'[1]Data-temp_employment'!JJ33</f>
        <v>50.899999999999977</v>
      </c>
      <c r="QS33" s="210">
        <f>JS33-'[1]Data-temp_employment'!JT33</f>
        <v>-13.5</v>
      </c>
      <c r="QT33" s="210">
        <f>JT33-'[1]Data-temp_employment'!JU33</f>
        <v>-30.300000000000011</v>
      </c>
      <c r="QU33" s="210">
        <f>KD33-'[1]Data-temp_employment'!KE33</f>
        <v>8.6000000000000227</v>
      </c>
      <c r="QV33" s="210">
        <f>KE33-'[1]Data-temp_employment'!KF33</f>
        <v>-19.5</v>
      </c>
      <c r="QW33" s="210">
        <f>KO33-'[1]Data-temp_employment'!KP33</f>
        <v>21.599999999999994</v>
      </c>
      <c r="QX33" s="210">
        <f>KP33-'[1]Data-temp_employment'!KQ33</f>
        <v>-12.099999999999994</v>
      </c>
      <c r="QY33" s="210">
        <f>LD33-'[1]Data-temp_employment'!LE33</f>
        <v>-10.600000000000023</v>
      </c>
      <c r="QZ33" s="210">
        <f>LE33-'[1]Data-temp_employment'!LF33</f>
        <v>-10.599999999999994</v>
      </c>
      <c r="RA33" s="210">
        <f>LK33-'[1]Data-temp_employment'!LL33</f>
        <v>-13</v>
      </c>
      <c r="RB33" s="210">
        <f>LL33-'[1]Data-temp_employment'!LM33</f>
        <v>-9</v>
      </c>
      <c r="RC33" s="210">
        <f>LV33-'[1]Data-temp_employment'!LW33</f>
        <v>-17.200000000000003</v>
      </c>
      <c r="RD33" s="210">
        <f>LW33-'[1]Data-temp_employment'!LX33</f>
        <v>-4.4000000000000057</v>
      </c>
      <c r="RE33" s="210">
        <f>MK33-'[1]Data-temp_employment'!ML33</f>
        <v>-5</v>
      </c>
      <c r="RF33" s="210">
        <f>ML33-'[1]Data-temp_employment'!MM33</f>
        <v>-3.8000000000000114</v>
      </c>
      <c r="RG33" s="210">
        <f>MV33-'[1]Data-temp_employment'!MW33</f>
        <v>26.200000000000017</v>
      </c>
      <c r="RH33" s="210">
        <f>MW33-'[1]Data-temp_employment'!MX33</f>
        <v>-2.0999999999999943</v>
      </c>
      <c r="RI33" s="210">
        <f>NG33-'[1]Data-temp_employment'!NH33</f>
        <v>0.89999999999997726</v>
      </c>
      <c r="RJ33" s="210">
        <f>NH33-'[1]Data-temp_employment'!NI33</f>
        <v>-2.2000000000000171</v>
      </c>
      <c r="RK33" s="210">
        <f>NR33-'[1]Data-temp_employment'!NS33</f>
        <v>1.3999999999999773</v>
      </c>
      <c r="RL33" s="210">
        <f>NS33-'[1]Data-temp_employment'!NT33</f>
        <v>-0.10000000000002274</v>
      </c>
      <c r="RM33" s="210">
        <f>OC33-'[1]Data-temp_employment'!OD33</f>
        <v>20.299999999999983</v>
      </c>
      <c r="RN33" s="210">
        <f>OD33-'[1]Data-temp_employment'!OE33</f>
        <v>7.2999999999999829</v>
      </c>
      <c r="RO33" s="210">
        <f>OT33-'[1]Data-temp_employment'!OV33</f>
        <v>-0.6</v>
      </c>
      <c r="RP33" s="210">
        <f>OU33-'[1]Data-temp_employment'!OW33</f>
        <v>0.10000000000000009</v>
      </c>
      <c r="RQ33" s="13"/>
    </row>
    <row r="34" spans="1:485">
      <c r="A34">
        <v>31</v>
      </c>
      <c r="B34" s="158" t="s">
        <v>37</v>
      </c>
      <c r="C34" s="332">
        <v>22</v>
      </c>
      <c r="D34" s="332">
        <v>22.6</v>
      </c>
      <c r="E34" s="332">
        <v>22.4</v>
      </c>
      <c r="F34" s="332">
        <v>22.1</v>
      </c>
      <c r="G34" s="332">
        <v>21.2</v>
      </c>
      <c r="H34" s="332">
        <v>22.1</v>
      </c>
      <c r="I34" s="332">
        <v>22.5</v>
      </c>
      <c r="J34" s="332">
        <v>22.1</v>
      </c>
      <c r="K34" s="332">
        <v>21.7</v>
      </c>
      <c r="L34" s="332">
        <v>22.1</v>
      </c>
      <c r="M34" s="158" t="s">
        <v>37</v>
      </c>
      <c r="N34" s="332">
        <v>808.7</v>
      </c>
      <c r="O34" s="332">
        <v>842.7</v>
      </c>
      <c r="P34" s="332">
        <v>845.2</v>
      </c>
      <c r="Q34" s="332">
        <v>835.9</v>
      </c>
      <c r="R34" s="332">
        <v>804.7</v>
      </c>
      <c r="S34" s="332">
        <v>856.8</v>
      </c>
      <c r="T34" s="332">
        <v>886.9</v>
      </c>
      <c r="U34" s="332">
        <v>874.8</v>
      </c>
      <c r="V34" s="332">
        <v>858.4</v>
      </c>
      <c r="W34" s="332">
        <v>885.1</v>
      </c>
      <c r="X34" s="158" t="s">
        <v>37</v>
      </c>
      <c r="Y34" s="332">
        <v>54.6</v>
      </c>
      <c r="Z34" s="332">
        <v>57.2</v>
      </c>
      <c r="AA34" s="332">
        <v>66.7</v>
      </c>
      <c r="AB34" s="332">
        <v>51.1</v>
      </c>
      <c r="AC34" s="332">
        <v>43.5</v>
      </c>
      <c r="AD34" s="332">
        <v>50.2</v>
      </c>
      <c r="AE34" s="332">
        <v>48</v>
      </c>
      <c r="AF34" s="332">
        <v>51.3</v>
      </c>
      <c r="AG34" s="332">
        <v>42.2</v>
      </c>
      <c r="AH34" s="332">
        <v>48.7</v>
      </c>
      <c r="AI34" s="158" t="s">
        <v>37</v>
      </c>
      <c r="AJ34" s="332">
        <v>61.5</v>
      </c>
      <c r="AK34" s="332">
        <v>53.2</v>
      </c>
      <c r="AL34" s="332">
        <v>70.400000000000006</v>
      </c>
      <c r="AM34" s="332">
        <v>63.6</v>
      </c>
      <c r="AN34" s="332">
        <v>50.4</v>
      </c>
      <c r="AO34" s="332">
        <v>51.9</v>
      </c>
      <c r="AP34" s="332">
        <v>89.3</v>
      </c>
      <c r="AQ34" s="332">
        <v>63.3</v>
      </c>
      <c r="AR34" s="332">
        <v>51.1</v>
      </c>
      <c r="AS34" s="332">
        <v>55.6</v>
      </c>
      <c r="AT34" s="158" t="s">
        <v>37</v>
      </c>
      <c r="AU34" s="332">
        <v>217.7</v>
      </c>
      <c r="AV34" s="332">
        <v>221.6</v>
      </c>
      <c r="AW34" s="332">
        <v>229.9</v>
      </c>
      <c r="AX34" s="332">
        <v>211.7</v>
      </c>
      <c r="AY34" s="332">
        <v>210.8</v>
      </c>
      <c r="AZ34" s="332">
        <v>243.7</v>
      </c>
      <c r="BA34" s="332">
        <v>258</v>
      </c>
      <c r="BB34" s="332">
        <v>228.6</v>
      </c>
      <c r="BC34" s="332">
        <v>233.9</v>
      </c>
      <c r="BD34" s="332">
        <v>241.9</v>
      </c>
      <c r="BE34" s="158" t="s">
        <v>37</v>
      </c>
      <c r="BF34" s="280">
        <v>297.8</v>
      </c>
      <c r="BG34" s="280">
        <v>306.2</v>
      </c>
      <c r="BH34" s="280">
        <v>286.7</v>
      </c>
      <c r="BI34" s="280">
        <v>304.8</v>
      </c>
      <c r="BJ34" s="280">
        <v>297.5</v>
      </c>
      <c r="BK34" s="280">
        <v>311.89999999999998</v>
      </c>
      <c r="BL34" s="280">
        <v>301.60000000000002</v>
      </c>
      <c r="BM34" s="280">
        <v>318.39999999999998</v>
      </c>
      <c r="BN34" s="280">
        <v>320.89999999999998</v>
      </c>
      <c r="BO34" s="280">
        <v>327.60000000000002</v>
      </c>
      <c r="BP34" s="158" t="s">
        <v>37</v>
      </c>
      <c r="BQ34" s="7">
        <v>26.8</v>
      </c>
      <c r="BR34" s="7">
        <v>34.599999999999994</v>
      </c>
      <c r="BS34" s="7">
        <v>31.599999999999998</v>
      </c>
      <c r="BT34" s="7">
        <v>31</v>
      </c>
      <c r="BU34" s="7">
        <v>25</v>
      </c>
      <c r="BV34" s="7">
        <v>26.5</v>
      </c>
      <c r="BW34" s="7">
        <v>25.1</v>
      </c>
      <c r="BX34" s="7">
        <v>25.1</v>
      </c>
      <c r="BY34" s="7">
        <v>25.2</v>
      </c>
      <c r="BZ34" s="7">
        <v>27.5</v>
      </c>
      <c r="CA34" s="6" t="s">
        <v>37</v>
      </c>
      <c r="CB34" s="7">
        <v>49.300000000000004</v>
      </c>
      <c r="CC34" s="7">
        <v>45.3</v>
      </c>
      <c r="CD34" s="7">
        <v>42</v>
      </c>
      <c r="CE34" s="7">
        <v>44.6</v>
      </c>
      <c r="CF34" s="7">
        <v>44.5</v>
      </c>
      <c r="CG34" s="7">
        <v>44</v>
      </c>
      <c r="CH34" s="7">
        <v>47.2</v>
      </c>
      <c r="CI34" s="7">
        <v>44.099999999999994</v>
      </c>
      <c r="CJ34" s="7">
        <v>41.7</v>
      </c>
      <c r="CK34" s="7">
        <v>37.5</v>
      </c>
      <c r="CL34" s="129" t="s">
        <v>37</v>
      </c>
      <c r="CM34" s="280">
        <v>331.8</v>
      </c>
      <c r="CN34" s="280">
        <v>343.4</v>
      </c>
      <c r="CO34" s="280">
        <v>337</v>
      </c>
      <c r="CP34" s="280">
        <v>325.2</v>
      </c>
      <c r="CQ34" s="280">
        <v>310.7</v>
      </c>
      <c r="CR34" s="280">
        <v>335.9</v>
      </c>
      <c r="CS34" s="280">
        <v>335.2</v>
      </c>
      <c r="CT34" s="280">
        <v>337.8</v>
      </c>
      <c r="CU34" s="280">
        <v>313.89999999999998</v>
      </c>
      <c r="CV34" s="280">
        <v>319.8</v>
      </c>
      <c r="CW34" s="130" t="s">
        <v>37</v>
      </c>
      <c r="CX34" s="280">
        <v>254.6</v>
      </c>
      <c r="CY34" s="280">
        <v>259.2</v>
      </c>
      <c r="CZ34" s="280">
        <v>272.7</v>
      </c>
      <c r="DA34" s="280">
        <v>269.39999999999998</v>
      </c>
      <c r="DB34" s="280">
        <v>265.7</v>
      </c>
      <c r="DC34" s="280">
        <v>282.3</v>
      </c>
      <c r="DD34" s="280">
        <v>309</v>
      </c>
      <c r="DE34" s="280">
        <v>290.3</v>
      </c>
      <c r="DF34" s="280">
        <v>292.8</v>
      </c>
      <c r="DG34" s="280">
        <v>311.60000000000002</v>
      </c>
      <c r="DH34" s="131" t="s">
        <v>37</v>
      </c>
      <c r="DI34" s="280">
        <v>222.3</v>
      </c>
      <c r="DJ34" s="280">
        <v>240</v>
      </c>
      <c r="DK34" s="280">
        <v>235.5</v>
      </c>
      <c r="DL34" s="280">
        <v>241.2</v>
      </c>
      <c r="DM34" s="280">
        <v>228.2</v>
      </c>
      <c r="DN34" s="280">
        <v>238.6</v>
      </c>
      <c r="DO34" s="280">
        <v>242.8</v>
      </c>
      <c r="DP34" s="280">
        <v>246.6</v>
      </c>
      <c r="DQ34" s="280">
        <v>251.6</v>
      </c>
      <c r="DR34" s="280">
        <v>253.7</v>
      </c>
      <c r="DS34" s="132" t="s">
        <v>37</v>
      </c>
      <c r="DT34" s="281"/>
      <c r="DU34" s="281"/>
      <c r="DV34" s="281"/>
      <c r="DW34" s="281"/>
      <c r="DX34" s="281"/>
      <c r="DY34" s="281"/>
      <c r="DZ34" s="281"/>
      <c r="EA34" s="281"/>
      <c r="EB34" s="281"/>
      <c r="EC34" s="281"/>
      <c r="ED34" s="2" t="s">
        <v>37</v>
      </c>
      <c r="EE34" s="280">
        <v>12.6</v>
      </c>
      <c r="EF34" s="280">
        <v>13.8</v>
      </c>
      <c r="EG34" s="280">
        <v>12.7</v>
      </c>
      <c r="EH34" s="280">
        <v>11.8</v>
      </c>
      <c r="EI34" s="280">
        <v>12.2</v>
      </c>
      <c r="EJ34" s="280">
        <v>8.1</v>
      </c>
      <c r="EK34" s="280">
        <v>14.7</v>
      </c>
      <c r="EL34" s="280">
        <v>15.3</v>
      </c>
      <c r="EM34" s="280">
        <v>16</v>
      </c>
      <c r="EN34" s="280">
        <v>14.5</v>
      </c>
      <c r="EO34" s="2" t="s">
        <v>37</v>
      </c>
      <c r="EP34" s="280">
        <v>152.1</v>
      </c>
      <c r="EQ34" s="280">
        <v>149.9</v>
      </c>
      <c r="ER34" s="280">
        <v>149.19999999999999</v>
      </c>
      <c r="ES34" s="280">
        <v>155.80000000000001</v>
      </c>
      <c r="ET34" s="280">
        <v>151.6</v>
      </c>
      <c r="EU34" s="280">
        <v>163.80000000000001</v>
      </c>
      <c r="EV34" s="280">
        <v>156.6</v>
      </c>
      <c r="EW34" s="280">
        <v>160.1</v>
      </c>
      <c r="EX34" s="280">
        <v>173.8</v>
      </c>
      <c r="EY34" s="280">
        <v>172.9</v>
      </c>
      <c r="EZ34" s="2" t="s">
        <v>37</v>
      </c>
      <c r="FA34" s="280">
        <v>69.099999999999994</v>
      </c>
      <c r="FB34" s="280">
        <v>84</v>
      </c>
      <c r="FC34" s="280">
        <v>80.599999999999994</v>
      </c>
      <c r="FD34" s="280">
        <v>84.8</v>
      </c>
      <c r="FE34" s="280">
        <v>72.5</v>
      </c>
      <c r="FF34" s="280">
        <v>71.599999999999994</v>
      </c>
      <c r="FG34" s="280">
        <v>79.5</v>
      </c>
      <c r="FH34" s="280">
        <v>84.1</v>
      </c>
      <c r="FI34" s="280">
        <v>76.3</v>
      </c>
      <c r="FJ34" s="280">
        <v>87.9</v>
      </c>
      <c r="FK34" s="2" t="s">
        <v>37</v>
      </c>
      <c r="FL34" s="280">
        <v>65.2</v>
      </c>
      <c r="FM34" s="280">
        <v>68.400000000000006</v>
      </c>
      <c r="FN34" s="280">
        <v>74.8</v>
      </c>
      <c r="FO34" s="280">
        <v>74.2</v>
      </c>
      <c r="FP34" s="280">
        <v>72.2</v>
      </c>
      <c r="FQ34" s="280">
        <v>72</v>
      </c>
      <c r="FR34" s="280">
        <v>76.900000000000006</v>
      </c>
      <c r="FS34" s="280">
        <v>67.3</v>
      </c>
      <c r="FT34" s="280">
        <v>72.5</v>
      </c>
      <c r="FU34" s="280">
        <v>75.5</v>
      </c>
      <c r="FV34" s="2" t="s">
        <v>37</v>
      </c>
      <c r="FW34" s="280">
        <v>166.7</v>
      </c>
      <c r="FX34" s="280">
        <v>179.4</v>
      </c>
      <c r="FY34" s="280">
        <v>181.7</v>
      </c>
      <c r="FZ34" s="280">
        <v>156.6</v>
      </c>
      <c r="GA34" s="280">
        <v>159</v>
      </c>
      <c r="GB34" s="280">
        <v>173.1</v>
      </c>
      <c r="GC34" s="280">
        <v>192.8</v>
      </c>
      <c r="GD34" s="280">
        <v>175</v>
      </c>
      <c r="GE34" s="280">
        <v>166.4</v>
      </c>
      <c r="GF34" s="280">
        <v>169.6</v>
      </c>
      <c r="GG34" s="2" t="s">
        <v>37</v>
      </c>
      <c r="GH34" s="280">
        <v>24.5</v>
      </c>
      <c r="GI34" s="280">
        <v>22.3</v>
      </c>
      <c r="GJ34" s="280">
        <v>19.600000000000001</v>
      </c>
      <c r="GK34" s="280">
        <v>20.2</v>
      </c>
      <c r="GL34" s="280">
        <v>24.9</v>
      </c>
      <c r="GM34" s="280">
        <v>26.9</v>
      </c>
      <c r="GN34" s="280">
        <v>15</v>
      </c>
      <c r="GO34" s="280">
        <v>17.899999999999999</v>
      </c>
      <c r="GP34" s="280">
        <v>16.899999999999999</v>
      </c>
      <c r="GQ34" s="280">
        <v>18</v>
      </c>
      <c r="GR34" s="2" t="s">
        <v>37</v>
      </c>
      <c r="GS34" s="280">
        <v>91.7</v>
      </c>
      <c r="GT34" s="280">
        <v>89.6</v>
      </c>
      <c r="GU34" s="280">
        <v>100.2</v>
      </c>
      <c r="GV34" s="280">
        <v>106.6</v>
      </c>
      <c r="GW34" s="280">
        <v>90.7</v>
      </c>
      <c r="GX34" s="280">
        <v>105.2</v>
      </c>
      <c r="GY34" s="280">
        <v>106.7</v>
      </c>
      <c r="GZ34" s="280">
        <v>115.9</v>
      </c>
      <c r="HA34" s="280">
        <v>105.7</v>
      </c>
      <c r="HB34" s="280">
        <v>116.8</v>
      </c>
      <c r="HC34" s="2" t="s">
        <v>37</v>
      </c>
      <c r="HD34" s="280">
        <v>79.5</v>
      </c>
      <c r="HE34" s="280">
        <v>72.599999999999994</v>
      </c>
      <c r="HF34" s="280">
        <v>74.2</v>
      </c>
      <c r="HG34" s="280">
        <v>74.3</v>
      </c>
      <c r="HH34" s="280">
        <v>71.3</v>
      </c>
      <c r="HI34" s="280">
        <v>76.900000000000006</v>
      </c>
      <c r="HJ34" s="280">
        <v>83.5</v>
      </c>
      <c r="HK34" s="280">
        <v>87.6</v>
      </c>
      <c r="HL34" s="280">
        <v>83.8</v>
      </c>
      <c r="HM34" s="280">
        <v>79.599999999999994</v>
      </c>
      <c r="HN34" s="279" t="s">
        <v>37</v>
      </c>
      <c r="HO34" s="280">
        <v>138.19999999999999</v>
      </c>
      <c r="HP34" s="280">
        <v>151</v>
      </c>
      <c r="HQ34" s="280">
        <v>144.19999999999999</v>
      </c>
      <c r="HR34" s="280">
        <v>143.9</v>
      </c>
      <c r="HS34" s="280">
        <v>143.80000000000001</v>
      </c>
      <c r="HT34" s="280">
        <v>152.19999999999999</v>
      </c>
      <c r="HU34" s="280">
        <v>154.9</v>
      </c>
      <c r="HV34" s="280">
        <v>144.5</v>
      </c>
      <c r="HW34" s="280">
        <v>141.4</v>
      </c>
      <c r="HX34" s="280">
        <v>142.9</v>
      </c>
      <c r="HY34" s="2" t="s">
        <v>37</v>
      </c>
      <c r="HZ34" s="280">
        <v>9.1</v>
      </c>
      <c r="IA34" s="280">
        <v>11.7</v>
      </c>
      <c r="IB34" s="280">
        <v>7.9</v>
      </c>
      <c r="IC34" s="280">
        <v>7.6</v>
      </c>
      <c r="ID34" s="281"/>
      <c r="IE34" s="281"/>
      <c r="IF34" s="281"/>
      <c r="IG34" s="281"/>
      <c r="IH34" s="281"/>
      <c r="II34" s="281"/>
      <c r="IJ34" s="2" t="s">
        <v>37</v>
      </c>
      <c r="IK34" s="281"/>
      <c r="IL34" s="281"/>
      <c r="IM34" s="281"/>
      <c r="IN34" s="281"/>
      <c r="IO34" s="281"/>
      <c r="IP34" s="281"/>
      <c r="IQ34" s="281"/>
      <c r="IR34" s="281"/>
      <c r="IS34" s="281"/>
      <c r="IT34" s="281"/>
      <c r="IU34" s="2" t="s">
        <v>37</v>
      </c>
      <c r="IV34" s="280">
        <v>30</v>
      </c>
      <c r="IW34" s="280">
        <v>25.8</v>
      </c>
      <c r="IX34" s="280">
        <v>32.4</v>
      </c>
      <c r="IY34" s="280">
        <v>28.6</v>
      </c>
      <c r="IZ34" s="280">
        <v>26.6</v>
      </c>
      <c r="JA34" s="280">
        <v>31.4</v>
      </c>
      <c r="JB34" s="280">
        <v>24</v>
      </c>
      <c r="JC34" s="280">
        <v>27.9</v>
      </c>
      <c r="JD34" s="280">
        <v>22.8</v>
      </c>
      <c r="JE34" s="280">
        <v>26.8</v>
      </c>
      <c r="JF34" s="2" t="s">
        <v>37</v>
      </c>
      <c r="JG34" s="280">
        <v>119.4</v>
      </c>
      <c r="JH34" s="280">
        <v>122.5</v>
      </c>
      <c r="JI34" s="280">
        <v>129.5</v>
      </c>
      <c r="JJ34" s="280">
        <v>129.69999999999999</v>
      </c>
      <c r="JK34" s="280">
        <v>129</v>
      </c>
      <c r="JL34" s="280">
        <v>135.69999999999999</v>
      </c>
      <c r="JM34" s="280">
        <v>150.9</v>
      </c>
      <c r="JN34" s="280">
        <v>152.69999999999999</v>
      </c>
      <c r="JO34" s="280">
        <v>136.19999999999999</v>
      </c>
      <c r="JP34" s="280">
        <v>148.6</v>
      </c>
      <c r="JQ34" s="2" t="s">
        <v>37</v>
      </c>
      <c r="JR34" s="280">
        <v>55.2</v>
      </c>
      <c r="JS34" s="280">
        <v>51.9</v>
      </c>
      <c r="JT34" s="280">
        <v>54.8</v>
      </c>
      <c r="JU34" s="280">
        <v>62.9</v>
      </c>
      <c r="JV34" s="280">
        <v>57.8</v>
      </c>
      <c r="JW34" s="280">
        <v>60.7</v>
      </c>
      <c r="JX34" s="280">
        <v>61.8</v>
      </c>
      <c r="JY34" s="280">
        <v>68.7</v>
      </c>
      <c r="JZ34" s="280">
        <v>64.5</v>
      </c>
      <c r="KA34" s="280">
        <v>68.5</v>
      </c>
      <c r="KB34" s="2" t="s">
        <v>37</v>
      </c>
      <c r="KC34" s="280">
        <v>126.3</v>
      </c>
      <c r="KD34" s="280">
        <v>120.4</v>
      </c>
      <c r="KE34" s="280">
        <v>117.5</v>
      </c>
      <c r="KF34" s="280">
        <v>122.9</v>
      </c>
      <c r="KG34" s="280">
        <v>113.7</v>
      </c>
      <c r="KH34" s="280">
        <v>122</v>
      </c>
      <c r="KI34" s="280">
        <v>123</v>
      </c>
      <c r="KJ34" s="280">
        <v>113.7</v>
      </c>
      <c r="KK34" s="280">
        <v>127.1</v>
      </c>
      <c r="KL34" s="280">
        <v>118.9</v>
      </c>
      <c r="KM34" s="2" t="s">
        <v>37</v>
      </c>
      <c r="KN34" s="280">
        <v>33.799999999999997</v>
      </c>
      <c r="KO34" s="280">
        <v>36.1</v>
      </c>
      <c r="KP34" s="280">
        <v>36.200000000000003</v>
      </c>
      <c r="KQ34" s="280">
        <v>38.5</v>
      </c>
      <c r="KR34" s="280">
        <v>37.799999999999997</v>
      </c>
      <c r="KS34" s="280">
        <v>42.7</v>
      </c>
      <c r="KT34" s="280">
        <v>41.7</v>
      </c>
      <c r="KU34" s="280">
        <v>37.299999999999997</v>
      </c>
      <c r="KV34" s="280">
        <v>39.1</v>
      </c>
      <c r="KW34" s="280">
        <v>38.200000000000003</v>
      </c>
      <c r="KX34" s="2" t="s">
        <v>37</v>
      </c>
      <c r="KY34" s="280">
        <v>67.599999999999994</v>
      </c>
      <c r="KZ34" s="280">
        <v>78.599999999999994</v>
      </c>
      <c r="LA34" s="280">
        <v>83.6</v>
      </c>
      <c r="LB34" s="280">
        <v>72.7</v>
      </c>
      <c r="LC34" s="280">
        <v>71.2</v>
      </c>
      <c r="LD34" s="280">
        <v>96.6</v>
      </c>
      <c r="LE34" s="280">
        <v>103.6</v>
      </c>
      <c r="LF34" s="280">
        <v>80.599999999999994</v>
      </c>
      <c r="LG34" s="280">
        <v>83.8</v>
      </c>
      <c r="LH34" s="280">
        <v>90.2</v>
      </c>
      <c r="LI34" s="2" t="s">
        <v>37</v>
      </c>
      <c r="LJ34" s="280">
        <v>24</v>
      </c>
      <c r="LK34" s="280">
        <v>23.5</v>
      </c>
      <c r="LL34" s="280">
        <v>29</v>
      </c>
      <c r="LM34" s="280">
        <v>22</v>
      </c>
      <c r="LN34" s="280">
        <v>21.1</v>
      </c>
      <c r="LO34" s="280">
        <v>25.5</v>
      </c>
      <c r="LP34" s="280">
        <v>29.2</v>
      </c>
      <c r="LQ34" s="280">
        <v>23.6</v>
      </c>
      <c r="LR34" s="280">
        <v>19.8</v>
      </c>
      <c r="LS34" s="280">
        <v>22.1</v>
      </c>
      <c r="LT34" s="2" t="s">
        <v>37</v>
      </c>
      <c r="LU34" s="281"/>
      <c r="LV34" s="280">
        <v>8.1999999999999993</v>
      </c>
      <c r="LW34" s="280">
        <v>12.2</v>
      </c>
      <c r="LX34" s="280">
        <v>9.8000000000000007</v>
      </c>
      <c r="LY34" s="281"/>
      <c r="LZ34" s="281"/>
      <c r="MA34" s="281"/>
      <c r="MB34" s="280">
        <v>10.8</v>
      </c>
      <c r="MC34" s="280">
        <v>7.7</v>
      </c>
      <c r="MD34" s="280">
        <v>7.6</v>
      </c>
      <c r="ME34" s="2" t="s">
        <v>37</v>
      </c>
      <c r="MF34" s="280">
        <v>31</v>
      </c>
      <c r="MG34" s="280">
        <v>37.4</v>
      </c>
      <c r="MH34" s="280">
        <v>34.700000000000003</v>
      </c>
      <c r="MI34" s="280">
        <v>34.6</v>
      </c>
      <c r="MJ34" s="280">
        <v>31.1</v>
      </c>
      <c r="MK34" s="280">
        <v>36.5</v>
      </c>
      <c r="ML34" s="280">
        <v>35.299999999999997</v>
      </c>
      <c r="MM34" s="280">
        <v>40.799999999999997</v>
      </c>
      <c r="MN34" s="280">
        <v>40.200000000000003</v>
      </c>
      <c r="MO34" s="280">
        <v>41.7</v>
      </c>
      <c r="MP34" s="2" t="s">
        <v>37</v>
      </c>
      <c r="MQ34" s="280">
        <v>43.7</v>
      </c>
      <c r="MR34" s="280">
        <v>48.9</v>
      </c>
      <c r="MS34" s="280">
        <v>41.8</v>
      </c>
      <c r="MT34" s="280">
        <v>45.1</v>
      </c>
      <c r="MU34" s="280">
        <v>51.1</v>
      </c>
      <c r="MV34" s="280">
        <v>41</v>
      </c>
      <c r="MW34" s="280">
        <v>52.9</v>
      </c>
      <c r="MX34" s="280">
        <v>48.4</v>
      </c>
      <c r="MY34" s="280">
        <v>47.7</v>
      </c>
      <c r="MZ34" s="280">
        <v>42</v>
      </c>
      <c r="NA34" s="2" t="s">
        <v>37</v>
      </c>
      <c r="NB34" s="280">
        <v>37.200000000000003</v>
      </c>
      <c r="NC34" s="280">
        <v>43.5</v>
      </c>
      <c r="ND34" s="280">
        <v>40.299999999999997</v>
      </c>
      <c r="NE34" s="280">
        <v>35.799999999999997</v>
      </c>
      <c r="NF34" s="280">
        <v>30.5</v>
      </c>
      <c r="NG34" s="280">
        <v>28.9</v>
      </c>
      <c r="NH34" s="280">
        <v>31.3</v>
      </c>
      <c r="NI34" s="280">
        <v>33.9</v>
      </c>
      <c r="NJ34" s="280">
        <v>32.9</v>
      </c>
      <c r="NK34" s="280">
        <v>34.4</v>
      </c>
      <c r="NL34" s="2" t="s">
        <v>37</v>
      </c>
      <c r="NM34" s="280">
        <v>81.7</v>
      </c>
      <c r="NN34" s="280">
        <v>82.4</v>
      </c>
      <c r="NO34" s="280">
        <v>72.099999999999994</v>
      </c>
      <c r="NP34" s="280">
        <v>73.2</v>
      </c>
      <c r="NQ34" s="280">
        <v>71</v>
      </c>
      <c r="NR34" s="280">
        <v>80.7</v>
      </c>
      <c r="NS34" s="280">
        <v>67.2</v>
      </c>
      <c r="NT34" s="280">
        <v>78.2</v>
      </c>
      <c r="NU34" s="280">
        <v>88.7</v>
      </c>
      <c r="NV34" s="280">
        <v>90.2</v>
      </c>
      <c r="NW34" s="2" t="s">
        <v>37</v>
      </c>
      <c r="NX34" s="280">
        <v>77.599999999999994</v>
      </c>
      <c r="NY34" s="280">
        <v>80.900000000000006</v>
      </c>
      <c r="NZ34" s="280">
        <v>76.8</v>
      </c>
      <c r="OA34" s="280">
        <v>77.5</v>
      </c>
      <c r="OB34" s="280">
        <v>77.8</v>
      </c>
      <c r="OC34" s="280">
        <v>66.3</v>
      </c>
      <c r="OD34" s="280">
        <v>73.400000000000006</v>
      </c>
      <c r="OE34" s="280">
        <v>69.099999999999994</v>
      </c>
      <c r="OF34" s="280">
        <v>76.3</v>
      </c>
      <c r="OG34" s="280">
        <v>75.7</v>
      </c>
      <c r="OH34" s="191" t="s">
        <v>37</v>
      </c>
      <c r="OI34" s="192">
        <v>13.3</v>
      </c>
      <c r="OJ34" s="192">
        <v>13.6</v>
      </c>
      <c r="OK34" s="192">
        <v>13.9</v>
      </c>
      <c r="OL34" s="192">
        <v>12.1</v>
      </c>
      <c r="OM34" s="192">
        <v>12.1</v>
      </c>
      <c r="ON34" s="192">
        <v>12.4</v>
      </c>
      <c r="OO34" s="192">
        <v>12.6</v>
      </c>
      <c r="OP34" s="192">
        <v>11</v>
      </c>
      <c r="OQ34" s="192">
        <v>10.7</v>
      </c>
      <c r="OR34" s="192">
        <v>10.6</v>
      </c>
      <c r="OS34" s="2" t="s">
        <v>37</v>
      </c>
      <c r="OT34" s="340">
        <v>0.4</v>
      </c>
      <c r="OU34" s="340">
        <v>0.4</v>
      </c>
      <c r="OV34" s="340">
        <v>1.1000000000000001</v>
      </c>
      <c r="OW34" s="340">
        <v>0.8</v>
      </c>
      <c r="OX34" s="340">
        <v>0.7</v>
      </c>
      <c r="OY34" s="340">
        <v>0.4</v>
      </c>
      <c r="OZ34" s="340">
        <v>0.6</v>
      </c>
      <c r="PA34" s="340">
        <v>0.8</v>
      </c>
      <c r="PB34" s="340">
        <v>0.4</v>
      </c>
      <c r="PC34" s="340">
        <v>0.6</v>
      </c>
      <c r="PE34" s="210">
        <f>E34-'[1]Data-temp_employment'!F34</f>
        <v>9.9999999999997868E-2</v>
      </c>
      <c r="PF34" s="210">
        <f>F34-'[1]Data-temp_employment'!G34</f>
        <v>0</v>
      </c>
      <c r="PG34" s="210">
        <f>O34-'[1]Data-temp_employment'!P34</f>
        <v>26.300000000000068</v>
      </c>
      <c r="PH34" s="210">
        <f>P34-'[1]Data-temp_employment'!Q34</f>
        <v>22.100000000000023</v>
      </c>
      <c r="PI34" s="210">
        <f>AD34-'[1]Data-temp_employment'!AE34</f>
        <v>-7</v>
      </c>
      <c r="PJ34" s="210">
        <f>AE34-'[1]Data-temp_employment'!AF34</f>
        <v>-18.700000000000003</v>
      </c>
      <c r="PK34" s="210">
        <f>BR34-'[1]Data-temp_employment'!BS34</f>
        <v>8.7999999999999936</v>
      </c>
      <c r="PL34" s="210">
        <f>BS34-'[1]Data-temp_employment'!BT34</f>
        <v>-3.5000000000000036</v>
      </c>
      <c r="PM34" s="210">
        <f>CC34-'[1]Data-temp_employment'!CD34</f>
        <v>2.0999999999999943</v>
      </c>
      <c r="PN34" s="210">
        <f>CD34-'[1]Data-temp_employment'!CE34</f>
        <v>-2.1000000000000014</v>
      </c>
      <c r="PO34" s="210">
        <f>CR34-'[1]Data-temp_employment'!CS34</f>
        <v>-7.5</v>
      </c>
      <c r="PP34" s="210">
        <f>CS34-'[1]Data-temp_employment'!CT34</f>
        <v>-1.8000000000000114</v>
      </c>
      <c r="PQ34" s="210">
        <f>DC34-'[1]Data-temp_employment'!DD34</f>
        <v>23.100000000000023</v>
      </c>
      <c r="PR34" s="210">
        <f>DD34-'[1]Data-temp_employment'!DE34</f>
        <v>36.300000000000011</v>
      </c>
      <c r="PS34" s="210">
        <f>DN34-'[1]Data-temp_employment'!DO34</f>
        <v>-1.4000000000000057</v>
      </c>
      <c r="PT34" s="210">
        <f>DO34-'[1]Data-temp_employment'!DP34</f>
        <v>7.3000000000000114</v>
      </c>
      <c r="PU34" s="210">
        <f>EF34-'[1]Data-temp_employment'!EG34</f>
        <v>1.5</v>
      </c>
      <c r="PV34" s="210">
        <f>EG34-'[1]Data-temp_employment'!EH34</f>
        <v>4</v>
      </c>
      <c r="PW34" s="210">
        <f>EU34-'[1]Data-temp_employment'!EV34</f>
        <v>13.900000000000006</v>
      </c>
      <c r="PX34" s="210">
        <f>EV34-'[1]Data-temp_employment'!EW34</f>
        <v>7.4000000000000057</v>
      </c>
      <c r="PY34" s="210">
        <f>FF34-'[1]Data-temp_employment'!FG34</f>
        <v>-12.400000000000006</v>
      </c>
      <c r="PZ34" s="210">
        <f>FG34-'[1]Data-temp_employment'!FH34</f>
        <v>-1.0999999999999943</v>
      </c>
      <c r="QA34" s="210">
        <f>FQ34-'[1]Data-temp_employment'!FR34</f>
        <v>3.5999999999999943</v>
      </c>
      <c r="QB34" s="210">
        <f>FR34-'[1]Data-temp_employment'!FS34</f>
        <v>2.1000000000000085</v>
      </c>
      <c r="QC34" s="210">
        <f>GB34-'[1]Data-temp_employment'!GC34</f>
        <v>-6.3000000000000114</v>
      </c>
      <c r="QD34" s="210">
        <f>GC34-'[1]Data-temp_employment'!GD34</f>
        <v>11.100000000000023</v>
      </c>
      <c r="QE34" s="210">
        <f>GM34-'[1]Data-temp_employment'!GN34</f>
        <v>4.5999999999999979</v>
      </c>
      <c r="QF34" s="210">
        <f>GN34-'[1]Data-temp_employment'!GO34</f>
        <v>-4.6000000000000014</v>
      </c>
      <c r="QG34" s="210">
        <f>GX34-'[1]Data-temp_employment'!GY34</f>
        <v>15.600000000000009</v>
      </c>
      <c r="QH34" s="210">
        <f>GY34-'[1]Data-temp_employment'!GZ34</f>
        <v>6.5</v>
      </c>
      <c r="QI34" s="210">
        <f>HI34-'[1]Data-temp_employment'!HJ34</f>
        <v>4.3000000000000114</v>
      </c>
      <c r="QJ34" s="210">
        <f>HJ34-'[1]Data-temp_employment'!HK34</f>
        <v>9.2999999999999972</v>
      </c>
      <c r="QK34" s="210">
        <f>HT34-'[1]Data-temp_employment'!HU34</f>
        <v>1.1999999999999886</v>
      </c>
      <c r="QL34" s="210">
        <f>HU34-'[1]Data-temp_employment'!HV34</f>
        <v>10.700000000000017</v>
      </c>
      <c r="QM34" s="210">
        <f>IE34-'[1]Data-temp_employment'!IF34</f>
        <v>-11.7</v>
      </c>
      <c r="QN34" s="210">
        <f>IF34-'[1]Data-temp_employment'!IG34</f>
        <v>-7.9</v>
      </c>
      <c r="QO34" s="210">
        <f>JA34-'[1]Data-temp_employment'!JB34</f>
        <v>5.5999999999999979</v>
      </c>
      <c r="QP34" s="210">
        <f>JB34-'[1]Data-temp_employment'!JC34</f>
        <v>-8.3999999999999986</v>
      </c>
      <c r="QQ34" s="210">
        <f>JH34-'[1]Data-temp_employment'!JI34</f>
        <v>-10.300000000000011</v>
      </c>
      <c r="QR34" s="210">
        <f>JI34-'[1]Data-temp_employment'!JJ34</f>
        <v>-6.5999999999999943</v>
      </c>
      <c r="QS34" s="210">
        <f>JS34-'[1]Data-temp_employment'!JT34</f>
        <v>-13.100000000000001</v>
      </c>
      <c r="QT34" s="210">
        <f>JT34-'[1]Data-temp_employment'!JU34</f>
        <v>-3.6000000000000014</v>
      </c>
      <c r="QU34" s="210">
        <f>KD34-'[1]Data-temp_employment'!KE34</f>
        <v>12.300000000000011</v>
      </c>
      <c r="QV34" s="210">
        <f>KE34-'[1]Data-temp_employment'!KF34</f>
        <v>2.5999999999999943</v>
      </c>
      <c r="QW34" s="210">
        <f>KO34-'[1]Data-temp_employment'!KP34</f>
        <v>2.7000000000000028</v>
      </c>
      <c r="QX34" s="210">
        <f>KP34-'[1]Data-temp_employment'!KQ34</f>
        <v>3.2000000000000028</v>
      </c>
      <c r="QY34" s="210">
        <f>LD34-'[1]Data-temp_employment'!LE34</f>
        <v>18</v>
      </c>
      <c r="QZ34" s="210">
        <f>LE34-'[1]Data-temp_employment'!LF34</f>
        <v>20</v>
      </c>
      <c r="RA34" s="210">
        <f>LK34-'[1]Data-temp_employment'!LL34</f>
        <v>3.3000000000000007</v>
      </c>
      <c r="RB34" s="210">
        <f>LL34-'[1]Data-temp_employment'!LM34</f>
        <v>10.100000000000001</v>
      </c>
      <c r="RC34" s="210">
        <f>LV34-'[1]Data-temp_employment'!LW34</f>
        <v>-2</v>
      </c>
      <c r="RD34" s="210">
        <f>LW34-'[1]Data-temp_employment'!LX34</f>
        <v>12.2</v>
      </c>
      <c r="RE34" s="210">
        <f>MK34-'[1]Data-temp_employment'!ML34</f>
        <v>-0.89999999999999858</v>
      </c>
      <c r="RF34" s="210">
        <f>ML34-'[1]Data-temp_employment'!MM34</f>
        <v>0.59999999999999432</v>
      </c>
      <c r="RG34" s="210">
        <f>MV34-'[1]Data-temp_employment'!MW34</f>
        <v>-7.8999999999999986</v>
      </c>
      <c r="RH34" s="210">
        <f>MW34-'[1]Data-temp_employment'!MX34</f>
        <v>11.100000000000001</v>
      </c>
      <c r="RI34" s="210">
        <f>NG34-'[1]Data-temp_employment'!NH34</f>
        <v>-14.600000000000001</v>
      </c>
      <c r="RJ34" s="210">
        <f>NH34-'[1]Data-temp_employment'!NI34</f>
        <v>-8.9999999999999964</v>
      </c>
      <c r="RK34" s="210">
        <f>NR34-'[1]Data-temp_employment'!NS34</f>
        <v>-1.7000000000000028</v>
      </c>
      <c r="RL34" s="210">
        <f>NS34-'[1]Data-temp_employment'!NT34</f>
        <v>-4.8999999999999915</v>
      </c>
      <c r="RM34" s="210">
        <f>OC34-'[1]Data-temp_employment'!OD34</f>
        <v>-14.600000000000009</v>
      </c>
      <c r="RN34" s="210">
        <f>OD34-'[1]Data-temp_employment'!OE34</f>
        <v>-3.3999999999999915</v>
      </c>
      <c r="RO34" s="210">
        <f>OT34-'[1]Data-temp_employment'!OV34</f>
        <v>0.10000000000000003</v>
      </c>
      <c r="RP34" s="210">
        <f>OU34-'[1]Data-temp_employment'!OW34</f>
        <v>0.30000000000000004</v>
      </c>
      <c r="RQ34" s="13"/>
    </row>
    <row r="35" spans="1:485" s="345" customFormat="1">
      <c r="A35" s="345">
        <v>32</v>
      </c>
      <c r="B35" s="346" t="s">
        <v>38</v>
      </c>
      <c r="C35" s="347">
        <v>1.4</v>
      </c>
      <c r="D35" s="347">
        <v>1.4</v>
      </c>
      <c r="E35" s="347">
        <v>1.4</v>
      </c>
      <c r="F35" s="347">
        <v>1.3</v>
      </c>
      <c r="G35" s="347">
        <v>1.2</v>
      </c>
      <c r="H35" s="347">
        <v>1.2</v>
      </c>
      <c r="I35" s="347">
        <v>1.2</v>
      </c>
      <c r="J35" s="347">
        <v>1.2</v>
      </c>
      <c r="K35" s="347">
        <v>1.2</v>
      </c>
      <c r="L35" s="347">
        <v>1</v>
      </c>
      <c r="M35" s="346" t="s">
        <v>38</v>
      </c>
      <c r="N35" s="347">
        <v>83.7</v>
      </c>
      <c r="O35" s="347">
        <v>87.3</v>
      </c>
      <c r="P35" s="347">
        <v>88.1</v>
      </c>
      <c r="Q35" s="347">
        <v>82.5</v>
      </c>
      <c r="R35" s="347">
        <v>72.7</v>
      </c>
      <c r="S35" s="347">
        <v>73.400000000000006</v>
      </c>
      <c r="T35" s="347">
        <v>79.599999999999994</v>
      </c>
      <c r="U35" s="347">
        <v>78.5</v>
      </c>
      <c r="V35" s="347">
        <v>74.400000000000006</v>
      </c>
      <c r="W35" s="347">
        <v>66.900000000000006</v>
      </c>
      <c r="X35" s="346" t="s">
        <v>38</v>
      </c>
      <c r="Y35" s="348"/>
      <c r="Z35" s="348"/>
      <c r="AA35" s="348"/>
      <c r="AB35" s="348"/>
      <c r="AC35" s="348"/>
      <c r="AD35" s="348"/>
      <c r="AE35" s="348"/>
      <c r="AF35" s="348"/>
      <c r="AG35" s="348"/>
      <c r="AH35" s="348"/>
      <c r="AI35" s="346" t="s">
        <v>38</v>
      </c>
      <c r="AJ35" s="348"/>
      <c r="AK35" s="347">
        <v>11</v>
      </c>
      <c r="AL35" s="347">
        <v>15.5</v>
      </c>
      <c r="AM35" s="347">
        <v>11.5</v>
      </c>
      <c r="AN35" s="347">
        <v>7.1</v>
      </c>
      <c r="AO35" s="347">
        <v>8.8000000000000007</v>
      </c>
      <c r="AP35" s="347">
        <v>15.9</v>
      </c>
      <c r="AQ35" s="347">
        <v>12.3</v>
      </c>
      <c r="AR35" s="347">
        <v>10.5</v>
      </c>
      <c r="AS35" s="347">
        <v>10.9</v>
      </c>
      <c r="AT35" s="346" t="s">
        <v>38</v>
      </c>
      <c r="AU35" s="347">
        <v>20.6</v>
      </c>
      <c r="AV35" s="347">
        <v>25.8</v>
      </c>
      <c r="AW35" s="347">
        <v>23.5</v>
      </c>
      <c r="AX35" s="347">
        <v>24.5</v>
      </c>
      <c r="AY35" s="347">
        <v>17.8</v>
      </c>
      <c r="AZ35" s="347">
        <v>19.2</v>
      </c>
      <c r="BA35" s="347">
        <v>25</v>
      </c>
      <c r="BB35" s="347">
        <v>23.7</v>
      </c>
      <c r="BC35" s="347">
        <v>19.899999999999999</v>
      </c>
      <c r="BD35" s="347">
        <v>22.4</v>
      </c>
      <c r="BE35" s="346" t="s">
        <v>38</v>
      </c>
      <c r="BF35" s="351">
        <v>43.9</v>
      </c>
      <c r="BG35" s="351">
        <v>38.799999999999997</v>
      </c>
      <c r="BH35" s="351">
        <v>32.700000000000003</v>
      </c>
      <c r="BI35" s="351">
        <v>35.799999999999997</v>
      </c>
      <c r="BJ35" s="351">
        <v>38.299999999999997</v>
      </c>
      <c r="BK35" s="351">
        <v>36</v>
      </c>
      <c r="BL35" s="351">
        <v>29</v>
      </c>
      <c r="BM35" s="351">
        <v>34.299999999999997</v>
      </c>
      <c r="BN35" s="351">
        <v>34.700000000000003</v>
      </c>
      <c r="BO35" s="351">
        <v>25.6</v>
      </c>
      <c r="BP35" s="346" t="s">
        <v>38</v>
      </c>
      <c r="BQ35" s="350"/>
      <c r="BR35" s="350"/>
      <c r="BS35" s="350"/>
      <c r="BT35" s="350"/>
      <c r="BU35" s="350"/>
      <c r="BV35" s="350"/>
      <c r="BW35" s="350"/>
      <c r="BX35" s="350"/>
      <c r="BY35" s="350"/>
      <c r="BZ35" s="350"/>
      <c r="CA35" s="356" t="s">
        <v>38</v>
      </c>
      <c r="CB35" s="350"/>
      <c r="CC35" s="350"/>
      <c r="CD35" s="350"/>
      <c r="CE35" s="350"/>
      <c r="CF35" s="350"/>
      <c r="CG35" s="350"/>
      <c r="CH35" s="350"/>
      <c r="CI35" s="350"/>
      <c r="CJ35" s="350"/>
      <c r="CK35" s="350"/>
      <c r="CL35" s="346" t="s">
        <v>38</v>
      </c>
      <c r="CM35" s="351">
        <v>26</v>
      </c>
      <c r="CN35" s="351">
        <v>28</v>
      </c>
      <c r="CO35" s="351">
        <v>23.5</v>
      </c>
      <c r="CP35" s="351">
        <v>22</v>
      </c>
      <c r="CQ35" s="351">
        <v>22.7</v>
      </c>
      <c r="CR35" s="351">
        <v>23.5</v>
      </c>
      <c r="CS35" s="351">
        <v>22.8</v>
      </c>
      <c r="CT35" s="351">
        <v>25.3</v>
      </c>
      <c r="CU35" s="351">
        <v>20.7</v>
      </c>
      <c r="CV35" s="351">
        <v>22.4</v>
      </c>
      <c r="CW35" s="346" t="s">
        <v>38</v>
      </c>
      <c r="CX35" s="351">
        <v>50.9</v>
      </c>
      <c r="CY35" s="351">
        <v>52.1</v>
      </c>
      <c r="CZ35" s="351">
        <v>57.8</v>
      </c>
      <c r="DA35" s="351">
        <v>54.9</v>
      </c>
      <c r="DB35" s="351">
        <v>45.9</v>
      </c>
      <c r="DC35" s="351">
        <v>43.7</v>
      </c>
      <c r="DD35" s="351">
        <v>51.3</v>
      </c>
      <c r="DE35" s="351">
        <v>46.7</v>
      </c>
      <c r="DF35" s="351">
        <v>48.8</v>
      </c>
      <c r="DG35" s="351">
        <v>40.799999999999997</v>
      </c>
      <c r="DH35" s="346" t="s">
        <v>38</v>
      </c>
      <c r="DI35" s="351"/>
      <c r="DJ35" s="351"/>
      <c r="DK35" s="351"/>
      <c r="DL35" s="349"/>
      <c r="DM35" s="349"/>
      <c r="DN35" s="349"/>
      <c r="DO35" s="349"/>
      <c r="DP35" s="349"/>
      <c r="DQ35" s="349"/>
      <c r="DR35" s="349"/>
      <c r="DS35" s="346" t="s">
        <v>38</v>
      </c>
      <c r="DT35" s="349"/>
      <c r="DU35" s="349"/>
      <c r="DV35" s="349"/>
      <c r="DW35" s="349"/>
      <c r="DX35" s="349"/>
      <c r="DY35" s="349"/>
      <c r="DZ35" s="349"/>
      <c r="EA35" s="349"/>
      <c r="EB35" s="349"/>
      <c r="EC35" s="349"/>
      <c r="ED35" s="349" t="s">
        <v>38</v>
      </c>
      <c r="EE35" s="349"/>
      <c r="EF35" s="349"/>
      <c r="EG35" s="349"/>
      <c r="EH35" s="349"/>
      <c r="EI35" s="349"/>
      <c r="EJ35" s="349"/>
      <c r="EK35" s="349"/>
      <c r="EL35" s="349"/>
      <c r="EM35" s="349"/>
      <c r="EN35" s="349"/>
      <c r="EO35" s="349" t="s">
        <v>38</v>
      </c>
      <c r="EP35" s="349"/>
      <c r="EQ35" s="349"/>
      <c r="ER35" s="349"/>
      <c r="ES35" s="349"/>
      <c r="ET35" s="349"/>
      <c r="EU35" s="349"/>
      <c r="EV35" s="349"/>
      <c r="EW35" s="349"/>
      <c r="EX35" s="349"/>
      <c r="EY35" s="349"/>
      <c r="EZ35" s="349" t="s">
        <v>38</v>
      </c>
      <c r="FA35" s="349"/>
      <c r="FB35" s="349"/>
      <c r="FC35" s="349"/>
      <c r="FD35" s="349"/>
      <c r="FE35" s="349"/>
      <c r="FF35" s="349"/>
      <c r="FG35" s="349"/>
      <c r="FH35" s="349"/>
      <c r="FI35" s="349"/>
      <c r="FJ35" s="349"/>
      <c r="FK35" s="349" t="s">
        <v>38</v>
      </c>
      <c r="FL35" s="349"/>
      <c r="FM35" s="349"/>
      <c r="FN35" s="349"/>
      <c r="FO35" s="349"/>
      <c r="FP35" s="349"/>
      <c r="FQ35" s="349"/>
      <c r="FR35" s="349"/>
      <c r="FS35" s="349"/>
      <c r="FT35" s="349"/>
      <c r="FU35" s="349"/>
      <c r="FV35" s="349" t="s">
        <v>38</v>
      </c>
      <c r="FW35" s="351">
        <v>12.1</v>
      </c>
      <c r="FX35" s="351">
        <v>13.5</v>
      </c>
      <c r="FY35" s="351">
        <v>9.9</v>
      </c>
      <c r="FZ35" s="351">
        <v>8.6999999999999993</v>
      </c>
      <c r="GA35" s="351">
        <v>13.1</v>
      </c>
      <c r="GB35" s="351">
        <v>8.4</v>
      </c>
      <c r="GC35" s="351">
        <v>14.2</v>
      </c>
      <c r="GD35" s="351">
        <v>15.7</v>
      </c>
      <c r="GE35" s="351">
        <v>12</v>
      </c>
      <c r="GF35" s="351">
        <v>10.5</v>
      </c>
      <c r="GG35" s="349" t="s">
        <v>38</v>
      </c>
      <c r="GH35" s="351">
        <v>9.8000000000000007</v>
      </c>
      <c r="GI35" s="351">
        <v>14.8</v>
      </c>
      <c r="GJ35" s="351">
        <v>15.3</v>
      </c>
      <c r="GK35" s="351">
        <v>12.6</v>
      </c>
      <c r="GL35" s="351">
        <v>10</v>
      </c>
      <c r="GM35" s="351">
        <v>13.4</v>
      </c>
      <c r="GN35" s="351">
        <v>15.2</v>
      </c>
      <c r="GO35" s="351">
        <v>15.3</v>
      </c>
      <c r="GP35" s="351">
        <v>11</v>
      </c>
      <c r="GQ35" s="351">
        <v>10</v>
      </c>
      <c r="GR35" s="349" t="s">
        <v>38</v>
      </c>
      <c r="GS35" s="351">
        <v>21.8</v>
      </c>
      <c r="GT35" s="351">
        <v>21.7</v>
      </c>
      <c r="GU35" s="351">
        <v>21.7</v>
      </c>
      <c r="GV35" s="351">
        <v>24.3</v>
      </c>
      <c r="GW35" s="351">
        <v>18.8</v>
      </c>
      <c r="GX35" s="351">
        <v>17.2</v>
      </c>
      <c r="GY35" s="351">
        <v>16.600000000000001</v>
      </c>
      <c r="GZ35" s="351">
        <v>20.6</v>
      </c>
      <c r="HA35" s="351">
        <v>21.5</v>
      </c>
      <c r="HB35" s="351">
        <v>17.5</v>
      </c>
      <c r="HC35" s="349" t="s">
        <v>38</v>
      </c>
      <c r="HD35" s="349"/>
      <c r="HE35" s="351"/>
      <c r="HF35" s="349"/>
      <c r="HG35" s="351"/>
      <c r="HH35" s="349"/>
      <c r="HI35" s="349"/>
      <c r="HJ35" s="349"/>
      <c r="HK35" s="349"/>
      <c r="HL35" s="349"/>
      <c r="HM35" s="349"/>
      <c r="HN35" s="349" t="s">
        <v>38</v>
      </c>
      <c r="HO35" s="351">
        <v>24.6</v>
      </c>
      <c r="HP35" s="351">
        <v>23.4</v>
      </c>
      <c r="HQ35" s="351">
        <v>27.2</v>
      </c>
      <c r="HR35" s="351">
        <v>21.8</v>
      </c>
      <c r="HS35" s="351">
        <v>19.7</v>
      </c>
      <c r="HT35" s="351">
        <v>22</v>
      </c>
      <c r="HU35" s="351">
        <v>24</v>
      </c>
      <c r="HV35" s="351">
        <v>15.3</v>
      </c>
      <c r="HW35" s="351">
        <v>19.7</v>
      </c>
      <c r="HX35" s="351">
        <v>22.5</v>
      </c>
      <c r="HY35" s="349" t="s">
        <v>38</v>
      </c>
      <c r="HZ35" s="349"/>
      <c r="IA35" s="349"/>
      <c r="IB35" s="349"/>
      <c r="IC35" s="349"/>
      <c r="ID35" s="349"/>
      <c r="IE35" s="349"/>
      <c r="IF35" s="349"/>
      <c r="IG35" s="349"/>
      <c r="IH35" s="349"/>
      <c r="II35" s="349"/>
      <c r="IJ35" s="349" t="s">
        <v>38</v>
      </c>
      <c r="IK35" s="349"/>
      <c r="IL35" s="349"/>
      <c r="IM35" s="349"/>
      <c r="IN35" s="349"/>
      <c r="IO35" s="349"/>
      <c r="IP35" s="349"/>
      <c r="IQ35" s="349"/>
      <c r="IR35" s="349"/>
      <c r="IS35" s="349"/>
      <c r="IT35" s="349"/>
      <c r="IU35" s="349" t="s">
        <v>38</v>
      </c>
      <c r="IV35" s="351">
        <v>11</v>
      </c>
      <c r="IW35" s="351">
        <v>15.3</v>
      </c>
      <c r="IX35" s="351">
        <v>19.399999999999999</v>
      </c>
      <c r="IY35" s="351">
        <v>14.2</v>
      </c>
      <c r="IZ35" s="351">
        <v>12.4</v>
      </c>
      <c r="JA35" s="351">
        <v>18.2</v>
      </c>
      <c r="JB35" s="351">
        <v>24.5</v>
      </c>
      <c r="JC35" s="351">
        <v>20.3</v>
      </c>
      <c r="JD35" s="351">
        <v>14.9</v>
      </c>
      <c r="JE35" s="351">
        <v>20</v>
      </c>
      <c r="JF35" s="349" t="s">
        <v>38</v>
      </c>
      <c r="JG35" s="351">
        <v>17.3</v>
      </c>
      <c r="JH35" s="351">
        <v>13.6</v>
      </c>
      <c r="JI35" s="351">
        <v>10.6</v>
      </c>
      <c r="JJ35" s="351">
        <v>11.9</v>
      </c>
      <c r="JK35" s="351">
        <v>9.9</v>
      </c>
      <c r="JL35" s="351">
        <v>10.4</v>
      </c>
      <c r="JM35" s="351">
        <v>8.1</v>
      </c>
      <c r="JN35" s="351">
        <v>9.3000000000000007</v>
      </c>
      <c r="JO35" s="351">
        <v>12.6</v>
      </c>
      <c r="JP35" s="351">
        <v>10.1</v>
      </c>
      <c r="JQ35" s="349" t="s">
        <v>38</v>
      </c>
      <c r="JR35" s="351">
        <v>21.8</v>
      </c>
      <c r="JS35" s="351">
        <v>26.1</v>
      </c>
      <c r="JT35" s="351">
        <v>26.1</v>
      </c>
      <c r="JU35" s="351">
        <v>28</v>
      </c>
      <c r="JV35" s="351">
        <v>22.7</v>
      </c>
      <c r="JW35" s="351">
        <v>20.399999999999999</v>
      </c>
      <c r="JX35" s="351">
        <v>19.5</v>
      </c>
      <c r="JY35" s="351">
        <v>19.600000000000001</v>
      </c>
      <c r="JZ35" s="351">
        <v>17.5</v>
      </c>
      <c r="KA35" s="351">
        <v>11.7</v>
      </c>
      <c r="KB35" s="349" t="s">
        <v>38</v>
      </c>
      <c r="KC35" s="349"/>
      <c r="KD35" s="349"/>
      <c r="KE35" s="349"/>
      <c r="KF35" s="349"/>
      <c r="KG35" s="349"/>
      <c r="KH35" s="349"/>
      <c r="KI35" s="349"/>
      <c r="KJ35" s="349"/>
      <c r="KK35" s="349"/>
      <c r="KL35" s="349"/>
      <c r="KM35" s="349" t="s">
        <v>38</v>
      </c>
      <c r="KN35" s="349"/>
      <c r="KO35" s="349"/>
      <c r="KP35" s="349"/>
      <c r="KQ35" s="349"/>
      <c r="KR35" s="349"/>
      <c r="KS35" s="349"/>
      <c r="KT35" s="349"/>
      <c r="KU35" s="349"/>
      <c r="KV35" s="349"/>
      <c r="KW35" s="349"/>
      <c r="KX35" s="349" t="s">
        <v>38</v>
      </c>
      <c r="KY35" s="349"/>
      <c r="KZ35" s="351"/>
      <c r="LA35" s="351"/>
      <c r="LB35" s="349"/>
      <c r="LC35" s="349"/>
      <c r="LD35" s="349"/>
      <c r="LE35" s="351"/>
      <c r="LF35" s="349"/>
      <c r="LG35" s="349"/>
      <c r="LH35" s="349"/>
      <c r="LI35" s="349" t="s">
        <v>38</v>
      </c>
      <c r="LJ35" s="349"/>
      <c r="LK35" s="349"/>
      <c r="LL35" s="349"/>
      <c r="LM35" s="349"/>
      <c r="LN35" s="349"/>
      <c r="LO35" s="349"/>
      <c r="LP35" s="349"/>
      <c r="LQ35" s="349"/>
      <c r="LR35" s="349"/>
      <c r="LS35" s="349"/>
      <c r="LT35" s="349" t="s">
        <v>38</v>
      </c>
      <c r="LU35" s="349"/>
      <c r="LV35" s="349"/>
      <c r="LW35" s="349"/>
      <c r="LX35" s="349"/>
      <c r="LY35" s="349"/>
      <c r="LZ35" s="349"/>
      <c r="MA35" s="349"/>
      <c r="MB35" s="349"/>
      <c r="MC35" s="349"/>
      <c r="MD35" s="349"/>
      <c r="ME35" s="349" t="s">
        <v>38</v>
      </c>
      <c r="MF35" s="349"/>
      <c r="MG35" s="349"/>
      <c r="MH35" s="349"/>
      <c r="MI35" s="349"/>
      <c r="MJ35" s="349"/>
      <c r="MK35" s="349"/>
      <c r="ML35" s="349"/>
      <c r="MM35" s="349"/>
      <c r="MN35" s="349"/>
      <c r="MO35" s="349"/>
      <c r="MP35" s="349" t="s">
        <v>38</v>
      </c>
      <c r="MQ35" s="349"/>
      <c r="MR35" s="349"/>
      <c r="MS35" s="349"/>
      <c r="MT35" s="349"/>
      <c r="MU35" s="349"/>
      <c r="MV35" s="349"/>
      <c r="MW35" s="349"/>
      <c r="MX35" s="349"/>
      <c r="MY35" s="349"/>
      <c r="MZ35" s="349"/>
      <c r="NA35" s="349" t="s">
        <v>38</v>
      </c>
      <c r="NB35" s="349"/>
      <c r="NC35" s="349"/>
      <c r="ND35" s="349"/>
      <c r="NE35" s="349"/>
      <c r="NF35" s="349"/>
      <c r="NG35" s="349"/>
      <c r="NH35" s="349"/>
      <c r="NI35" s="349"/>
      <c r="NJ35" s="349"/>
      <c r="NK35" s="349"/>
      <c r="NL35" s="349" t="s">
        <v>38</v>
      </c>
      <c r="NM35" s="349"/>
      <c r="NN35" s="349"/>
      <c r="NO35" s="349"/>
      <c r="NP35" s="349"/>
      <c r="NQ35" s="349"/>
      <c r="NR35" s="349"/>
      <c r="NS35" s="349"/>
      <c r="NT35" s="349"/>
      <c r="NU35" s="349"/>
      <c r="NV35" s="349"/>
      <c r="NW35" s="349" t="s">
        <v>38</v>
      </c>
      <c r="NX35" s="349"/>
      <c r="NY35" s="349"/>
      <c r="NZ35" s="349"/>
      <c r="OA35" s="349"/>
      <c r="OB35" s="349"/>
      <c r="OC35" s="349"/>
      <c r="OD35" s="349"/>
      <c r="OE35" s="349"/>
      <c r="OF35" s="349"/>
      <c r="OG35" s="349"/>
      <c r="OH35" s="346" t="s">
        <v>38</v>
      </c>
      <c r="OI35" s="352">
        <v>6.5</v>
      </c>
      <c r="OJ35" s="352">
        <v>6.7</v>
      </c>
      <c r="OK35" s="352">
        <v>7.4</v>
      </c>
      <c r="OL35" s="352">
        <v>6.7</v>
      </c>
      <c r="OM35" s="352">
        <v>6.5</v>
      </c>
      <c r="ON35" s="352">
        <v>6.6</v>
      </c>
      <c r="OO35" s="352">
        <v>6.6</v>
      </c>
      <c r="OP35" s="352">
        <v>5.9</v>
      </c>
      <c r="OQ35" s="352">
        <v>5.7</v>
      </c>
      <c r="OR35" s="352">
        <v>5.5</v>
      </c>
      <c r="OS35" s="349" t="s">
        <v>38</v>
      </c>
      <c r="OT35" s="353">
        <v>1.4</v>
      </c>
      <c r="OU35" s="353">
        <v>1.4</v>
      </c>
      <c r="OV35" s="353">
        <v>0</v>
      </c>
      <c r="OW35" s="353">
        <v>2</v>
      </c>
      <c r="OX35" s="353">
        <v>2.5</v>
      </c>
      <c r="OY35" s="353">
        <v>1.6</v>
      </c>
      <c r="OZ35" s="353">
        <v>2</v>
      </c>
      <c r="PA35" s="353">
        <v>0.4</v>
      </c>
      <c r="PB35" s="353">
        <v>0.3</v>
      </c>
      <c r="PC35" s="353">
        <v>1.5</v>
      </c>
      <c r="PE35" s="354">
        <f>E35-'[1]Data-temp_employment'!F35</f>
        <v>9.9999999999999867E-2</v>
      </c>
      <c r="PF35" s="354">
        <f>F35-'[1]Data-temp_employment'!G35</f>
        <v>0.10000000000000009</v>
      </c>
      <c r="PG35" s="354">
        <f>O35-'[1]Data-temp_employment'!P35</f>
        <v>-14.5</v>
      </c>
      <c r="PH35" s="354">
        <f>P35-'[1]Data-temp_employment'!Q35</f>
        <v>10.199999999999989</v>
      </c>
      <c r="PI35" s="354">
        <f>AD35-'[1]Data-temp_employment'!AE35</f>
        <v>0</v>
      </c>
      <c r="PJ35" s="354">
        <f>AE35-'[1]Data-temp_employment'!AF35</f>
        <v>0</v>
      </c>
      <c r="PK35" s="354">
        <f>BR35-'[1]Data-temp_employment'!BS35</f>
        <v>0</v>
      </c>
      <c r="PL35" s="354">
        <f>BS35-'[1]Data-temp_employment'!BT35</f>
        <v>0</v>
      </c>
      <c r="PM35" s="354">
        <f>CC35-'[1]Data-temp_employment'!CD35</f>
        <v>0</v>
      </c>
      <c r="PN35" s="354">
        <f>CD35-'[1]Data-temp_employment'!CE35</f>
        <v>0</v>
      </c>
      <c r="PO35" s="354">
        <f>CR35-'[1]Data-temp_employment'!CS35</f>
        <v>-4.5</v>
      </c>
      <c r="PP35" s="354">
        <f>CS35-'[1]Data-temp_employment'!CT35</f>
        <v>-0.69999999999999929</v>
      </c>
      <c r="PQ35" s="354">
        <f>DC35-'[1]Data-temp_employment'!DD35</f>
        <v>-8.3999999999999986</v>
      </c>
      <c r="PR35" s="354">
        <f>DD35-'[1]Data-temp_employment'!DE35</f>
        <v>-6.5</v>
      </c>
      <c r="PS35" s="354">
        <f>DN35-'[1]Data-temp_employment'!DO35</f>
        <v>-7.2</v>
      </c>
      <c r="PT35" s="354">
        <f>DO35-'[1]Data-temp_employment'!DP35</f>
        <v>-6.7</v>
      </c>
      <c r="PU35" s="354">
        <f>EF35-'[1]Data-temp_employment'!EG35</f>
        <v>0</v>
      </c>
      <c r="PV35" s="354">
        <f>EG35-'[1]Data-temp_employment'!EH35</f>
        <v>0</v>
      </c>
      <c r="PW35" s="354">
        <f>EU35-'[1]Data-temp_employment'!EV35</f>
        <v>0</v>
      </c>
      <c r="PX35" s="354">
        <f>EV35-'[1]Data-temp_employment'!EW35</f>
        <v>0</v>
      </c>
      <c r="PY35" s="354">
        <f>FF35-'[1]Data-temp_employment'!FG35</f>
        <v>0</v>
      </c>
      <c r="PZ35" s="354">
        <f>FG35-'[1]Data-temp_employment'!FH35</f>
        <v>0</v>
      </c>
      <c r="QA35" s="354">
        <f>FQ35-'[1]Data-temp_employment'!FR35</f>
        <v>0</v>
      </c>
      <c r="QB35" s="354">
        <f>FR35-'[1]Data-temp_employment'!FS35</f>
        <v>0</v>
      </c>
      <c r="QC35" s="354">
        <f>GB35-'[1]Data-temp_employment'!GC35</f>
        <v>-5.0999999999999996</v>
      </c>
      <c r="QD35" s="354">
        <f>GC35-'[1]Data-temp_employment'!GD35</f>
        <v>4.2999999999999989</v>
      </c>
      <c r="QE35" s="354">
        <f>GM35-'[1]Data-temp_employment'!GN35</f>
        <v>-1.4000000000000004</v>
      </c>
      <c r="QF35" s="354">
        <f>GN35-'[1]Data-temp_employment'!GO35</f>
        <v>-0.10000000000000142</v>
      </c>
      <c r="QG35" s="354">
        <f>GX35-'[1]Data-temp_employment'!GY35</f>
        <v>-4.5</v>
      </c>
      <c r="QH35" s="354">
        <f>GY35-'[1]Data-temp_employment'!GZ35</f>
        <v>-5.0999999999999979</v>
      </c>
      <c r="QI35" s="354">
        <f>HI35-'[1]Data-temp_employment'!HJ35</f>
        <v>-6.9</v>
      </c>
      <c r="QJ35" s="354">
        <f>HJ35-'[1]Data-temp_employment'!HK35</f>
        <v>0</v>
      </c>
      <c r="QK35" s="354">
        <f>HT35-'[1]Data-temp_employment'!HU35</f>
        <v>-1.3999999999999986</v>
      </c>
      <c r="QL35" s="354">
        <f>HU35-'[1]Data-temp_employment'!HV35</f>
        <v>-3.1999999999999993</v>
      </c>
      <c r="QM35" s="354">
        <f>IE35-'[1]Data-temp_employment'!IF35</f>
        <v>0</v>
      </c>
      <c r="QN35" s="354">
        <f>IF35-'[1]Data-temp_employment'!IG35</f>
        <v>0</v>
      </c>
      <c r="QO35" s="354">
        <f>JA35-'[1]Data-temp_employment'!JB35</f>
        <v>2.8999999999999986</v>
      </c>
      <c r="QP35" s="354">
        <f>JB35-'[1]Data-temp_employment'!JC35</f>
        <v>5.1000000000000014</v>
      </c>
      <c r="QQ35" s="354">
        <f>JH35-'[1]Data-temp_employment'!JI35</f>
        <v>-2.7999999999999989</v>
      </c>
      <c r="QR35" s="354">
        <f>JI35-'[1]Data-temp_employment'!JJ35</f>
        <v>2.6999999999999993</v>
      </c>
      <c r="QS35" s="354">
        <f>JS35-'[1]Data-temp_employment'!JT35</f>
        <v>1.4000000000000021</v>
      </c>
      <c r="QT35" s="354">
        <f>JT35-'[1]Data-temp_employment'!JU35</f>
        <v>6.8000000000000007</v>
      </c>
      <c r="QU35" s="354">
        <f>KD35-'[1]Data-temp_employment'!KE35</f>
        <v>0</v>
      </c>
      <c r="QV35" s="354">
        <f>KE35-'[1]Data-temp_employment'!KF35</f>
        <v>0</v>
      </c>
      <c r="QW35" s="354">
        <f>KO35-'[1]Data-temp_employment'!KP35</f>
        <v>0</v>
      </c>
      <c r="QX35" s="354">
        <f>KP35-'[1]Data-temp_employment'!KQ35</f>
        <v>0</v>
      </c>
      <c r="QY35" s="354">
        <f>LD35-'[1]Data-temp_employment'!LE35</f>
        <v>0</v>
      </c>
      <c r="QZ35" s="354">
        <f>LE35-'[1]Data-temp_employment'!LF35</f>
        <v>0</v>
      </c>
      <c r="RA35" s="354">
        <f>LK35-'[1]Data-temp_employment'!LL35</f>
        <v>0</v>
      </c>
      <c r="RB35" s="354">
        <f>LL35-'[1]Data-temp_employment'!LM35</f>
        <v>0</v>
      </c>
      <c r="RC35" s="354">
        <f>LV35-'[1]Data-temp_employment'!LW35</f>
        <v>0</v>
      </c>
      <c r="RD35" s="354">
        <f>LW35-'[1]Data-temp_employment'!LX35</f>
        <v>0</v>
      </c>
      <c r="RE35" s="354">
        <f>MK35-'[1]Data-temp_employment'!ML35</f>
        <v>0</v>
      </c>
      <c r="RF35" s="354">
        <f>ML35-'[1]Data-temp_employment'!MM35</f>
        <v>0</v>
      </c>
      <c r="RG35" s="354">
        <f>MV35-'[1]Data-temp_employment'!MW35</f>
        <v>0</v>
      </c>
      <c r="RH35" s="354">
        <f>MW35-'[1]Data-temp_employment'!MX35</f>
        <v>0</v>
      </c>
      <c r="RI35" s="354">
        <f>NG35-'[1]Data-temp_employment'!NH35</f>
        <v>0</v>
      </c>
      <c r="RJ35" s="354">
        <f>NH35-'[1]Data-temp_employment'!NI35</f>
        <v>0</v>
      </c>
      <c r="RK35" s="354">
        <f>NR35-'[1]Data-temp_employment'!NS35</f>
        <v>0</v>
      </c>
      <c r="RL35" s="354">
        <f>NS35-'[1]Data-temp_employment'!NT35</f>
        <v>0</v>
      </c>
      <c r="RM35" s="354">
        <f>OC35-'[1]Data-temp_employment'!OD35</f>
        <v>0</v>
      </c>
      <c r="RN35" s="354">
        <f>OD35-'[1]Data-temp_employment'!OE35</f>
        <v>0</v>
      </c>
      <c r="RO35" s="354">
        <f>OT35-'[1]Data-temp_employment'!OV35</f>
        <v>1.4</v>
      </c>
      <c r="RP35" s="354">
        <f>OU35-'[1]Data-temp_employment'!OW35</f>
        <v>-0.5</v>
      </c>
    </row>
    <row r="36" spans="1:485" s="345" customFormat="1">
      <c r="A36" s="345">
        <v>33</v>
      </c>
      <c r="B36" s="346" t="s">
        <v>40</v>
      </c>
      <c r="C36" s="347">
        <v>9.9</v>
      </c>
      <c r="D36" s="347">
        <v>10</v>
      </c>
      <c r="E36" s="347">
        <v>10</v>
      </c>
      <c r="F36" s="347">
        <v>10</v>
      </c>
      <c r="G36" s="347">
        <v>9.1</v>
      </c>
      <c r="H36" s="347">
        <v>9.5</v>
      </c>
      <c r="I36" s="347">
        <v>9.6</v>
      </c>
      <c r="J36" s="347">
        <v>9.4</v>
      </c>
      <c r="K36" s="347">
        <v>8.8000000000000007</v>
      </c>
      <c r="L36" s="347">
        <v>8.3000000000000007</v>
      </c>
      <c r="M36" s="346" t="s">
        <v>40</v>
      </c>
      <c r="N36" s="347">
        <v>203.9</v>
      </c>
      <c r="O36" s="347">
        <v>209.1</v>
      </c>
      <c r="P36" s="347">
        <v>211</v>
      </c>
      <c r="Q36" s="347">
        <v>208.8</v>
      </c>
      <c r="R36" s="347">
        <v>190.7</v>
      </c>
      <c r="S36" s="347">
        <v>201.3</v>
      </c>
      <c r="T36" s="347">
        <v>205.9</v>
      </c>
      <c r="U36" s="347">
        <v>201.1</v>
      </c>
      <c r="V36" s="347">
        <v>189</v>
      </c>
      <c r="W36" s="347">
        <v>177.8</v>
      </c>
      <c r="X36" s="346" t="s">
        <v>40</v>
      </c>
      <c r="Y36" s="347">
        <v>16.3</v>
      </c>
      <c r="Z36" s="347">
        <v>16.600000000000001</v>
      </c>
      <c r="AA36" s="347">
        <v>19.5</v>
      </c>
      <c r="AB36" s="347">
        <v>15.3</v>
      </c>
      <c r="AC36" s="347">
        <v>18.8</v>
      </c>
      <c r="AD36" s="347">
        <v>6.6</v>
      </c>
      <c r="AE36" s="347">
        <v>9.6999999999999993</v>
      </c>
      <c r="AF36" s="347">
        <v>7.3</v>
      </c>
      <c r="AG36" s="347">
        <v>6.9</v>
      </c>
      <c r="AH36" s="347">
        <v>7.5</v>
      </c>
      <c r="AI36" s="346" t="s">
        <v>40</v>
      </c>
      <c r="AJ36" s="347">
        <v>37.5</v>
      </c>
      <c r="AK36" s="347">
        <v>27.6</v>
      </c>
      <c r="AL36" s="347">
        <v>30.1</v>
      </c>
      <c r="AM36" s="347">
        <v>27.7</v>
      </c>
      <c r="AN36" s="347">
        <v>28.3</v>
      </c>
      <c r="AO36" s="347">
        <v>27.4</v>
      </c>
      <c r="AP36" s="347">
        <v>27.3</v>
      </c>
      <c r="AQ36" s="347">
        <v>29.6</v>
      </c>
      <c r="AR36" s="347">
        <v>24.8</v>
      </c>
      <c r="AS36" s="347">
        <v>19.8</v>
      </c>
      <c r="AT36" s="346" t="s">
        <v>40</v>
      </c>
      <c r="AU36" s="347">
        <v>55.4</v>
      </c>
      <c r="AV36" s="347">
        <v>63.5</v>
      </c>
      <c r="AW36" s="347">
        <v>60.2</v>
      </c>
      <c r="AX36" s="347">
        <v>61.3</v>
      </c>
      <c r="AY36" s="347">
        <v>51.8</v>
      </c>
      <c r="AZ36" s="347">
        <v>63.1</v>
      </c>
      <c r="BA36" s="347">
        <v>59.7</v>
      </c>
      <c r="BB36" s="347">
        <v>53.1</v>
      </c>
      <c r="BC36" s="347">
        <v>49.2</v>
      </c>
      <c r="BD36" s="347">
        <v>47</v>
      </c>
      <c r="BE36" s="346" t="s">
        <v>40</v>
      </c>
      <c r="BF36" s="351">
        <v>70.900000000000006</v>
      </c>
      <c r="BG36" s="351">
        <v>73.2</v>
      </c>
      <c r="BH36" s="351">
        <v>74.099999999999994</v>
      </c>
      <c r="BI36" s="351">
        <v>80.3</v>
      </c>
      <c r="BJ36" s="351">
        <v>65.8</v>
      </c>
      <c r="BK36" s="351">
        <v>71.5</v>
      </c>
      <c r="BL36" s="351">
        <v>75</v>
      </c>
      <c r="BM36" s="351">
        <v>78.7</v>
      </c>
      <c r="BN36" s="351">
        <v>71</v>
      </c>
      <c r="BO36" s="351">
        <v>62.6</v>
      </c>
      <c r="BP36" s="346" t="s">
        <v>40</v>
      </c>
      <c r="BQ36" s="350">
        <v>17.200000000000003</v>
      </c>
      <c r="BR36" s="350">
        <v>21.4</v>
      </c>
      <c r="BS36" s="350">
        <v>20.3</v>
      </c>
      <c r="BT36" s="350">
        <v>18.3</v>
      </c>
      <c r="BU36" s="350">
        <v>20</v>
      </c>
      <c r="BV36" s="350">
        <v>21.5</v>
      </c>
      <c r="BW36" s="350">
        <v>21.9</v>
      </c>
      <c r="BX36" s="350">
        <v>16.7</v>
      </c>
      <c r="BY36" s="350">
        <v>20.5</v>
      </c>
      <c r="BZ36" s="350">
        <v>22.7</v>
      </c>
      <c r="CA36" s="356" t="s">
        <v>40</v>
      </c>
      <c r="CB36" s="350">
        <v>3.2</v>
      </c>
      <c r="CC36" s="350">
        <v>2.7</v>
      </c>
      <c r="CD36" s="350">
        <v>0</v>
      </c>
      <c r="CE36" s="350">
        <v>0</v>
      </c>
      <c r="CF36" s="350">
        <v>2.7</v>
      </c>
      <c r="CG36" s="350">
        <v>3.1</v>
      </c>
      <c r="CH36" s="350">
        <v>5.9</v>
      </c>
      <c r="CI36" s="350">
        <v>7.4</v>
      </c>
      <c r="CJ36" s="350">
        <v>4.9000000000000004</v>
      </c>
      <c r="CK36" s="350">
        <v>5.0999999999999996</v>
      </c>
      <c r="CL36" s="346" t="s">
        <v>40</v>
      </c>
      <c r="CM36" s="351">
        <v>42.4</v>
      </c>
      <c r="CN36" s="351">
        <v>43.9</v>
      </c>
      <c r="CO36" s="351">
        <v>48.7</v>
      </c>
      <c r="CP36" s="351">
        <v>51</v>
      </c>
      <c r="CQ36" s="351">
        <v>52.3</v>
      </c>
      <c r="CR36" s="351">
        <v>57.5</v>
      </c>
      <c r="CS36" s="351">
        <v>64.599999999999994</v>
      </c>
      <c r="CT36" s="351">
        <v>54.5</v>
      </c>
      <c r="CU36" s="351">
        <v>51.1</v>
      </c>
      <c r="CV36" s="351">
        <v>46.5</v>
      </c>
      <c r="CW36" s="346" t="s">
        <v>40</v>
      </c>
      <c r="CX36" s="351">
        <v>135.69999999999999</v>
      </c>
      <c r="CY36" s="351">
        <v>139.4</v>
      </c>
      <c r="CZ36" s="351">
        <v>137.4</v>
      </c>
      <c r="DA36" s="351">
        <v>132.5</v>
      </c>
      <c r="DB36" s="351">
        <v>114.4</v>
      </c>
      <c r="DC36" s="351">
        <v>121.1</v>
      </c>
      <c r="DD36" s="351">
        <v>120.3</v>
      </c>
      <c r="DE36" s="351">
        <v>119.5</v>
      </c>
      <c r="DF36" s="351">
        <v>111.8</v>
      </c>
      <c r="DG36" s="351">
        <v>104.6</v>
      </c>
      <c r="DH36" s="346" t="s">
        <v>40</v>
      </c>
      <c r="DI36" s="351">
        <v>25.9</v>
      </c>
      <c r="DJ36" s="351">
        <v>25.7</v>
      </c>
      <c r="DK36" s="351">
        <v>24.9</v>
      </c>
      <c r="DL36" s="351">
        <v>25.3</v>
      </c>
      <c r="DM36" s="351">
        <v>24</v>
      </c>
      <c r="DN36" s="351">
        <v>22.7</v>
      </c>
      <c r="DO36" s="351">
        <v>20.9</v>
      </c>
      <c r="DP36" s="351">
        <v>27</v>
      </c>
      <c r="DQ36" s="351">
        <v>26.1</v>
      </c>
      <c r="DR36" s="351">
        <v>26.7</v>
      </c>
      <c r="DS36" s="346" t="s">
        <v>40</v>
      </c>
      <c r="DT36" s="349"/>
      <c r="DU36" s="349"/>
      <c r="DV36" s="349"/>
      <c r="DW36" s="349"/>
      <c r="DX36" s="349"/>
      <c r="DY36" s="349"/>
      <c r="DZ36" s="349"/>
      <c r="EA36" s="349"/>
      <c r="EB36" s="349"/>
      <c r="EC36" s="349"/>
      <c r="ED36" s="349" t="s">
        <v>40</v>
      </c>
      <c r="EE36" s="351"/>
      <c r="EF36" s="349"/>
      <c r="EG36" s="351"/>
      <c r="EH36" s="349"/>
      <c r="EI36" s="349"/>
      <c r="EJ36" s="349"/>
      <c r="EK36" s="349"/>
      <c r="EL36" s="349"/>
      <c r="EM36" s="349"/>
      <c r="EN36" s="349"/>
      <c r="EO36" s="349" t="s">
        <v>40</v>
      </c>
      <c r="EP36" s="351">
        <v>5.8</v>
      </c>
      <c r="EQ36" s="351">
        <v>7</v>
      </c>
      <c r="ER36" s="351">
        <v>6.3</v>
      </c>
      <c r="ES36" s="351">
        <v>6.6</v>
      </c>
      <c r="ET36" s="351">
        <v>6.7</v>
      </c>
      <c r="EU36" s="351">
        <v>7</v>
      </c>
      <c r="EV36" s="351">
        <v>8.1</v>
      </c>
      <c r="EW36" s="351">
        <v>11.3</v>
      </c>
      <c r="EX36" s="351">
        <v>10.4</v>
      </c>
      <c r="EY36" s="351">
        <v>10.199999999999999</v>
      </c>
      <c r="EZ36" s="349" t="s">
        <v>40</v>
      </c>
      <c r="FA36" s="351">
        <v>13.6</v>
      </c>
      <c r="FB36" s="351">
        <v>12.4</v>
      </c>
      <c r="FC36" s="351">
        <v>13.1</v>
      </c>
      <c r="FD36" s="351">
        <v>12</v>
      </c>
      <c r="FE36" s="351">
        <v>11.4</v>
      </c>
      <c r="FF36" s="351">
        <v>11.1</v>
      </c>
      <c r="FG36" s="351">
        <v>10.8</v>
      </c>
      <c r="FH36" s="351">
        <v>13.1</v>
      </c>
      <c r="FI36" s="351">
        <v>10.9</v>
      </c>
      <c r="FJ36" s="351">
        <v>10.199999999999999</v>
      </c>
      <c r="FK36" s="349" t="s">
        <v>40</v>
      </c>
      <c r="FL36" s="351">
        <v>12</v>
      </c>
      <c r="FM36" s="351">
        <v>13.9</v>
      </c>
      <c r="FN36" s="351">
        <v>13.7</v>
      </c>
      <c r="FO36" s="351">
        <v>15.9</v>
      </c>
      <c r="FP36" s="351">
        <v>14.7</v>
      </c>
      <c r="FQ36" s="351">
        <v>12.3</v>
      </c>
      <c r="FR36" s="351">
        <v>13.8</v>
      </c>
      <c r="FS36" s="351">
        <v>17.600000000000001</v>
      </c>
      <c r="FT36" s="351">
        <v>17.100000000000001</v>
      </c>
      <c r="FU36" s="351">
        <v>18.2</v>
      </c>
      <c r="FV36" s="349" t="s">
        <v>40</v>
      </c>
      <c r="FW36" s="351">
        <v>40.1</v>
      </c>
      <c r="FX36" s="351">
        <v>40.200000000000003</v>
      </c>
      <c r="FY36" s="351">
        <v>36.9</v>
      </c>
      <c r="FZ36" s="351">
        <v>35.5</v>
      </c>
      <c r="GA36" s="351">
        <v>29.4</v>
      </c>
      <c r="GB36" s="351">
        <v>34.799999999999997</v>
      </c>
      <c r="GC36" s="351">
        <v>32.4</v>
      </c>
      <c r="GD36" s="351">
        <v>36</v>
      </c>
      <c r="GE36" s="351">
        <v>37.9</v>
      </c>
      <c r="GF36" s="351">
        <v>34.299999999999997</v>
      </c>
      <c r="GG36" s="349" t="s">
        <v>40</v>
      </c>
      <c r="GH36" s="349"/>
      <c r="GI36" s="349"/>
      <c r="GJ36" s="349"/>
      <c r="GK36" s="349"/>
      <c r="GL36" s="349"/>
      <c r="GM36" s="349"/>
      <c r="GN36" s="349"/>
      <c r="GO36" s="349"/>
      <c r="GP36" s="349"/>
      <c r="GQ36" s="349"/>
      <c r="GR36" s="349" t="s">
        <v>40</v>
      </c>
      <c r="GS36" s="351">
        <v>18.5</v>
      </c>
      <c r="GT36" s="351">
        <v>17.100000000000001</v>
      </c>
      <c r="GU36" s="351">
        <v>20.399999999999999</v>
      </c>
      <c r="GV36" s="351">
        <v>18.8</v>
      </c>
      <c r="GW36" s="351">
        <v>16.600000000000001</v>
      </c>
      <c r="GX36" s="351">
        <v>20.5</v>
      </c>
      <c r="GY36" s="351">
        <v>20.5</v>
      </c>
      <c r="GZ36" s="351">
        <v>15.5</v>
      </c>
      <c r="HA36" s="351">
        <v>15.5</v>
      </c>
      <c r="HB36" s="351">
        <v>14.4</v>
      </c>
      <c r="HC36" s="349" t="s">
        <v>40</v>
      </c>
      <c r="HD36" s="351">
        <v>22</v>
      </c>
      <c r="HE36" s="351">
        <v>24</v>
      </c>
      <c r="HF36" s="351">
        <v>21.4</v>
      </c>
      <c r="HG36" s="351">
        <v>21.3</v>
      </c>
      <c r="HH36" s="351">
        <v>21.2</v>
      </c>
      <c r="HI36" s="351">
        <v>23.1</v>
      </c>
      <c r="HJ36" s="351">
        <v>21</v>
      </c>
      <c r="HK36" s="351">
        <v>19.7</v>
      </c>
      <c r="HL36" s="351">
        <v>21.2</v>
      </c>
      <c r="HM36" s="351">
        <v>21.7</v>
      </c>
      <c r="HN36" s="349" t="s">
        <v>40</v>
      </c>
      <c r="HO36" s="351">
        <v>87.4</v>
      </c>
      <c r="HP36" s="351">
        <v>90.1</v>
      </c>
      <c r="HQ36" s="351">
        <v>95</v>
      </c>
      <c r="HR36" s="351">
        <v>95.1</v>
      </c>
      <c r="HS36" s="351">
        <v>87.4</v>
      </c>
      <c r="HT36" s="351">
        <v>89.1</v>
      </c>
      <c r="HU36" s="351">
        <v>95.9</v>
      </c>
      <c r="HV36" s="351">
        <v>85</v>
      </c>
      <c r="HW36" s="351">
        <v>72.599999999999994</v>
      </c>
      <c r="HX36" s="351">
        <v>66.599999999999994</v>
      </c>
      <c r="HY36" s="349" t="s">
        <v>40</v>
      </c>
      <c r="HZ36" s="349"/>
      <c r="IA36" s="349"/>
      <c r="IB36" s="349"/>
      <c r="IC36" s="349"/>
      <c r="ID36" s="349"/>
      <c r="IE36" s="349"/>
      <c r="IF36" s="349"/>
      <c r="IG36" s="349"/>
      <c r="IH36" s="349"/>
      <c r="II36" s="349"/>
      <c r="IJ36" s="349" t="s">
        <v>40</v>
      </c>
      <c r="IK36" s="349"/>
      <c r="IL36" s="349"/>
      <c r="IM36" s="349"/>
      <c r="IN36" s="349"/>
      <c r="IO36" s="349"/>
      <c r="IP36" s="349"/>
      <c r="IQ36" s="349"/>
      <c r="IR36" s="349"/>
      <c r="IS36" s="349"/>
      <c r="IT36" s="349"/>
      <c r="IU36" s="349" t="s">
        <v>40</v>
      </c>
      <c r="IV36" s="351">
        <v>5</v>
      </c>
      <c r="IW36" s="351">
        <v>6.9</v>
      </c>
      <c r="IX36" s="351">
        <v>5.5</v>
      </c>
      <c r="IY36" s="351">
        <v>5.8</v>
      </c>
      <c r="IZ36" s="351">
        <v>3.4</v>
      </c>
      <c r="JA36" s="351">
        <v>5.3</v>
      </c>
      <c r="JB36" s="351">
        <v>4.9000000000000004</v>
      </c>
      <c r="JC36" s="351">
        <v>4.4000000000000004</v>
      </c>
      <c r="JD36" s="349"/>
      <c r="JE36" s="349"/>
      <c r="JF36" s="349" t="s">
        <v>40</v>
      </c>
      <c r="JG36" s="351">
        <v>38.299999999999997</v>
      </c>
      <c r="JH36" s="351">
        <v>37.700000000000003</v>
      </c>
      <c r="JI36" s="351">
        <v>37.799999999999997</v>
      </c>
      <c r="JJ36" s="351">
        <v>33.700000000000003</v>
      </c>
      <c r="JK36" s="351">
        <v>33.9</v>
      </c>
      <c r="JL36" s="351">
        <v>35.299999999999997</v>
      </c>
      <c r="JM36" s="351">
        <v>34.6</v>
      </c>
      <c r="JN36" s="351">
        <v>33.9</v>
      </c>
      <c r="JO36" s="351">
        <v>36.200000000000003</v>
      </c>
      <c r="JP36" s="351">
        <v>32.5</v>
      </c>
      <c r="JQ36" s="349" t="s">
        <v>40</v>
      </c>
      <c r="JR36" s="351">
        <v>11</v>
      </c>
      <c r="JS36" s="351">
        <v>12</v>
      </c>
      <c r="JT36" s="351">
        <v>16.2</v>
      </c>
      <c r="JU36" s="351">
        <v>18.399999999999999</v>
      </c>
      <c r="JV36" s="351">
        <v>13.5</v>
      </c>
      <c r="JW36" s="351">
        <v>18</v>
      </c>
      <c r="JX36" s="351">
        <v>17.3</v>
      </c>
      <c r="JY36" s="351">
        <v>13.7</v>
      </c>
      <c r="JZ36" s="351">
        <v>11.6</v>
      </c>
      <c r="KA36" s="351">
        <v>11.8</v>
      </c>
      <c r="KB36" s="349" t="s">
        <v>40</v>
      </c>
      <c r="KC36" s="351">
        <v>26.4</v>
      </c>
      <c r="KD36" s="351">
        <v>24.1</v>
      </c>
      <c r="KE36" s="351">
        <v>21.9</v>
      </c>
      <c r="KF36" s="351">
        <v>18.5</v>
      </c>
      <c r="KG36" s="351">
        <v>14.2</v>
      </c>
      <c r="KH36" s="351">
        <v>19.100000000000001</v>
      </c>
      <c r="KI36" s="351">
        <v>16.5</v>
      </c>
      <c r="KJ36" s="351">
        <v>21</v>
      </c>
      <c r="KK36" s="351">
        <v>24</v>
      </c>
      <c r="KL36" s="351">
        <v>18.899999999999999</v>
      </c>
      <c r="KM36" s="349" t="s">
        <v>40</v>
      </c>
      <c r="KN36" s="351">
        <v>5.9</v>
      </c>
      <c r="KO36" s="351">
        <v>6.7</v>
      </c>
      <c r="KP36" s="351">
        <v>4.7</v>
      </c>
      <c r="KQ36" s="351">
        <v>5.8</v>
      </c>
      <c r="KR36" s="351">
        <v>5.3</v>
      </c>
      <c r="KS36" s="351">
        <v>3.7</v>
      </c>
      <c r="KT36" s="351">
        <v>5.3</v>
      </c>
      <c r="KU36" s="351">
        <v>5.2</v>
      </c>
      <c r="KV36" s="351">
        <v>4.8</v>
      </c>
      <c r="KW36" s="349"/>
      <c r="KX36" s="349" t="s">
        <v>40</v>
      </c>
      <c r="KY36" s="351">
        <v>15.5</v>
      </c>
      <c r="KZ36" s="351">
        <v>16.5</v>
      </c>
      <c r="LA36" s="351">
        <v>17.8</v>
      </c>
      <c r="LB36" s="351">
        <v>17.2</v>
      </c>
      <c r="LC36" s="351">
        <v>13.9</v>
      </c>
      <c r="LD36" s="351">
        <v>11.8</v>
      </c>
      <c r="LE36" s="351">
        <v>13.9</v>
      </c>
      <c r="LF36" s="351">
        <v>13.2</v>
      </c>
      <c r="LG36" s="351">
        <v>13.5</v>
      </c>
      <c r="LH36" s="351">
        <v>12.3</v>
      </c>
      <c r="LI36" s="349" t="s">
        <v>40</v>
      </c>
      <c r="LJ36" s="349"/>
      <c r="LK36" s="349"/>
      <c r="LL36" s="349"/>
      <c r="LM36" s="349"/>
      <c r="LN36" s="349"/>
      <c r="LO36" s="349"/>
      <c r="LP36" s="349"/>
      <c r="LQ36" s="351"/>
      <c r="LR36" s="349"/>
      <c r="LS36" s="349"/>
      <c r="LT36" s="349" t="s">
        <v>40</v>
      </c>
      <c r="LU36" s="349"/>
      <c r="LV36" s="349"/>
      <c r="LW36" s="349"/>
      <c r="LX36" s="349"/>
      <c r="LY36" s="349"/>
      <c r="LZ36" s="349"/>
      <c r="MA36" s="351"/>
      <c r="MB36" s="351"/>
      <c r="MC36" s="349"/>
      <c r="MD36" s="349"/>
      <c r="ME36" s="349" t="s">
        <v>40</v>
      </c>
      <c r="MF36" s="349"/>
      <c r="MG36" s="349"/>
      <c r="MH36" s="351"/>
      <c r="MI36" s="351"/>
      <c r="MJ36" s="349"/>
      <c r="MK36" s="349"/>
      <c r="ML36" s="349"/>
      <c r="MM36" s="349"/>
      <c r="MN36" s="349"/>
      <c r="MO36" s="349"/>
      <c r="MP36" s="349" t="s">
        <v>40</v>
      </c>
      <c r="MQ36" s="351">
        <v>14.5</v>
      </c>
      <c r="MR36" s="351">
        <v>15.7</v>
      </c>
      <c r="MS36" s="351">
        <v>16.5</v>
      </c>
      <c r="MT36" s="351">
        <v>17.5</v>
      </c>
      <c r="MU36" s="351">
        <v>19.100000000000001</v>
      </c>
      <c r="MV36" s="351">
        <v>19</v>
      </c>
      <c r="MW36" s="351">
        <v>22.7</v>
      </c>
      <c r="MX36" s="351">
        <v>14.1</v>
      </c>
      <c r="MY36" s="351">
        <v>10.8</v>
      </c>
      <c r="MZ36" s="351">
        <v>9.4</v>
      </c>
      <c r="NA36" s="349" t="s">
        <v>40</v>
      </c>
      <c r="NB36" s="351">
        <v>58.2</v>
      </c>
      <c r="NC36" s="351">
        <v>56.5</v>
      </c>
      <c r="ND36" s="351">
        <v>56.4</v>
      </c>
      <c r="NE36" s="351">
        <v>57.5</v>
      </c>
      <c r="NF36" s="351">
        <v>51.2</v>
      </c>
      <c r="NG36" s="351">
        <v>52.7</v>
      </c>
      <c r="NH36" s="351">
        <v>53.6</v>
      </c>
      <c r="NI36" s="351">
        <v>57.3</v>
      </c>
      <c r="NJ36" s="351">
        <v>49.9</v>
      </c>
      <c r="NK36" s="351">
        <v>51.4</v>
      </c>
      <c r="NL36" s="349" t="s">
        <v>40</v>
      </c>
      <c r="NM36" s="351">
        <v>8.9</v>
      </c>
      <c r="NN36" s="351">
        <v>10.7</v>
      </c>
      <c r="NO36" s="351">
        <v>7.6</v>
      </c>
      <c r="NP36" s="351">
        <v>8.9</v>
      </c>
      <c r="NQ36" s="351">
        <v>7.9</v>
      </c>
      <c r="NR36" s="351">
        <v>9.6999999999999993</v>
      </c>
      <c r="NS36" s="351">
        <v>7</v>
      </c>
      <c r="NT36" s="351">
        <v>10.8</v>
      </c>
      <c r="NU36" s="351">
        <v>9.9</v>
      </c>
      <c r="NV36" s="351">
        <v>7.7</v>
      </c>
      <c r="NW36" s="349" t="s">
        <v>40</v>
      </c>
      <c r="NX36" s="351">
        <v>7.7</v>
      </c>
      <c r="NY36" s="351">
        <v>7.3</v>
      </c>
      <c r="NZ36" s="351">
        <v>8.1999999999999993</v>
      </c>
      <c r="OA36" s="351">
        <v>8.1</v>
      </c>
      <c r="OB36" s="351">
        <v>7.9</v>
      </c>
      <c r="OC36" s="351">
        <v>7.9</v>
      </c>
      <c r="OD36" s="351">
        <v>8</v>
      </c>
      <c r="OE36" s="351">
        <v>8.5</v>
      </c>
      <c r="OF36" s="351">
        <v>8.8000000000000007</v>
      </c>
      <c r="OG36" s="351">
        <v>8.4</v>
      </c>
      <c r="OH36" s="346" t="s">
        <v>40</v>
      </c>
      <c r="OI36" s="352">
        <v>12.9</v>
      </c>
      <c r="OJ36" s="352">
        <v>12.6</v>
      </c>
      <c r="OK36" s="352">
        <v>12.4</v>
      </c>
      <c r="OL36" s="352">
        <v>11.2</v>
      </c>
      <c r="OM36" s="352">
        <v>11.3</v>
      </c>
      <c r="ON36" s="352">
        <v>11</v>
      </c>
      <c r="OO36" s="352">
        <v>10.4</v>
      </c>
      <c r="OP36" s="352">
        <v>9.6</v>
      </c>
      <c r="OQ36" s="352">
        <v>9.5</v>
      </c>
      <c r="OR36" s="352">
        <v>9.1</v>
      </c>
      <c r="OS36" s="349" t="s">
        <v>40</v>
      </c>
      <c r="OT36" s="355"/>
      <c r="OU36" s="355"/>
      <c r="OV36" s="355"/>
      <c r="OW36" s="355"/>
      <c r="OX36" s="355"/>
      <c r="OY36" s="355"/>
      <c r="OZ36" s="355"/>
      <c r="PA36" s="355"/>
      <c r="PB36" s="355"/>
      <c r="PC36" s="355"/>
      <c r="PE36" s="354">
        <f>E36-'[1]Data-temp_employment'!F36</f>
        <v>-1</v>
      </c>
      <c r="PF36" s="354">
        <f>F36-'[1]Data-temp_employment'!G36</f>
        <v>-9.9999999999999645E-2</v>
      </c>
      <c r="PG36" s="354">
        <f>O36-'[1]Data-temp_employment'!P36</f>
        <v>-12.900000000000006</v>
      </c>
      <c r="PH36" s="354">
        <f>P36-'[1]Data-temp_employment'!Q36</f>
        <v>-14.900000000000006</v>
      </c>
      <c r="PI36" s="354">
        <f>AD36-'[1]Data-temp_employment'!AE36</f>
        <v>-10.000000000000002</v>
      </c>
      <c r="PJ36" s="354">
        <f>AE36-'[1]Data-temp_employment'!AF36</f>
        <v>-9.8000000000000007</v>
      </c>
      <c r="PK36" s="354">
        <f>BR36-'[1]Data-temp_employment'!BS36</f>
        <v>8.5</v>
      </c>
      <c r="PL36" s="354">
        <f>BS36-'[1]Data-temp_employment'!BT36</f>
        <v>5</v>
      </c>
      <c r="PM36" s="354">
        <f>CC36-'[1]Data-temp_employment'!CD36</f>
        <v>-4.8</v>
      </c>
      <c r="PN36" s="354">
        <f>CD36-'[1]Data-temp_employment'!CE36</f>
        <v>-6.1999999999999993</v>
      </c>
      <c r="PO36" s="354">
        <f>CR36-'[1]Data-temp_employment'!CS36</f>
        <v>13.600000000000001</v>
      </c>
      <c r="PP36" s="354">
        <f>CS36-'[1]Data-temp_employment'!CT36</f>
        <v>15.899999999999991</v>
      </c>
      <c r="PQ36" s="354">
        <f>DC36-'[1]Data-temp_employment'!DD36</f>
        <v>-18.300000000000011</v>
      </c>
      <c r="PR36" s="354">
        <f>DD36-'[1]Data-temp_employment'!DE36</f>
        <v>-17.100000000000009</v>
      </c>
      <c r="PS36" s="354">
        <f>DN36-'[1]Data-temp_employment'!DO36</f>
        <v>-3</v>
      </c>
      <c r="PT36" s="354">
        <f>DO36-'[1]Data-temp_employment'!DP36</f>
        <v>-4</v>
      </c>
      <c r="PU36" s="354">
        <f>EF36-'[1]Data-temp_employment'!EG36</f>
        <v>0</v>
      </c>
      <c r="PV36" s="354">
        <f>EG36-'[1]Data-temp_employment'!EH36</f>
        <v>0</v>
      </c>
      <c r="PW36" s="354">
        <f>EU36-'[1]Data-temp_employment'!EV36</f>
        <v>0</v>
      </c>
      <c r="PX36" s="354">
        <f>EV36-'[1]Data-temp_employment'!EW36</f>
        <v>1.7999999999999998</v>
      </c>
      <c r="PY36" s="354">
        <f>FF36-'[1]Data-temp_employment'!FG36</f>
        <v>-1.3000000000000007</v>
      </c>
      <c r="PZ36" s="354">
        <f>FG36-'[1]Data-temp_employment'!FH36</f>
        <v>-2.2999999999999989</v>
      </c>
      <c r="QA36" s="354">
        <f>FQ36-'[1]Data-temp_employment'!FR36</f>
        <v>-1.5999999999999996</v>
      </c>
      <c r="QB36" s="354">
        <f>FR36-'[1]Data-temp_employment'!FS36</f>
        <v>0.10000000000000142</v>
      </c>
      <c r="QC36" s="354">
        <f>GB36-'[1]Data-temp_employment'!GC36</f>
        <v>-5.4000000000000057</v>
      </c>
      <c r="QD36" s="354">
        <f>GC36-'[1]Data-temp_employment'!GD36</f>
        <v>-4.5</v>
      </c>
      <c r="QE36" s="354">
        <f>GM36-'[1]Data-temp_employment'!GN36</f>
        <v>0</v>
      </c>
      <c r="QF36" s="354">
        <f>GN36-'[1]Data-temp_employment'!GO36</f>
        <v>0</v>
      </c>
      <c r="QG36" s="354">
        <f>GX36-'[1]Data-temp_employment'!GY36</f>
        <v>3.3999999999999986</v>
      </c>
      <c r="QH36" s="354">
        <f>GY36-'[1]Data-temp_employment'!GZ36</f>
        <v>0.10000000000000142</v>
      </c>
      <c r="QI36" s="354">
        <f>HI36-'[1]Data-temp_employment'!HJ36</f>
        <v>-0.89999999999999858</v>
      </c>
      <c r="QJ36" s="354">
        <f>HJ36-'[1]Data-temp_employment'!HK36</f>
        <v>-0.39999999999999858</v>
      </c>
      <c r="QK36" s="354">
        <f>HT36-'[1]Data-temp_employment'!HU36</f>
        <v>-1</v>
      </c>
      <c r="QL36" s="354">
        <f>HU36-'[1]Data-temp_employment'!HV36</f>
        <v>0.90000000000000568</v>
      </c>
      <c r="QM36" s="354">
        <f>IE36-'[1]Data-temp_employment'!IF36</f>
        <v>0</v>
      </c>
      <c r="QN36" s="354">
        <f>IF36-'[1]Data-temp_employment'!IG36</f>
        <v>0</v>
      </c>
      <c r="QO36" s="354">
        <f>JA36-'[1]Data-temp_employment'!JB36</f>
        <v>-1.6000000000000005</v>
      </c>
      <c r="QP36" s="354">
        <f>JB36-'[1]Data-temp_employment'!JC36</f>
        <v>-0.59999999999999964</v>
      </c>
      <c r="QQ36" s="354">
        <f>JH36-'[1]Data-temp_employment'!JI36</f>
        <v>-6.5999999999999943</v>
      </c>
      <c r="QR36" s="354">
        <f>JI36-'[1]Data-temp_employment'!JJ36</f>
        <v>-6.9000000000000057</v>
      </c>
      <c r="QS36" s="354">
        <f>JS36-'[1]Data-temp_employment'!JT36</f>
        <v>-3.4000000000000004</v>
      </c>
      <c r="QT36" s="354">
        <f>JT36-'[1]Data-temp_employment'!JU36</f>
        <v>1.1999999999999993</v>
      </c>
      <c r="QU36" s="354">
        <f>KD36-'[1]Data-temp_employment'!KE36</f>
        <v>-1.2999999999999972</v>
      </c>
      <c r="QV36" s="354">
        <f>KE36-'[1]Data-temp_employment'!KF36</f>
        <v>-6.4000000000000021</v>
      </c>
      <c r="QW36" s="354">
        <f>KO36-'[1]Data-temp_employment'!KP36</f>
        <v>0.60000000000000053</v>
      </c>
      <c r="QX36" s="354">
        <f>KP36-'[1]Data-temp_employment'!KQ36</f>
        <v>-1.5</v>
      </c>
      <c r="QY36" s="354">
        <f>LD36-'[1]Data-temp_employment'!LE36</f>
        <v>-4.6999999999999993</v>
      </c>
      <c r="QZ36" s="354">
        <f>LE36-'[1]Data-temp_employment'!LF36</f>
        <v>-3.9000000000000004</v>
      </c>
      <c r="RA36" s="354">
        <f>LK36-'[1]Data-temp_employment'!LL36</f>
        <v>0</v>
      </c>
      <c r="RB36" s="354">
        <f>LL36-'[1]Data-temp_employment'!LM36</f>
        <v>0</v>
      </c>
      <c r="RC36" s="354">
        <f>LV36-'[1]Data-temp_employment'!LW36</f>
        <v>0</v>
      </c>
      <c r="RD36" s="354">
        <f>LW36-'[1]Data-temp_employment'!LX36</f>
        <v>0</v>
      </c>
      <c r="RE36" s="354">
        <f>MK36-'[1]Data-temp_employment'!ML36</f>
        <v>0</v>
      </c>
      <c r="RF36" s="354">
        <f>ML36-'[1]Data-temp_employment'!MM36</f>
        <v>-2.9</v>
      </c>
      <c r="RG36" s="354">
        <f>MV36-'[1]Data-temp_employment'!MW36</f>
        <v>3.3000000000000007</v>
      </c>
      <c r="RH36" s="354">
        <f>MW36-'[1]Data-temp_employment'!MX36</f>
        <v>6.1999999999999993</v>
      </c>
      <c r="RI36" s="354">
        <f>NG36-'[1]Data-temp_employment'!NH36</f>
        <v>-3.7999999999999972</v>
      </c>
      <c r="RJ36" s="354">
        <f>NH36-'[1]Data-temp_employment'!NI36</f>
        <v>-2.7999999999999972</v>
      </c>
      <c r="RK36" s="354">
        <f>NR36-'[1]Data-temp_employment'!NS36</f>
        <v>-1</v>
      </c>
      <c r="RL36" s="354">
        <f>NS36-'[1]Data-temp_employment'!NT36</f>
        <v>-0.59999999999999964</v>
      </c>
      <c r="RM36" s="354">
        <f>OC36-'[1]Data-temp_employment'!OD36</f>
        <v>0.60000000000000053</v>
      </c>
      <c r="RN36" s="354">
        <f>OD36-'[1]Data-temp_employment'!OE36</f>
        <v>-0.19999999999999929</v>
      </c>
      <c r="RO36" s="354" t="e">
        <f>#REF!-'[1]Data-temp_employment'!OV36</f>
        <v>#REF!</v>
      </c>
      <c r="RP36" s="354" t="e">
        <f>#REF!-'[1]Data-temp_employment'!OW36</f>
        <v>#REF!</v>
      </c>
    </row>
    <row r="37" spans="1:485" s="345" customFormat="1">
      <c r="A37" s="345">
        <v>34</v>
      </c>
      <c r="B37" s="346" t="s">
        <v>39</v>
      </c>
      <c r="C37" s="347">
        <v>16.7</v>
      </c>
      <c r="D37" s="347">
        <v>17.2</v>
      </c>
      <c r="E37" s="347">
        <v>17.100000000000001</v>
      </c>
      <c r="F37" s="347">
        <v>16.7</v>
      </c>
      <c r="G37" s="347">
        <v>17.100000000000001</v>
      </c>
      <c r="H37" s="347">
        <v>17.600000000000001</v>
      </c>
      <c r="I37" s="347">
        <v>19</v>
      </c>
      <c r="J37" s="347">
        <v>16.600000000000001</v>
      </c>
      <c r="K37" s="347">
        <v>16.5</v>
      </c>
      <c r="L37" s="347">
        <v>16.2</v>
      </c>
      <c r="M37" s="346" t="s">
        <v>39</v>
      </c>
      <c r="N37" s="347">
        <v>125.5</v>
      </c>
      <c r="O37" s="347">
        <v>135.30000000000001</v>
      </c>
      <c r="P37" s="347">
        <v>135.30000000000001</v>
      </c>
      <c r="Q37" s="347">
        <v>132.19999999999999</v>
      </c>
      <c r="R37" s="347">
        <v>136.9</v>
      </c>
      <c r="S37" s="347">
        <v>142.4</v>
      </c>
      <c r="T37" s="347">
        <v>157</v>
      </c>
      <c r="U37" s="347">
        <v>137.1</v>
      </c>
      <c r="V37" s="347">
        <v>133.69999999999999</v>
      </c>
      <c r="W37" s="347">
        <v>133.69999999999999</v>
      </c>
      <c r="X37" s="346" t="s">
        <v>39</v>
      </c>
      <c r="Y37" s="347">
        <v>1.6</v>
      </c>
      <c r="Z37" s="347">
        <v>1.6</v>
      </c>
      <c r="AA37" s="347">
        <v>5.9</v>
      </c>
      <c r="AB37" s="347">
        <v>2.5</v>
      </c>
      <c r="AC37" s="347">
        <v>3.2</v>
      </c>
      <c r="AD37" s="347">
        <v>4.8</v>
      </c>
      <c r="AE37" s="347">
        <v>11.8</v>
      </c>
      <c r="AF37" s="347">
        <v>4</v>
      </c>
      <c r="AG37" s="347">
        <v>5.0999999999999996</v>
      </c>
      <c r="AH37" s="347">
        <v>4.0999999999999996</v>
      </c>
      <c r="AI37" s="346" t="s">
        <v>39</v>
      </c>
      <c r="AJ37" s="347">
        <v>27.4</v>
      </c>
      <c r="AK37" s="347">
        <v>33.700000000000003</v>
      </c>
      <c r="AL37" s="347">
        <v>36.1</v>
      </c>
      <c r="AM37" s="347">
        <v>32.4</v>
      </c>
      <c r="AN37" s="347">
        <v>32.700000000000003</v>
      </c>
      <c r="AO37" s="347">
        <v>32.5</v>
      </c>
      <c r="AP37" s="347">
        <v>40.200000000000003</v>
      </c>
      <c r="AQ37" s="347">
        <v>35.299999999999997</v>
      </c>
      <c r="AR37" s="347">
        <v>28.1</v>
      </c>
      <c r="AS37" s="347">
        <v>30.6</v>
      </c>
      <c r="AT37" s="346" t="s">
        <v>39</v>
      </c>
      <c r="AU37" s="347">
        <v>26.8</v>
      </c>
      <c r="AV37" s="347">
        <v>25.3</v>
      </c>
      <c r="AW37" s="347">
        <v>27</v>
      </c>
      <c r="AX37" s="347">
        <v>29.6</v>
      </c>
      <c r="AY37" s="347">
        <v>27.2</v>
      </c>
      <c r="AZ37" s="347">
        <v>29.5</v>
      </c>
      <c r="BA37" s="347">
        <v>28</v>
      </c>
      <c r="BB37" s="347">
        <v>30.7</v>
      </c>
      <c r="BC37" s="347">
        <v>30.2</v>
      </c>
      <c r="BD37" s="347">
        <v>25</v>
      </c>
      <c r="BE37" s="357" t="s">
        <v>39</v>
      </c>
      <c r="BF37" s="351">
        <v>38.299999999999997</v>
      </c>
      <c r="BG37" s="351">
        <v>43.9</v>
      </c>
      <c r="BH37" s="351">
        <v>39.9</v>
      </c>
      <c r="BI37" s="351">
        <v>42.6</v>
      </c>
      <c r="BJ37" s="351">
        <v>47.9</v>
      </c>
      <c r="BK37" s="351">
        <v>51.5</v>
      </c>
      <c r="BL37" s="351">
        <v>48.7</v>
      </c>
      <c r="BM37" s="351">
        <v>44.6</v>
      </c>
      <c r="BN37" s="351">
        <v>44.4</v>
      </c>
      <c r="BO37" s="351">
        <v>55.7</v>
      </c>
      <c r="BP37" s="356" t="s">
        <v>39</v>
      </c>
      <c r="BQ37" s="350">
        <v>18.3</v>
      </c>
      <c r="BR37" s="350">
        <v>16.899999999999999</v>
      </c>
      <c r="BS37" s="350">
        <v>15.6</v>
      </c>
      <c r="BT37" s="350">
        <v>14.5</v>
      </c>
      <c r="BU37" s="350">
        <v>12.4</v>
      </c>
      <c r="BV37" s="350">
        <v>13.3</v>
      </c>
      <c r="BW37" s="350">
        <v>15.2</v>
      </c>
      <c r="BX37" s="350">
        <v>12.7</v>
      </c>
      <c r="BY37" s="350">
        <v>14.5</v>
      </c>
      <c r="BZ37" s="350">
        <v>11.6</v>
      </c>
      <c r="CA37" s="356" t="s">
        <v>39</v>
      </c>
      <c r="CB37" s="350">
        <v>13.100000000000001</v>
      </c>
      <c r="CC37" s="350">
        <v>13.8</v>
      </c>
      <c r="CD37" s="350">
        <v>10.7</v>
      </c>
      <c r="CE37" s="350">
        <v>10.6</v>
      </c>
      <c r="CF37" s="350">
        <v>13.399999999999999</v>
      </c>
      <c r="CG37" s="350">
        <v>10.8</v>
      </c>
      <c r="CH37" s="350">
        <v>13.1</v>
      </c>
      <c r="CI37" s="350">
        <v>9.8000000000000007</v>
      </c>
      <c r="CJ37" s="350">
        <v>11.5</v>
      </c>
      <c r="CK37" s="350">
        <v>6.6</v>
      </c>
      <c r="CL37" s="346" t="s">
        <v>39</v>
      </c>
      <c r="CM37" s="351">
        <v>11.5</v>
      </c>
      <c r="CN37" s="351">
        <v>11.1</v>
      </c>
      <c r="CO37" s="351">
        <v>13.5</v>
      </c>
      <c r="CP37" s="351">
        <v>11.9</v>
      </c>
      <c r="CQ37" s="351">
        <v>12.6</v>
      </c>
      <c r="CR37" s="351">
        <v>12.8</v>
      </c>
      <c r="CS37" s="351">
        <v>19.899999999999999</v>
      </c>
      <c r="CT37" s="351">
        <v>13.2</v>
      </c>
      <c r="CU37" s="351">
        <v>13.1</v>
      </c>
      <c r="CV37" s="351">
        <v>14.4</v>
      </c>
      <c r="CW37" s="346" t="s">
        <v>39</v>
      </c>
      <c r="CX37" s="351">
        <v>74.8</v>
      </c>
      <c r="CY37" s="351">
        <v>80.099999999999994</v>
      </c>
      <c r="CZ37" s="351">
        <v>83.5</v>
      </c>
      <c r="DA37" s="351">
        <v>76.599999999999994</v>
      </c>
      <c r="DB37" s="351">
        <v>82.6</v>
      </c>
      <c r="DC37" s="351">
        <v>86.3</v>
      </c>
      <c r="DD37" s="351">
        <v>87</v>
      </c>
      <c r="DE37" s="351">
        <v>80.3</v>
      </c>
      <c r="DF37" s="351">
        <v>79.2</v>
      </c>
      <c r="DG37" s="351">
        <v>76.400000000000006</v>
      </c>
      <c r="DH37" s="346" t="s">
        <v>39</v>
      </c>
      <c r="DI37" s="351">
        <v>39.1</v>
      </c>
      <c r="DJ37" s="351">
        <v>44.1</v>
      </c>
      <c r="DK37" s="351">
        <v>38.299999999999997</v>
      </c>
      <c r="DL37" s="351">
        <v>43.7</v>
      </c>
      <c r="DM37" s="351">
        <v>41.7</v>
      </c>
      <c r="DN37" s="351">
        <v>43.2</v>
      </c>
      <c r="DO37" s="351">
        <v>50.2</v>
      </c>
      <c r="DP37" s="351">
        <v>43.5</v>
      </c>
      <c r="DQ37" s="351">
        <v>41.4</v>
      </c>
      <c r="DR37" s="351">
        <v>42.9</v>
      </c>
      <c r="DS37" s="346" t="s">
        <v>39</v>
      </c>
      <c r="DT37" s="349"/>
      <c r="DU37" s="349"/>
      <c r="DV37" s="349"/>
      <c r="DW37" s="349"/>
      <c r="DX37" s="349"/>
      <c r="DY37" s="349"/>
      <c r="DZ37" s="349"/>
      <c r="EA37" s="349"/>
      <c r="EB37" s="349"/>
      <c r="EC37" s="349"/>
      <c r="ED37" s="349" t="s">
        <v>39</v>
      </c>
      <c r="EE37" s="351">
        <v>2.2000000000000002</v>
      </c>
      <c r="EF37" s="351">
        <v>2.7</v>
      </c>
      <c r="EG37" s="351">
        <v>2</v>
      </c>
      <c r="EH37" s="351">
        <v>2.5</v>
      </c>
      <c r="EI37" s="351">
        <v>3.4</v>
      </c>
      <c r="EJ37" s="351">
        <v>2.5</v>
      </c>
      <c r="EK37" s="351">
        <v>2.5</v>
      </c>
      <c r="EL37" s="351">
        <v>1.5</v>
      </c>
      <c r="EM37" s="351">
        <v>2.7</v>
      </c>
      <c r="EN37" s="351">
        <v>2</v>
      </c>
      <c r="EO37" s="349" t="s">
        <v>39</v>
      </c>
      <c r="EP37" s="351">
        <v>21.1</v>
      </c>
      <c r="EQ37" s="351">
        <v>24</v>
      </c>
      <c r="ER37" s="351">
        <v>20.5</v>
      </c>
      <c r="ES37" s="351">
        <v>22.9</v>
      </c>
      <c r="ET37" s="351">
        <v>21.5</v>
      </c>
      <c r="EU37" s="351">
        <v>23.4</v>
      </c>
      <c r="EV37" s="351">
        <v>24.6</v>
      </c>
      <c r="EW37" s="351">
        <v>24.5</v>
      </c>
      <c r="EX37" s="351">
        <v>25.5</v>
      </c>
      <c r="EY37" s="351">
        <v>25.5</v>
      </c>
      <c r="EZ37" s="349" t="s">
        <v>39</v>
      </c>
      <c r="FA37" s="351">
        <v>12.9</v>
      </c>
      <c r="FB37" s="351">
        <v>12.4</v>
      </c>
      <c r="FC37" s="351">
        <v>13.5</v>
      </c>
      <c r="FD37" s="351">
        <v>12.9</v>
      </c>
      <c r="FE37" s="351">
        <v>15.5</v>
      </c>
      <c r="FF37" s="351">
        <v>16.3</v>
      </c>
      <c r="FG37" s="351">
        <v>16.8</v>
      </c>
      <c r="FH37" s="351">
        <v>14.3</v>
      </c>
      <c r="FI37" s="351">
        <v>14.9</v>
      </c>
      <c r="FJ37" s="351">
        <v>14</v>
      </c>
      <c r="FK37" s="349" t="s">
        <v>39</v>
      </c>
      <c r="FL37" s="351">
        <v>10.6</v>
      </c>
      <c r="FM37" s="351">
        <v>11</v>
      </c>
      <c r="FN37" s="351">
        <v>13</v>
      </c>
      <c r="FO37" s="351">
        <v>12.7</v>
      </c>
      <c r="FP37" s="351">
        <v>12.3</v>
      </c>
      <c r="FQ37" s="351">
        <v>15.3</v>
      </c>
      <c r="FR37" s="351">
        <v>12.6</v>
      </c>
      <c r="FS37" s="351">
        <v>11.7</v>
      </c>
      <c r="FT37" s="351">
        <v>12.3</v>
      </c>
      <c r="FU37" s="351">
        <v>13.2</v>
      </c>
      <c r="FV37" s="349" t="s">
        <v>39</v>
      </c>
      <c r="FW37" s="351">
        <v>30.4</v>
      </c>
      <c r="FX37" s="351">
        <v>33.5</v>
      </c>
      <c r="FY37" s="351">
        <v>34.1</v>
      </c>
      <c r="FZ37" s="351">
        <v>31.2</v>
      </c>
      <c r="GA37" s="351">
        <v>32.1</v>
      </c>
      <c r="GB37" s="351">
        <v>28.2</v>
      </c>
      <c r="GC37" s="351">
        <v>33.299999999999997</v>
      </c>
      <c r="GD37" s="351">
        <v>28.5</v>
      </c>
      <c r="GE37" s="351">
        <v>26.4</v>
      </c>
      <c r="GF37" s="351">
        <v>29.3</v>
      </c>
      <c r="GG37" s="349" t="s">
        <v>39</v>
      </c>
      <c r="GH37" s="351">
        <v>1.6</v>
      </c>
      <c r="GI37" s="351">
        <v>2.1</v>
      </c>
      <c r="GJ37" s="351">
        <v>1.2</v>
      </c>
      <c r="GK37" s="351">
        <v>1</v>
      </c>
      <c r="GL37" s="349"/>
      <c r="GM37" s="351">
        <v>1.4</v>
      </c>
      <c r="GN37" s="351">
        <v>1.3</v>
      </c>
      <c r="GO37" s="351">
        <v>1.1000000000000001</v>
      </c>
      <c r="GP37" s="349"/>
      <c r="GQ37" s="351">
        <v>1.5</v>
      </c>
      <c r="GR37" s="349" t="s">
        <v>39</v>
      </c>
      <c r="GS37" s="351">
        <v>17.100000000000001</v>
      </c>
      <c r="GT37" s="351">
        <v>18.3</v>
      </c>
      <c r="GU37" s="351">
        <v>18.5</v>
      </c>
      <c r="GV37" s="351">
        <v>16.899999999999999</v>
      </c>
      <c r="GW37" s="351">
        <v>17.2</v>
      </c>
      <c r="GX37" s="351">
        <v>16.899999999999999</v>
      </c>
      <c r="GY37" s="351">
        <v>18.5</v>
      </c>
      <c r="GZ37" s="351">
        <v>19.7</v>
      </c>
      <c r="HA37" s="351">
        <v>14.7</v>
      </c>
      <c r="HB37" s="351">
        <v>14.4</v>
      </c>
      <c r="HC37" s="349" t="s">
        <v>39</v>
      </c>
      <c r="HD37" s="351">
        <v>14</v>
      </c>
      <c r="HE37" s="351">
        <v>16.2</v>
      </c>
      <c r="HF37" s="351">
        <v>15.4</v>
      </c>
      <c r="HG37" s="351">
        <v>14.9</v>
      </c>
      <c r="HH37" s="351">
        <v>16.8</v>
      </c>
      <c r="HI37" s="351">
        <v>19.8</v>
      </c>
      <c r="HJ37" s="351">
        <v>22.7</v>
      </c>
      <c r="HK37" s="351">
        <v>17.8</v>
      </c>
      <c r="HL37" s="351">
        <v>15.9</v>
      </c>
      <c r="HM37" s="351">
        <v>15.3</v>
      </c>
      <c r="HN37" s="349" t="s">
        <v>39</v>
      </c>
      <c r="HO37" s="351">
        <v>11.2</v>
      </c>
      <c r="HP37" s="351">
        <v>9</v>
      </c>
      <c r="HQ37" s="351">
        <v>12.6</v>
      </c>
      <c r="HR37" s="351">
        <v>11</v>
      </c>
      <c r="HS37" s="351">
        <v>13</v>
      </c>
      <c r="HT37" s="351">
        <v>13.8</v>
      </c>
      <c r="HU37" s="351">
        <v>19.100000000000001</v>
      </c>
      <c r="HV37" s="351">
        <v>14</v>
      </c>
      <c r="HW37" s="351">
        <v>14.5</v>
      </c>
      <c r="HX37" s="351">
        <v>13.9</v>
      </c>
      <c r="HY37" s="349" t="s">
        <v>39</v>
      </c>
      <c r="HZ37" s="351">
        <v>2.2999999999999998</v>
      </c>
      <c r="IA37" s="351">
        <v>2.6</v>
      </c>
      <c r="IB37" s="351">
        <v>1.4</v>
      </c>
      <c r="IC37" s="351">
        <v>2</v>
      </c>
      <c r="ID37" s="351">
        <v>1.8</v>
      </c>
      <c r="IE37" s="351">
        <v>1.3</v>
      </c>
      <c r="IF37" s="351">
        <v>2</v>
      </c>
      <c r="IG37" s="351">
        <v>1.8</v>
      </c>
      <c r="IH37" s="351">
        <v>3</v>
      </c>
      <c r="II37" s="351">
        <v>2.2000000000000002</v>
      </c>
      <c r="IJ37" s="349" t="s">
        <v>39</v>
      </c>
      <c r="IK37" s="351">
        <v>2.2000000000000002</v>
      </c>
      <c r="IL37" s="351">
        <v>3.6</v>
      </c>
      <c r="IM37" s="351">
        <v>3.1</v>
      </c>
      <c r="IN37" s="351">
        <v>4.2</v>
      </c>
      <c r="IO37" s="351">
        <v>2.2999999999999998</v>
      </c>
      <c r="IP37" s="351">
        <v>3.4</v>
      </c>
      <c r="IQ37" s="351">
        <v>3.4</v>
      </c>
      <c r="IR37" s="351">
        <v>2.2000000000000002</v>
      </c>
      <c r="IS37" s="351">
        <v>2.6</v>
      </c>
      <c r="IT37" s="351">
        <v>2.4</v>
      </c>
      <c r="IU37" s="349" t="s">
        <v>39</v>
      </c>
      <c r="IV37" s="351">
        <v>2.7</v>
      </c>
      <c r="IW37" s="351">
        <v>1.5</v>
      </c>
      <c r="IX37" s="349"/>
      <c r="IY37" s="351">
        <v>1.4</v>
      </c>
      <c r="IZ37" s="351">
        <v>1.6</v>
      </c>
      <c r="JA37" s="351">
        <v>2.7</v>
      </c>
      <c r="JB37" s="351">
        <v>1.8</v>
      </c>
      <c r="JC37" s="351">
        <v>1.7</v>
      </c>
      <c r="JD37" s="351">
        <v>1.4</v>
      </c>
      <c r="JE37" s="351">
        <v>1.5</v>
      </c>
      <c r="JF37" s="349" t="s">
        <v>39</v>
      </c>
      <c r="JG37" s="351">
        <v>27.6</v>
      </c>
      <c r="JH37" s="351">
        <v>28.8</v>
      </c>
      <c r="JI37" s="351">
        <v>31.5</v>
      </c>
      <c r="JJ37" s="351">
        <v>30.9</v>
      </c>
      <c r="JK37" s="351">
        <v>31.9</v>
      </c>
      <c r="JL37" s="351">
        <v>36.4</v>
      </c>
      <c r="JM37" s="351">
        <v>44.4</v>
      </c>
      <c r="JN37" s="351">
        <v>33.9</v>
      </c>
      <c r="JO37" s="351">
        <v>32.5</v>
      </c>
      <c r="JP37" s="351">
        <v>33.6</v>
      </c>
      <c r="JQ37" s="349" t="s">
        <v>39</v>
      </c>
      <c r="JR37" s="351">
        <v>7.7</v>
      </c>
      <c r="JS37" s="351">
        <v>10</v>
      </c>
      <c r="JT37" s="351">
        <v>7.9</v>
      </c>
      <c r="JU37" s="351">
        <v>9.5</v>
      </c>
      <c r="JV37" s="351">
        <v>7.5</v>
      </c>
      <c r="JW37" s="351">
        <v>8.1</v>
      </c>
      <c r="JX37" s="351">
        <v>8</v>
      </c>
      <c r="JY37" s="351">
        <v>10.3</v>
      </c>
      <c r="JZ37" s="351">
        <v>6.1</v>
      </c>
      <c r="KA37" s="351">
        <v>5.0999999999999996</v>
      </c>
      <c r="KB37" s="349" t="s">
        <v>39</v>
      </c>
      <c r="KC37" s="351">
        <v>18.399999999999999</v>
      </c>
      <c r="KD37" s="351">
        <v>20.7</v>
      </c>
      <c r="KE37" s="351">
        <v>18.5</v>
      </c>
      <c r="KF37" s="351">
        <v>18.8</v>
      </c>
      <c r="KG37" s="351">
        <v>19.8</v>
      </c>
      <c r="KH37" s="351">
        <v>18</v>
      </c>
      <c r="KI37" s="351">
        <v>19.399999999999999</v>
      </c>
      <c r="KJ37" s="351">
        <v>16.2</v>
      </c>
      <c r="KK37" s="351">
        <v>18</v>
      </c>
      <c r="KL37" s="351">
        <v>16.7</v>
      </c>
      <c r="KM37" s="349" t="s">
        <v>39</v>
      </c>
      <c r="KN37" s="351">
        <v>5.4</v>
      </c>
      <c r="KO37" s="351">
        <v>4.9000000000000004</v>
      </c>
      <c r="KP37" s="351">
        <v>5.6</v>
      </c>
      <c r="KQ37" s="351">
        <v>5.6</v>
      </c>
      <c r="KR37" s="351">
        <v>5</v>
      </c>
      <c r="KS37" s="351">
        <v>5.2</v>
      </c>
      <c r="KT37" s="351">
        <v>5.6</v>
      </c>
      <c r="KU37" s="351">
        <v>5.2</v>
      </c>
      <c r="KV37" s="351">
        <v>6.6</v>
      </c>
      <c r="KW37" s="351">
        <v>5.2</v>
      </c>
      <c r="KX37" s="349" t="s">
        <v>39</v>
      </c>
      <c r="KY37" s="351">
        <v>14.6</v>
      </c>
      <c r="KZ37" s="351">
        <v>14.8</v>
      </c>
      <c r="LA37" s="351">
        <v>17.2</v>
      </c>
      <c r="LB37" s="351">
        <v>12.4</v>
      </c>
      <c r="LC37" s="351">
        <v>15.1</v>
      </c>
      <c r="LD37" s="351">
        <v>14.5</v>
      </c>
      <c r="LE37" s="351">
        <v>17.100000000000001</v>
      </c>
      <c r="LF37" s="351">
        <v>13.1</v>
      </c>
      <c r="LG37" s="351">
        <v>14.2</v>
      </c>
      <c r="LH37" s="351">
        <v>12</v>
      </c>
      <c r="LI37" s="349" t="s">
        <v>39</v>
      </c>
      <c r="LJ37" s="351">
        <v>2.7</v>
      </c>
      <c r="LK37" s="351">
        <v>2.9</v>
      </c>
      <c r="LL37" s="351">
        <v>3.5</v>
      </c>
      <c r="LM37" s="351">
        <v>3.7</v>
      </c>
      <c r="LN37" s="351">
        <v>2.8</v>
      </c>
      <c r="LO37" s="351">
        <v>4.5999999999999996</v>
      </c>
      <c r="LP37" s="351">
        <v>3.1</v>
      </c>
      <c r="LQ37" s="351">
        <v>1.2</v>
      </c>
      <c r="LR37" s="351">
        <v>3.3</v>
      </c>
      <c r="LS37" s="351">
        <v>5</v>
      </c>
      <c r="LT37" s="349" t="s">
        <v>39</v>
      </c>
      <c r="LU37" s="351">
        <v>2.5</v>
      </c>
      <c r="LV37" s="351">
        <v>2</v>
      </c>
      <c r="LW37" s="351">
        <v>1.2</v>
      </c>
      <c r="LX37" s="351">
        <v>1.5</v>
      </c>
      <c r="LY37" s="351">
        <v>3.1</v>
      </c>
      <c r="LZ37" s="351">
        <v>2.4</v>
      </c>
      <c r="MA37" s="351">
        <v>1.7</v>
      </c>
      <c r="MB37" s="351">
        <v>1.3</v>
      </c>
      <c r="MC37" s="351">
        <v>1.4</v>
      </c>
      <c r="MD37" s="351">
        <v>1.5</v>
      </c>
      <c r="ME37" s="349" t="s">
        <v>39</v>
      </c>
      <c r="MF37" s="351">
        <v>5.2</v>
      </c>
      <c r="MG37" s="351">
        <v>5.3</v>
      </c>
      <c r="MH37" s="351">
        <v>4.7</v>
      </c>
      <c r="MI37" s="351">
        <v>5.8</v>
      </c>
      <c r="MJ37" s="351">
        <v>5.7</v>
      </c>
      <c r="MK37" s="351">
        <v>5.5</v>
      </c>
      <c r="ML37" s="351">
        <v>8</v>
      </c>
      <c r="MM37" s="351">
        <v>5.2</v>
      </c>
      <c r="MN37" s="351">
        <v>5.7</v>
      </c>
      <c r="MO37" s="351">
        <v>5.7</v>
      </c>
      <c r="MP37" s="349" t="s">
        <v>39</v>
      </c>
      <c r="MQ37" s="351">
        <v>5.0999999999999996</v>
      </c>
      <c r="MR37" s="351">
        <v>5.6</v>
      </c>
      <c r="MS37" s="351">
        <v>6.9</v>
      </c>
      <c r="MT37" s="351">
        <v>4.3</v>
      </c>
      <c r="MU37" s="351">
        <v>5.9</v>
      </c>
      <c r="MV37" s="351">
        <v>4.3</v>
      </c>
      <c r="MW37" s="351">
        <v>6.8</v>
      </c>
      <c r="MX37" s="351">
        <v>6.8</v>
      </c>
      <c r="MY37" s="351">
        <v>4.4000000000000004</v>
      </c>
      <c r="MZ37" s="351">
        <v>4.7</v>
      </c>
      <c r="NA37" s="349" t="s">
        <v>39</v>
      </c>
      <c r="NB37" s="351">
        <v>6.1</v>
      </c>
      <c r="NC37" s="351">
        <v>9</v>
      </c>
      <c r="ND37" s="351">
        <v>6.1</v>
      </c>
      <c r="NE37" s="351">
        <v>6</v>
      </c>
      <c r="NF37" s="351">
        <v>7.8</v>
      </c>
      <c r="NG37" s="351">
        <v>7.7</v>
      </c>
      <c r="NH37" s="351">
        <v>5.4</v>
      </c>
      <c r="NI37" s="351">
        <v>6.5</v>
      </c>
      <c r="NJ37" s="351">
        <v>7.9</v>
      </c>
      <c r="NK37" s="351">
        <v>5.7</v>
      </c>
      <c r="NL37" s="349" t="s">
        <v>39</v>
      </c>
      <c r="NM37" s="351">
        <v>10.4</v>
      </c>
      <c r="NN37" s="351">
        <v>11.5</v>
      </c>
      <c r="NO37" s="351">
        <v>9.6</v>
      </c>
      <c r="NP37" s="351">
        <v>11.2</v>
      </c>
      <c r="NQ37" s="351">
        <v>8.9</v>
      </c>
      <c r="NR37" s="351">
        <v>10.3</v>
      </c>
      <c r="NS37" s="351">
        <v>11.1</v>
      </c>
      <c r="NT37" s="351">
        <v>11.3</v>
      </c>
      <c r="NU37" s="351">
        <v>13.4</v>
      </c>
      <c r="NV37" s="351">
        <v>13.6</v>
      </c>
      <c r="NW37" s="349" t="s">
        <v>39</v>
      </c>
      <c r="NX37" s="351">
        <v>8.5</v>
      </c>
      <c r="NY37" s="351">
        <v>8.6999999999999993</v>
      </c>
      <c r="NZ37" s="351">
        <v>9.1</v>
      </c>
      <c r="OA37" s="351">
        <v>8.1999999999999993</v>
      </c>
      <c r="OB37" s="351">
        <v>9.3000000000000007</v>
      </c>
      <c r="OC37" s="351">
        <v>9.3000000000000007</v>
      </c>
      <c r="OD37" s="351">
        <v>8.5</v>
      </c>
      <c r="OE37" s="351">
        <v>7.8</v>
      </c>
      <c r="OF37" s="351">
        <v>7.5</v>
      </c>
      <c r="OG37" s="351">
        <v>10</v>
      </c>
      <c r="OH37" s="346" t="s">
        <v>39</v>
      </c>
      <c r="OI37" s="352">
        <v>9.3000000000000007</v>
      </c>
      <c r="OJ37" s="352">
        <v>9.6</v>
      </c>
      <c r="OK37" s="352">
        <v>9.8000000000000007</v>
      </c>
      <c r="OL37" s="352">
        <v>9.1999999999999993</v>
      </c>
      <c r="OM37" s="352">
        <v>8.6</v>
      </c>
      <c r="ON37" s="352">
        <v>8.5</v>
      </c>
      <c r="OO37" s="352">
        <v>8.9</v>
      </c>
      <c r="OP37" s="352">
        <v>7.8</v>
      </c>
      <c r="OQ37" s="352">
        <v>7.4</v>
      </c>
      <c r="OR37" s="352">
        <v>8.1</v>
      </c>
      <c r="OS37" s="349" t="s">
        <v>39</v>
      </c>
      <c r="OT37" s="353">
        <v>0.9</v>
      </c>
      <c r="OU37" s="353">
        <v>0.9</v>
      </c>
      <c r="OV37" s="353">
        <v>1.4</v>
      </c>
      <c r="OW37" s="353">
        <v>0.6</v>
      </c>
      <c r="OX37" s="353">
        <v>1.7</v>
      </c>
      <c r="OY37" s="353">
        <v>1.4</v>
      </c>
      <c r="OZ37" s="353">
        <v>1</v>
      </c>
      <c r="PA37" s="353">
        <v>2</v>
      </c>
      <c r="PB37" s="353">
        <v>0.6</v>
      </c>
      <c r="PC37" s="353">
        <v>0.9</v>
      </c>
      <c r="PE37" s="354">
        <f>E37-'[1]Data-temp_employment'!F37</f>
        <v>-2.5</v>
      </c>
      <c r="PF37" s="354">
        <f>F37-'[1]Data-temp_employment'!G37</f>
        <v>-0.90000000000000213</v>
      </c>
      <c r="PG37" s="354">
        <f>O37-'[1]Data-temp_employment'!P37</f>
        <v>0.30000000000001137</v>
      </c>
      <c r="PH37" s="354">
        <f>P37-'[1]Data-temp_employment'!Q37</f>
        <v>-17.799999999999983</v>
      </c>
      <c r="PI37" s="354">
        <f>AD37-'[1]Data-temp_employment'!AE37</f>
        <v>3.1999999999999997</v>
      </c>
      <c r="PJ37" s="354">
        <f>AE37-'[1]Data-temp_employment'!AF37</f>
        <v>5.9</v>
      </c>
      <c r="PK37" s="354">
        <f>BR37-'[1]Data-temp_employment'!BS37</f>
        <v>2.1999999999999993</v>
      </c>
      <c r="PL37" s="354">
        <f>BS37-'[1]Data-temp_employment'!BT37</f>
        <v>-1.7999999999999989</v>
      </c>
      <c r="PM37" s="354">
        <f>CC37-'[1]Data-temp_employment'!CD37</f>
        <v>2.1999999999999993</v>
      </c>
      <c r="PN37" s="354">
        <f>CD37-'[1]Data-temp_employment'!CE37</f>
        <v>-1.8000000000000007</v>
      </c>
      <c r="PO37" s="354">
        <f>CR37-'[1]Data-temp_employment'!CS37</f>
        <v>1.7000000000000011</v>
      </c>
      <c r="PP37" s="354">
        <f>CS37-'[1]Data-temp_employment'!CT37</f>
        <v>6.3999999999999986</v>
      </c>
      <c r="PQ37" s="354">
        <f>DC37-'[1]Data-temp_employment'!DD37</f>
        <v>6.2000000000000028</v>
      </c>
      <c r="PR37" s="354">
        <f>DD37-'[1]Data-temp_employment'!DE37</f>
        <v>3.5</v>
      </c>
      <c r="PS37" s="354">
        <f>DN37-'[1]Data-temp_employment'!DO37</f>
        <v>-0.89999999999999858</v>
      </c>
      <c r="PT37" s="354">
        <f>DO37-'[1]Data-temp_employment'!DP37</f>
        <v>11.900000000000006</v>
      </c>
      <c r="PU37" s="354">
        <f>EF37-'[1]Data-temp_employment'!EG37</f>
        <v>0.10000000000000009</v>
      </c>
      <c r="PV37" s="354">
        <f>EG37-'[1]Data-temp_employment'!EH37</f>
        <v>-0.39999999999999991</v>
      </c>
      <c r="PW37" s="354">
        <f>EU37-'[1]Data-temp_employment'!EV37</f>
        <v>-0.60000000000000142</v>
      </c>
      <c r="PX37" s="354">
        <f>EV37-'[1]Data-temp_employment'!EW37</f>
        <v>4.1000000000000014</v>
      </c>
      <c r="PY37" s="354">
        <f>FF37-'[1]Data-temp_employment'!FG37</f>
        <v>3.9000000000000004</v>
      </c>
      <c r="PZ37" s="354">
        <f>FG37-'[1]Data-temp_employment'!FH37</f>
        <v>3.3000000000000007</v>
      </c>
      <c r="QA37" s="354">
        <f>FQ37-'[1]Data-temp_employment'!FR37</f>
        <v>4.3000000000000007</v>
      </c>
      <c r="QB37" s="354">
        <f>FR37-'[1]Data-temp_employment'!FS37</f>
        <v>-0.40000000000000036</v>
      </c>
      <c r="QC37" s="354">
        <f>GB37-'[1]Data-temp_employment'!GC37</f>
        <v>-5.3000000000000007</v>
      </c>
      <c r="QD37" s="354">
        <f>GC37-'[1]Data-temp_employment'!GD37</f>
        <v>-0.80000000000000426</v>
      </c>
      <c r="QE37" s="354">
        <f>GM37-'[1]Data-temp_employment'!GN37</f>
        <v>-0.70000000000000018</v>
      </c>
      <c r="QF37" s="354">
        <f>GN37-'[1]Data-temp_employment'!GO37</f>
        <v>0.10000000000000009</v>
      </c>
      <c r="QG37" s="354">
        <f>GX37-'[1]Data-temp_employment'!GY37</f>
        <v>-1.4000000000000021</v>
      </c>
      <c r="QH37" s="354">
        <f>GY37-'[1]Data-temp_employment'!GZ37</f>
        <v>0</v>
      </c>
      <c r="QI37" s="354">
        <f>HI37-'[1]Data-temp_employment'!HJ37</f>
        <v>3.6000000000000014</v>
      </c>
      <c r="QJ37" s="354">
        <f>HJ37-'[1]Data-temp_employment'!HK37</f>
        <v>7.2999999999999989</v>
      </c>
      <c r="QK37" s="354">
        <f>HT37-'[1]Data-temp_employment'!HU37</f>
        <v>4.8000000000000007</v>
      </c>
      <c r="QL37" s="354">
        <f>HU37-'[1]Data-temp_employment'!HV37</f>
        <v>6.5000000000000018</v>
      </c>
      <c r="QM37" s="354">
        <f>IE37-'[1]Data-temp_employment'!IF37</f>
        <v>-1.3</v>
      </c>
      <c r="QN37" s="354">
        <f>IF37-'[1]Data-temp_employment'!IG37</f>
        <v>0.60000000000000009</v>
      </c>
      <c r="QO37" s="354">
        <f>JA37-'[1]Data-temp_employment'!JB37</f>
        <v>1.2000000000000002</v>
      </c>
      <c r="QP37" s="354">
        <f>JB37-'[1]Data-temp_employment'!JC37</f>
        <v>1.8</v>
      </c>
      <c r="QQ37" s="354">
        <f>JH37-'[1]Data-temp_employment'!JI37</f>
        <v>2.1000000000000014</v>
      </c>
      <c r="QR37" s="354">
        <f>JI37-'[1]Data-temp_employment'!JJ37</f>
        <v>-2.7000000000000028</v>
      </c>
      <c r="QS37" s="354">
        <f>JS37-'[1]Data-temp_employment'!JT37</f>
        <v>9.9999999999999645E-2</v>
      </c>
      <c r="QT37" s="354">
        <f>JT37-'[1]Data-temp_employment'!JU37</f>
        <v>-4.7999999999999989</v>
      </c>
      <c r="QU37" s="354">
        <f>KD37-'[1]Data-temp_employment'!KE37</f>
        <v>4.7999999999999989</v>
      </c>
      <c r="QV37" s="354">
        <f>KE37-'[1]Data-temp_employment'!KF37</f>
        <v>-0.10000000000000142</v>
      </c>
      <c r="QW37" s="354">
        <f>KO37-'[1]Data-temp_employment'!KP37</f>
        <v>0.90000000000000036</v>
      </c>
      <c r="QX37" s="354">
        <f>KP37-'[1]Data-temp_employment'!KQ37</f>
        <v>-0.20000000000000018</v>
      </c>
      <c r="QY37" s="354">
        <f>LD37-'[1]Data-temp_employment'!LE37</f>
        <v>-0.30000000000000071</v>
      </c>
      <c r="QZ37" s="354">
        <f>LE37-'[1]Data-temp_employment'!LF37</f>
        <v>-9.9999999999997868E-2</v>
      </c>
      <c r="RA37" s="354">
        <f>LK37-'[1]Data-temp_employment'!LL37</f>
        <v>-3.6999999999999997</v>
      </c>
      <c r="RB37" s="354">
        <f>LL37-'[1]Data-temp_employment'!LM37</f>
        <v>-0.79999999999999982</v>
      </c>
      <c r="RC37" s="354">
        <f>LV37-'[1]Data-temp_employment'!LW37</f>
        <v>-0.79999999999999982</v>
      </c>
      <c r="RD37" s="354">
        <f>LW37-'[1]Data-temp_employment'!LX37</f>
        <v>-0.5</v>
      </c>
      <c r="RE37" s="354">
        <f>MK37-'[1]Data-temp_employment'!ML37</f>
        <v>0.20000000000000018</v>
      </c>
      <c r="RF37" s="354">
        <f>ML37-'[1]Data-temp_employment'!MM37</f>
        <v>3.3</v>
      </c>
      <c r="RG37" s="354">
        <f>MV37-'[1]Data-temp_employment'!MW37</f>
        <v>-1.2999999999999998</v>
      </c>
      <c r="RH37" s="354">
        <f>MW37-'[1]Data-temp_employment'!MX37</f>
        <v>-0.10000000000000053</v>
      </c>
      <c r="RI37" s="354">
        <f>NG37-'[1]Data-temp_employment'!NH37</f>
        <v>-1.2999999999999998</v>
      </c>
      <c r="RJ37" s="354">
        <f>NH37-'[1]Data-temp_employment'!NI37</f>
        <v>-0.69999999999999929</v>
      </c>
      <c r="RK37" s="354">
        <f>NR37-'[1]Data-temp_employment'!NS37</f>
        <v>-1.1999999999999993</v>
      </c>
      <c r="RL37" s="354">
        <f>NS37-'[1]Data-temp_employment'!NT37</f>
        <v>1.5</v>
      </c>
      <c r="RM37" s="354">
        <f>OC37-'[1]Data-temp_employment'!OD37</f>
        <v>0.60000000000000142</v>
      </c>
      <c r="RN37" s="354">
        <f>OD37-'[1]Data-temp_employment'!OE37</f>
        <v>-0.59999999999999964</v>
      </c>
      <c r="RO37" s="354">
        <f>OT36-'[1]Data-temp_employment'!OV37</f>
        <v>-0.6</v>
      </c>
      <c r="RP37" s="354">
        <f>OU36-'[1]Data-temp_employment'!OW37</f>
        <v>-0.2</v>
      </c>
    </row>
    <row r="38" spans="1:485">
      <c r="A38" s="219">
        <v>35</v>
      </c>
      <c r="B38" s="128" t="s">
        <v>24</v>
      </c>
      <c r="C38" s="332">
        <v>25.1</v>
      </c>
      <c r="D38" s="332">
        <v>25.8</v>
      </c>
      <c r="E38" s="332">
        <v>27</v>
      </c>
      <c r="F38" s="332">
        <v>26.5</v>
      </c>
      <c r="G38" s="332">
        <v>25.8</v>
      </c>
      <c r="H38" s="332">
        <v>26.9</v>
      </c>
      <c r="I38" s="332">
        <v>27.5</v>
      </c>
      <c r="J38" s="332">
        <v>26.8</v>
      </c>
      <c r="K38" s="332">
        <v>26.2</v>
      </c>
      <c r="L38" s="332">
        <v>26.9</v>
      </c>
      <c r="M38" s="158" t="s">
        <v>24</v>
      </c>
      <c r="N38" s="332">
        <v>3732.7</v>
      </c>
      <c r="O38" s="332">
        <v>3899.1</v>
      </c>
      <c r="P38" s="332">
        <v>4145.3999999999996</v>
      </c>
      <c r="Q38" s="332">
        <v>4065.3</v>
      </c>
      <c r="R38" s="332">
        <v>3946.7</v>
      </c>
      <c r="S38" s="332">
        <v>4200.2</v>
      </c>
      <c r="T38" s="332">
        <v>4348.3</v>
      </c>
      <c r="U38" s="332">
        <v>4242.8999999999996</v>
      </c>
      <c r="V38" s="332">
        <v>4114.3999999999996</v>
      </c>
      <c r="W38" s="332">
        <v>4348.8</v>
      </c>
      <c r="X38" s="120" t="s">
        <v>24</v>
      </c>
      <c r="Y38" s="332">
        <v>179.9</v>
      </c>
      <c r="Z38" s="332">
        <v>193.6</v>
      </c>
      <c r="AA38" s="332">
        <v>184.7</v>
      </c>
      <c r="AB38" s="332">
        <v>205.3</v>
      </c>
      <c r="AC38" s="332">
        <v>186.7</v>
      </c>
      <c r="AD38" s="332">
        <v>196.3</v>
      </c>
      <c r="AE38" s="332">
        <v>181.7</v>
      </c>
      <c r="AF38" s="332">
        <v>196.4</v>
      </c>
      <c r="AG38" s="332">
        <v>164.3</v>
      </c>
      <c r="AH38" s="332">
        <v>231.6</v>
      </c>
      <c r="AI38" s="158" t="s">
        <v>24</v>
      </c>
      <c r="AJ38" s="332">
        <v>411.6</v>
      </c>
      <c r="AK38" s="332">
        <v>433.9</v>
      </c>
      <c r="AL38" s="332">
        <v>723.4</v>
      </c>
      <c r="AM38" s="332">
        <v>499.9</v>
      </c>
      <c r="AN38" s="332">
        <v>412.8</v>
      </c>
      <c r="AO38" s="332">
        <v>497.4</v>
      </c>
      <c r="AP38" s="332">
        <v>778</v>
      </c>
      <c r="AQ38" s="332">
        <v>506</v>
      </c>
      <c r="AR38" s="332">
        <v>404.5</v>
      </c>
      <c r="AS38" s="332">
        <v>441.8</v>
      </c>
      <c r="AT38" s="119" t="s">
        <v>24</v>
      </c>
      <c r="AU38" s="332">
        <v>543.79999999999995</v>
      </c>
      <c r="AV38" s="332">
        <v>596.6</v>
      </c>
      <c r="AW38" s="332">
        <v>644.6</v>
      </c>
      <c r="AX38" s="332">
        <v>564.79999999999995</v>
      </c>
      <c r="AY38" s="332">
        <v>558</v>
      </c>
      <c r="AZ38" s="332">
        <v>668.6</v>
      </c>
      <c r="BA38" s="332">
        <v>725.1</v>
      </c>
      <c r="BB38" s="332">
        <v>611.1</v>
      </c>
      <c r="BC38" s="332">
        <v>586.29999999999995</v>
      </c>
      <c r="BD38" s="332">
        <v>636.5</v>
      </c>
      <c r="BE38" s="119" t="s">
        <v>24</v>
      </c>
      <c r="BF38" s="280">
        <v>640.20000000000005</v>
      </c>
      <c r="BG38" s="280">
        <v>604.6</v>
      </c>
      <c r="BH38" s="280">
        <v>508.7</v>
      </c>
      <c r="BI38" s="280">
        <v>588.70000000000005</v>
      </c>
      <c r="BJ38" s="280">
        <v>635.29999999999995</v>
      </c>
      <c r="BK38" s="280">
        <v>642.29999999999995</v>
      </c>
      <c r="BL38" s="280">
        <v>548.20000000000005</v>
      </c>
      <c r="BM38" s="280">
        <v>652.1</v>
      </c>
      <c r="BN38" s="280">
        <v>679.8</v>
      </c>
      <c r="BO38" s="280">
        <v>700.8</v>
      </c>
      <c r="BP38" s="6" t="s">
        <v>24</v>
      </c>
      <c r="BQ38" s="7">
        <v>48.8</v>
      </c>
      <c r="BR38" s="7">
        <v>61.2</v>
      </c>
      <c r="BS38" s="7">
        <v>58.4</v>
      </c>
      <c r="BT38" s="7">
        <v>64.900000000000006</v>
      </c>
      <c r="BU38" s="7">
        <v>56.5</v>
      </c>
      <c r="BV38" s="7">
        <v>63.3</v>
      </c>
      <c r="BW38" s="7">
        <v>71.400000000000006</v>
      </c>
      <c r="BX38" s="7">
        <v>68.3</v>
      </c>
      <c r="BY38" s="7">
        <v>64.099999999999994</v>
      </c>
      <c r="BZ38" s="7">
        <v>75.2</v>
      </c>
      <c r="CA38" s="6" t="s">
        <v>24</v>
      </c>
      <c r="CB38" s="7">
        <v>193.3</v>
      </c>
      <c r="CC38" s="7">
        <v>192.5</v>
      </c>
      <c r="CD38" s="7">
        <v>193.7</v>
      </c>
      <c r="CE38" s="7">
        <v>197.20000000000002</v>
      </c>
      <c r="CF38" s="7">
        <v>193.2</v>
      </c>
      <c r="CG38" s="7">
        <v>189.6</v>
      </c>
      <c r="CH38" s="7">
        <v>201.60000000000002</v>
      </c>
      <c r="CI38" s="7">
        <v>191.4</v>
      </c>
      <c r="CJ38" s="7">
        <v>213.4</v>
      </c>
      <c r="CK38" s="7">
        <v>212.9</v>
      </c>
      <c r="CL38" s="129" t="s">
        <v>24</v>
      </c>
      <c r="CM38" s="280">
        <v>1466.6</v>
      </c>
      <c r="CN38" s="280">
        <v>1549.9</v>
      </c>
      <c r="CO38" s="280">
        <v>1669.8</v>
      </c>
      <c r="CP38" s="280">
        <v>1639.5</v>
      </c>
      <c r="CQ38" s="280">
        <v>1534.9</v>
      </c>
      <c r="CR38" s="280">
        <v>1664.5</v>
      </c>
      <c r="CS38" s="280">
        <v>1701.3</v>
      </c>
      <c r="CT38" s="280">
        <v>1663</v>
      </c>
      <c r="CU38" s="280">
        <v>1596.9</v>
      </c>
      <c r="CV38" s="280">
        <v>1682.3</v>
      </c>
      <c r="CW38" s="130" t="s">
        <v>24</v>
      </c>
      <c r="CX38" s="280">
        <v>901.5</v>
      </c>
      <c r="CY38" s="280">
        <v>932.7</v>
      </c>
      <c r="CZ38" s="280">
        <v>1025.5999999999999</v>
      </c>
      <c r="DA38" s="280">
        <v>994.7</v>
      </c>
      <c r="DB38" s="280">
        <v>967.3</v>
      </c>
      <c r="DC38" s="280">
        <v>1031.0999999999999</v>
      </c>
      <c r="DD38" s="280">
        <v>1108.8</v>
      </c>
      <c r="DE38" s="280">
        <v>1035.2</v>
      </c>
      <c r="DF38" s="280">
        <v>988.4</v>
      </c>
      <c r="DG38" s="280">
        <v>1080.5999999999999</v>
      </c>
      <c r="DH38" s="131" t="s">
        <v>24</v>
      </c>
      <c r="DI38" s="280">
        <v>1364.5</v>
      </c>
      <c r="DJ38" s="280">
        <v>1416.5</v>
      </c>
      <c r="DK38" s="280">
        <v>1450</v>
      </c>
      <c r="DL38" s="280">
        <v>1431.1</v>
      </c>
      <c r="DM38" s="280">
        <v>1444.5</v>
      </c>
      <c r="DN38" s="280">
        <v>1504.6</v>
      </c>
      <c r="DO38" s="280">
        <v>1538.1</v>
      </c>
      <c r="DP38" s="280">
        <v>1544.7</v>
      </c>
      <c r="DQ38" s="280">
        <v>1529.1</v>
      </c>
      <c r="DR38" s="280">
        <v>1585.9</v>
      </c>
      <c r="DS38" s="132" t="s">
        <v>24</v>
      </c>
      <c r="DT38" s="281"/>
      <c r="DU38" s="281"/>
      <c r="DV38" s="281"/>
      <c r="DW38" s="281"/>
      <c r="DX38" s="281"/>
      <c r="DY38" s="281"/>
      <c r="DZ38" s="281"/>
      <c r="EA38" s="281"/>
      <c r="EB38" s="281"/>
      <c r="EC38" s="281"/>
      <c r="ED38" s="2" t="s">
        <v>24</v>
      </c>
      <c r="EE38" s="280">
        <v>25.5</v>
      </c>
      <c r="EF38" s="280">
        <v>23.5</v>
      </c>
      <c r="EG38" s="280">
        <v>22.9</v>
      </c>
      <c r="EH38" s="280">
        <v>24.8</v>
      </c>
      <c r="EI38" s="280">
        <v>23.9</v>
      </c>
      <c r="EJ38" s="280">
        <v>18.7</v>
      </c>
      <c r="EK38" s="280">
        <v>20.399999999999999</v>
      </c>
      <c r="EL38" s="280">
        <v>22.3</v>
      </c>
      <c r="EM38" s="280">
        <v>22.6</v>
      </c>
      <c r="EN38" s="280">
        <v>26.2</v>
      </c>
      <c r="EO38" s="2" t="s">
        <v>24</v>
      </c>
      <c r="EP38" s="280">
        <v>594.9</v>
      </c>
      <c r="EQ38" s="280">
        <v>634.79999999999995</v>
      </c>
      <c r="ER38" s="280">
        <v>582.79999999999995</v>
      </c>
      <c r="ES38" s="280">
        <v>639.70000000000005</v>
      </c>
      <c r="ET38" s="280">
        <v>644.79999999999995</v>
      </c>
      <c r="EU38" s="280">
        <v>651.5</v>
      </c>
      <c r="EV38" s="280">
        <v>594</v>
      </c>
      <c r="EW38" s="280">
        <v>661.9</v>
      </c>
      <c r="EX38" s="280">
        <v>669.7</v>
      </c>
      <c r="EY38" s="280">
        <v>686.4</v>
      </c>
      <c r="EZ38" s="2" t="s">
        <v>24</v>
      </c>
      <c r="FA38" s="280">
        <v>301.89999999999998</v>
      </c>
      <c r="FB38" s="280">
        <v>312.3</v>
      </c>
      <c r="FC38" s="280">
        <v>305.10000000000002</v>
      </c>
      <c r="FD38" s="280">
        <v>298.10000000000002</v>
      </c>
      <c r="FE38" s="280">
        <v>326.7</v>
      </c>
      <c r="FF38" s="280">
        <v>332.4</v>
      </c>
      <c r="FG38" s="280">
        <v>348.9</v>
      </c>
      <c r="FH38" s="280">
        <v>359.1</v>
      </c>
      <c r="FI38" s="280">
        <v>363.9</v>
      </c>
      <c r="FJ38" s="280">
        <v>353.9</v>
      </c>
      <c r="FK38" s="2" t="s">
        <v>24</v>
      </c>
      <c r="FL38" s="280">
        <v>313.10000000000002</v>
      </c>
      <c r="FM38" s="280">
        <v>301.60000000000002</v>
      </c>
      <c r="FN38" s="280">
        <v>324.3</v>
      </c>
      <c r="FO38" s="280">
        <v>304.2</v>
      </c>
      <c r="FP38" s="280">
        <v>312.5</v>
      </c>
      <c r="FQ38" s="280">
        <v>347.8</v>
      </c>
      <c r="FR38" s="280">
        <v>380.3</v>
      </c>
      <c r="FS38" s="280">
        <v>355.8</v>
      </c>
      <c r="FT38" s="280">
        <v>353.3</v>
      </c>
      <c r="FU38" s="280">
        <v>381.4</v>
      </c>
      <c r="FV38" s="2" t="s">
        <v>24</v>
      </c>
      <c r="FW38" s="280">
        <v>814.6</v>
      </c>
      <c r="FX38" s="280">
        <v>889.5</v>
      </c>
      <c r="FY38" s="280">
        <v>1051.7</v>
      </c>
      <c r="FZ38" s="280">
        <v>935.3</v>
      </c>
      <c r="GA38" s="280">
        <v>871.2</v>
      </c>
      <c r="GB38" s="280">
        <v>953.6</v>
      </c>
      <c r="GC38" s="280">
        <v>1071.5999999999999</v>
      </c>
      <c r="GD38" s="280">
        <v>909.4</v>
      </c>
      <c r="GE38" s="280">
        <v>843.3</v>
      </c>
      <c r="GF38" s="280">
        <v>958.1</v>
      </c>
      <c r="GG38" s="2" t="s">
        <v>24</v>
      </c>
      <c r="GH38" s="280">
        <v>54.6</v>
      </c>
      <c r="GI38" s="280">
        <v>44.4</v>
      </c>
      <c r="GJ38" s="280">
        <v>49.9</v>
      </c>
      <c r="GK38" s="280">
        <v>48.4</v>
      </c>
      <c r="GL38" s="280">
        <v>52</v>
      </c>
      <c r="GM38" s="280">
        <v>59.7</v>
      </c>
      <c r="GN38" s="280">
        <v>57.8</v>
      </c>
      <c r="GO38" s="280">
        <v>58.9</v>
      </c>
      <c r="GP38" s="280">
        <v>49.3</v>
      </c>
      <c r="GQ38" s="280">
        <v>60.1</v>
      </c>
      <c r="GR38" s="2" t="s">
        <v>24</v>
      </c>
      <c r="GS38" s="280">
        <v>469.8</v>
      </c>
      <c r="GT38" s="280">
        <v>496.5</v>
      </c>
      <c r="GU38" s="280">
        <v>524.9</v>
      </c>
      <c r="GV38" s="280">
        <v>506.2</v>
      </c>
      <c r="GW38" s="280">
        <v>481.7</v>
      </c>
      <c r="GX38" s="280">
        <v>534.9</v>
      </c>
      <c r="GY38" s="280">
        <v>528.29999999999995</v>
      </c>
      <c r="GZ38" s="280">
        <v>510.4</v>
      </c>
      <c r="HA38" s="280">
        <v>489.7</v>
      </c>
      <c r="HB38" s="280">
        <v>540.6</v>
      </c>
      <c r="HC38" s="2" t="s">
        <v>24</v>
      </c>
      <c r="HD38" s="280">
        <v>273</v>
      </c>
      <c r="HE38" s="280">
        <v>275.89999999999998</v>
      </c>
      <c r="HF38" s="280">
        <v>306</v>
      </c>
      <c r="HG38" s="280">
        <v>305.8</v>
      </c>
      <c r="HH38" s="280">
        <v>291.60000000000002</v>
      </c>
      <c r="HI38" s="280">
        <v>311.3</v>
      </c>
      <c r="HJ38" s="280">
        <v>335</v>
      </c>
      <c r="HK38" s="280">
        <v>335.8</v>
      </c>
      <c r="HL38" s="280">
        <v>326.10000000000002</v>
      </c>
      <c r="HM38" s="280">
        <v>313.89999999999998</v>
      </c>
      <c r="HN38" s="279" t="s">
        <v>24</v>
      </c>
      <c r="HO38" s="280">
        <v>874</v>
      </c>
      <c r="HP38" s="280">
        <v>912.8</v>
      </c>
      <c r="HQ38" s="280">
        <v>968.7</v>
      </c>
      <c r="HR38" s="280">
        <v>992.4</v>
      </c>
      <c r="HS38" s="280">
        <v>931.5</v>
      </c>
      <c r="HT38" s="280">
        <v>981</v>
      </c>
      <c r="HU38" s="280">
        <v>1001.6</v>
      </c>
      <c r="HV38" s="280">
        <v>1016.8</v>
      </c>
      <c r="HW38" s="280">
        <v>985.3</v>
      </c>
      <c r="HX38" s="280">
        <v>1018.7</v>
      </c>
      <c r="HY38" s="2" t="s">
        <v>24</v>
      </c>
      <c r="HZ38" s="280">
        <v>11.3</v>
      </c>
      <c r="IA38" s="280">
        <v>7.7</v>
      </c>
      <c r="IB38" s="280">
        <v>9.1</v>
      </c>
      <c r="IC38" s="280">
        <v>10.4</v>
      </c>
      <c r="ID38" s="280">
        <v>10.7</v>
      </c>
      <c r="IE38" s="280">
        <v>9.4</v>
      </c>
      <c r="IF38" s="280">
        <v>10.4</v>
      </c>
      <c r="IG38" s="280">
        <v>12.5</v>
      </c>
      <c r="IH38" s="280">
        <v>11.4</v>
      </c>
      <c r="II38" s="280">
        <v>9.8000000000000007</v>
      </c>
      <c r="IJ38" s="2" t="s">
        <v>24</v>
      </c>
      <c r="IK38" s="281"/>
      <c r="IL38" s="281"/>
      <c r="IM38" s="281"/>
      <c r="IN38" s="281"/>
      <c r="IO38" s="281"/>
      <c r="IP38" s="281"/>
      <c r="IQ38" s="281"/>
      <c r="IR38" s="281"/>
      <c r="IS38" s="281"/>
      <c r="IT38" s="281"/>
      <c r="IU38" s="2" t="s">
        <v>24</v>
      </c>
      <c r="IV38" s="280">
        <v>308.7</v>
      </c>
      <c r="IW38" s="280">
        <v>294</v>
      </c>
      <c r="IX38" s="280">
        <v>269.8</v>
      </c>
      <c r="IY38" s="280">
        <v>307</v>
      </c>
      <c r="IZ38" s="280">
        <v>313.7</v>
      </c>
      <c r="JA38" s="280">
        <v>318.89999999999998</v>
      </c>
      <c r="JB38" s="280">
        <v>259.89999999999998</v>
      </c>
      <c r="JC38" s="280">
        <v>317.8</v>
      </c>
      <c r="JD38" s="280">
        <v>326.39999999999998</v>
      </c>
      <c r="JE38" s="280">
        <v>312.89999999999998</v>
      </c>
      <c r="JF38" s="2" t="s">
        <v>24</v>
      </c>
      <c r="JG38" s="280">
        <v>402.5</v>
      </c>
      <c r="JH38" s="280">
        <v>434.7</v>
      </c>
      <c r="JI38" s="280">
        <v>438.7</v>
      </c>
      <c r="JJ38" s="280">
        <v>459.3</v>
      </c>
      <c r="JK38" s="280">
        <v>440.7</v>
      </c>
      <c r="JL38" s="280">
        <v>445.6</v>
      </c>
      <c r="JM38" s="280">
        <v>483.5</v>
      </c>
      <c r="JN38" s="280">
        <v>474.1</v>
      </c>
      <c r="JO38" s="280">
        <v>469.5</v>
      </c>
      <c r="JP38" s="280">
        <v>478.5</v>
      </c>
      <c r="JQ38" s="2" t="s">
        <v>24</v>
      </c>
      <c r="JR38" s="280">
        <v>293.2</v>
      </c>
      <c r="JS38" s="280">
        <v>324.39999999999998</v>
      </c>
      <c r="JT38" s="280">
        <v>343.6</v>
      </c>
      <c r="JU38" s="280">
        <v>326.10000000000002</v>
      </c>
      <c r="JV38" s="280">
        <v>318.10000000000002</v>
      </c>
      <c r="JW38" s="280">
        <v>353</v>
      </c>
      <c r="JX38" s="280">
        <v>340.9</v>
      </c>
      <c r="JY38" s="280">
        <v>338.5</v>
      </c>
      <c r="JZ38" s="280">
        <v>329.4</v>
      </c>
      <c r="KA38" s="280">
        <v>357.2</v>
      </c>
      <c r="KB38" s="2" t="s">
        <v>24</v>
      </c>
      <c r="KC38" s="280">
        <v>446.6</v>
      </c>
      <c r="KD38" s="280">
        <v>443.2</v>
      </c>
      <c r="KE38" s="280">
        <v>519.29999999999995</v>
      </c>
      <c r="KF38" s="280">
        <v>515</v>
      </c>
      <c r="KG38" s="280">
        <v>486.3</v>
      </c>
      <c r="KH38" s="280">
        <v>507.2</v>
      </c>
      <c r="KI38" s="280">
        <v>553.20000000000005</v>
      </c>
      <c r="KJ38" s="280">
        <v>514.9</v>
      </c>
      <c r="KK38" s="280">
        <v>473.8</v>
      </c>
      <c r="KL38" s="280">
        <v>499.6</v>
      </c>
      <c r="KM38" s="2" t="s">
        <v>24</v>
      </c>
      <c r="KN38" s="280">
        <v>153.6</v>
      </c>
      <c r="KO38" s="280">
        <v>151.19999999999999</v>
      </c>
      <c r="KP38" s="280">
        <v>171.9</v>
      </c>
      <c r="KQ38" s="280">
        <v>172.3</v>
      </c>
      <c r="KR38" s="280">
        <v>161.19999999999999</v>
      </c>
      <c r="KS38" s="280">
        <v>174</v>
      </c>
      <c r="KT38" s="280">
        <v>183.9</v>
      </c>
      <c r="KU38" s="280">
        <v>182.2</v>
      </c>
      <c r="KV38" s="280">
        <v>177.6</v>
      </c>
      <c r="KW38" s="280">
        <v>180.6</v>
      </c>
      <c r="KX38" s="2" t="s">
        <v>24</v>
      </c>
      <c r="KY38" s="280">
        <v>437.6</v>
      </c>
      <c r="KZ38" s="280">
        <v>499.8</v>
      </c>
      <c r="LA38" s="280">
        <v>583</v>
      </c>
      <c r="LB38" s="280">
        <v>464.7</v>
      </c>
      <c r="LC38" s="280">
        <v>423.5</v>
      </c>
      <c r="LD38" s="280">
        <v>538.6</v>
      </c>
      <c r="LE38" s="280">
        <v>613.4</v>
      </c>
      <c r="LF38" s="280">
        <v>504.6</v>
      </c>
      <c r="LG38" s="280">
        <v>437</v>
      </c>
      <c r="LH38" s="280">
        <v>551.20000000000005</v>
      </c>
      <c r="LI38" s="2" t="s">
        <v>24</v>
      </c>
      <c r="LJ38" s="280">
        <v>87.8</v>
      </c>
      <c r="LK38" s="280">
        <v>81.5</v>
      </c>
      <c r="LL38" s="280">
        <v>82.7</v>
      </c>
      <c r="LM38" s="280">
        <v>86.3</v>
      </c>
      <c r="LN38" s="280">
        <v>89.2</v>
      </c>
      <c r="LO38" s="280">
        <v>85.4</v>
      </c>
      <c r="LP38" s="280">
        <v>84.1</v>
      </c>
      <c r="LQ38" s="280">
        <v>91</v>
      </c>
      <c r="LR38" s="280">
        <v>79.7</v>
      </c>
      <c r="LS38" s="280">
        <v>82</v>
      </c>
      <c r="LT38" s="2" t="s">
        <v>24</v>
      </c>
      <c r="LU38" s="280">
        <v>33.799999999999997</v>
      </c>
      <c r="LV38" s="280">
        <v>37.5</v>
      </c>
      <c r="LW38" s="280">
        <v>42.5</v>
      </c>
      <c r="LX38" s="280">
        <v>41.5</v>
      </c>
      <c r="LY38" s="280">
        <v>38.799999999999997</v>
      </c>
      <c r="LZ38" s="280">
        <v>38.9</v>
      </c>
      <c r="MA38" s="280">
        <v>38</v>
      </c>
      <c r="MB38" s="280">
        <v>30.8</v>
      </c>
      <c r="MC38" s="280">
        <v>39.700000000000003</v>
      </c>
      <c r="MD38" s="280">
        <v>32.4</v>
      </c>
      <c r="ME38" s="2" t="s">
        <v>24</v>
      </c>
      <c r="MF38" s="280">
        <v>111.5</v>
      </c>
      <c r="MG38" s="280">
        <v>124.6</v>
      </c>
      <c r="MH38" s="280">
        <v>128.30000000000001</v>
      </c>
      <c r="MI38" s="280">
        <v>120.4</v>
      </c>
      <c r="MJ38" s="280">
        <v>118.6</v>
      </c>
      <c r="MK38" s="280">
        <v>135.4</v>
      </c>
      <c r="ML38" s="280">
        <v>126.6</v>
      </c>
      <c r="MM38" s="280">
        <v>127.6</v>
      </c>
      <c r="MN38" s="280">
        <v>124.7</v>
      </c>
      <c r="MO38" s="280">
        <v>124.4</v>
      </c>
      <c r="MP38" s="2" t="s">
        <v>24</v>
      </c>
      <c r="MQ38" s="280">
        <v>203.2</v>
      </c>
      <c r="MR38" s="280">
        <v>209.8</v>
      </c>
      <c r="MS38" s="280">
        <v>234.8</v>
      </c>
      <c r="MT38" s="280">
        <v>216.8</v>
      </c>
      <c r="MU38" s="280">
        <v>200.8</v>
      </c>
      <c r="MV38" s="280">
        <v>219.5</v>
      </c>
      <c r="MW38" s="280">
        <v>246</v>
      </c>
      <c r="MX38" s="280">
        <v>225.2</v>
      </c>
      <c r="MY38" s="280">
        <v>212.7</v>
      </c>
      <c r="MZ38" s="280">
        <v>242.9</v>
      </c>
      <c r="NA38" s="2" t="s">
        <v>24</v>
      </c>
      <c r="NB38" s="280">
        <v>197.5</v>
      </c>
      <c r="NC38" s="280">
        <v>199.1</v>
      </c>
      <c r="ND38" s="280">
        <v>220.8</v>
      </c>
      <c r="NE38" s="280">
        <v>208.7</v>
      </c>
      <c r="NF38" s="280">
        <v>209.2</v>
      </c>
      <c r="NG38" s="280">
        <v>219.1</v>
      </c>
      <c r="NH38" s="280">
        <v>240.3</v>
      </c>
      <c r="NI38" s="280">
        <v>246.4</v>
      </c>
      <c r="NJ38" s="280">
        <v>241.3</v>
      </c>
      <c r="NK38" s="280">
        <v>245.1</v>
      </c>
      <c r="NL38" s="2" t="s">
        <v>24</v>
      </c>
      <c r="NM38" s="280">
        <v>316.2</v>
      </c>
      <c r="NN38" s="280">
        <v>329.7</v>
      </c>
      <c r="NO38" s="280">
        <v>235.8</v>
      </c>
      <c r="NP38" s="280">
        <v>306.39999999999998</v>
      </c>
      <c r="NQ38" s="280">
        <v>325.89999999999998</v>
      </c>
      <c r="NR38" s="280">
        <v>326.5</v>
      </c>
      <c r="NS38" s="280">
        <v>234.1</v>
      </c>
      <c r="NT38" s="280">
        <v>324.89999999999998</v>
      </c>
      <c r="NU38" s="280">
        <v>363.5</v>
      </c>
      <c r="NV38" s="280">
        <v>361.6</v>
      </c>
      <c r="NW38" s="2" t="s">
        <v>24</v>
      </c>
      <c r="NX38" s="280">
        <v>369.3</v>
      </c>
      <c r="NY38" s="280">
        <v>392</v>
      </c>
      <c r="NZ38" s="280">
        <v>458.5</v>
      </c>
      <c r="OA38" s="280">
        <v>410.9</v>
      </c>
      <c r="OB38" s="280">
        <v>414.4</v>
      </c>
      <c r="OC38" s="280">
        <v>423.9</v>
      </c>
      <c r="OD38" s="280">
        <v>481.2</v>
      </c>
      <c r="OE38" s="280">
        <v>443.3</v>
      </c>
      <c r="OF38" s="280">
        <v>436.1</v>
      </c>
      <c r="OG38" s="280">
        <v>453.6</v>
      </c>
      <c r="OH38" s="191" t="s">
        <v>24</v>
      </c>
      <c r="OI38" s="192">
        <v>23.7</v>
      </c>
      <c r="OJ38" s="192">
        <v>23.7</v>
      </c>
      <c r="OK38" s="192">
        <v>23.8</v>
      </c>
      <c r="OL38" s="192">
        <v>22.4</v>
      </c>
      <c r="OM38" s="192">
        <v>21.2</v>
      </c>
      <c r="ON38" s="192">
        <v>20.9</v>
      </c>
      <c r="OO38" s="192">
        <v>21</v>
      </c>
      <c r="OP38" s="192">
        <v>20</v>
      </c>
      <c r="OQ38" s="192">
        <v>18.899999999999999</v>
      </c>
      <c r="OR38" s="192">
        <v>18.600000000000001</v>
      </c>
      <c r="OS38" s="2" t="s">
        <v>24</v>
      </c>
      <c r="OT38" s="340">
        <v>0.7</v>
      </c>
      <c r="OU38" s="340">
        <v>0.7</v>
      </c>
      <c r="OV38" s="340">
        <v>0.8</v>
      </c>
      <c r="OW38" s="340">
        <v>0.6</v>
      </c>
      <c r="OX38" s="340">
        <v>0.8</v>
      </c>
      <c r="OY38" s="340">
        <v>0.9</v>
      </c>
      <c r="OZ38" s="340">
        <v>0.6</v>
      </c>
      <c r="PA38" s="340">
        <v>0.7</v>
      </c>
      <c r="PB38" s="340">
        <v>0.6</v>
      </c>
      <c r="PC38" s="340">
        <v>0.6</v>
      </c>
      <c r="PE38" s="185">
        <f>E38-'[1]Data-temp_employment'!F38</f>
        <v>0.80000000000000071</v>
      </c>
      <c r="PF38" s="185">
        <f>F38-'[1]Data-temp_employment'!G38</f>
        <v>0.80000000000000071</v>
      </c>
      <c r="PG38" s="185">
        <f>O38-'[1]Data-temp_employment'!P38</f>
        <v>202.29999999999973</v>
      </c>
      <c r="PH38" s="185">
        <f>P38-'[1]Data-temp_employment'!Q38</f>
        <v>244.19999999999982</v>
      </c>
      <c r="PI38" s="185">
        <f>AD38-'[1]Data-temp_employment'!AE38</f>
        <v>2.7000000000000171</v>
      </c>
      <c r="PJ38" s="185">
        <f>AE38-'[1]Data-temp_employment'!AF38</f>
        <v>-3</v>
      </c>
      <c r="PK38" s="185">
        <f>BR38-'[1]Data-temp_employment'!BS38</f>
        <v>15.800000000000004</v>
      </c>
      <c r="PL38" s="185">
        <f>BS38-'[1]Data-temp_employment'!BT38</f>
        <v>7.2999999999999972</v>
      </c>
      <c r="PM38" s="185">
        <f>CC38-'[1]Data-temp_employment'!CD38</f>
        <v>36.699999999999989</v>
      </c>
      <c r="PN38" s="185">
        <f>CD38-'[1]Data-temp_employment'!CE38</f>
        <v>37.5</v>
      </c>
      <c r="PO38" s="185">
        <f>CR38-'[1]Data-temp_employment'!CS38</f>
        <v>114.59999999999991</v>
      </c>
      <c r="PP38" s="185">
        <f>CS38-'[1]Data-temp_employment'!CT38</f>
        <v>31.5</v>
      </c>
      <c r="PQ38" s="185">
        <f>DC38-'[1]Data-temp_employment'!DD38</f>
        <v>98.399999999999864</v>
      </c>
      <c r="PR38" s="185">
        <f>DD38-'[1]Data-temp_employment'!DE38</f>
        <v>83.200000000000045</v>
      </c>
      <c r="PS38" s="185">
        <f>DN38-'[1]Data-temp_employment'!DO38</f>
        <v>88.099999999999909</v>
      </c>
      <c r="PT38" s="185">
        <f>DO38-'[1]Data-temp_employment'!DP38</f>
        <v>88.099999999999909</v>
      </c>
      <c r="PU38" s="185">
        <f>EF38-'[1]Data-temp_employment'!EG38</f>
        <v>2.1000000000000014</v>
      </c>
      <c r="PV38" s="185">
        <f>EG38-'[1]Data-temp_employment'!EH38</f>
        <v>-1.9000000000000021</v>
      </c>
      <c r="PW38" s="185">
        <f>EU38-'[1]Data-temp_employment'!EV38</f>
        <v>16.700000000000045</v>
      </c>
      <c r="PX38" s="185">
        <f>EV38-'[1]Data-temp_employment'!EW38</f>
        <v>11.200000000000045</v>
      </c>
      <c r="PY38" s="185">
        <f>FF38-'[1]Data-temp_employment'!FG38</f>
        <v>20.099999999999966</v>
      </c>
      <c r="PZ38" s="185">
        <f>FG38-'[1]Data-temp_employment'!FH38</f>
        <v>43.799999999999955</v>
      </c>
      <c r="QA38" s="185">
        <f>FQ38-'[1]Data-temp_employment'!FR38</f>
        <v>46.199999999999989</v>
      </c>
      <c r="QB38" s="185">
        <f>FR38-'[1]Data-temp_employment'!FS38</f>
        <v>56</v>
      </c>
      <c r="QC38" s="185">
        <f>GB38-'[1]Data-temp_employment'!GC38</f>
        <v>64.100000000000023</v>
      </c>
      <c r="QD38" s="185">
        <f>GC38-'[1]Data-temp_employment'!GD38</f>
        <v>19.899999999999864</v>
      </c>
      <c r="QE38" s="185">
        <f>GM38-'[1]Data-temp_employment'!GN38</f>
        <v>15.300000000000004</v>
      </c>
      <c r="QF38" s="185">
        <f>GN38-'[1]Data-temp_employment'!GO38</f>
        <v>7.8999999999999986</v>
      </c>
      <c r="QG38" s="185">
        <f>GX38-'[1]Data-temp_employment'!GY38</f>
        <v>38.399999999999977</v>
      </c>
      <c r="QH38" s="185">
        <f>GY38-'[1]Data-temp_employment'!GZ38</f>
        <v>3.3999999999999773</v>
      </c>
      <c r="QI38" s="185">
        <f>HI38-'[1]Data-temp_employment'!HJ38</f>
        <v>35.400000000000034</v>
      </c>
      <c r="QJ38" s="185">
        <f>HJ38-'[1]Data-temp_employment'!HK38</f>
        <v>29</v>
      </c>
      <c r="QK38" s="185">
        <f>HT38-'[1]Data-temp_employment'!HU38</f>
        <v>68.200000000000045</v>
      </c>
      <c r="QL38" s="185">
        <f>HU38-'[1]Data-temp_employment'!HV38</f>
        <v>32.899999999999977</v>
      </c>
      <c r="QM38" s="185">
        <f>IE38-'[1]Data-temp_employment'!IF38</f>
        <v>1.7000000000000002</v>
      </c>
      <c r="QN38" s="185">
        <f>IF38-'[1]Data-temp_employment'!IG38</f>
        <v>1.3000000000000007</v>
      </c>
      <c r="QO38" s="185">
        <f>JA38-'[1]Data-temp_employment'!JB38</f>
        <v>24.899999999999977</v>
      </c>
      <c r="QP38" s="185">
        <f>JB38-'[1]Data-temp_employment'!JC38</f>
        <v>-9.9000000000000341</v>
      </c>
      <c r="QQ38" s="185">
        <f>JH38-'[1]Data-temp_employment'!JI38</f>
        <v>28.899999999999977</v>
      </c>
      <c r="QR38" s="185">
        <f>JI38-'[1]Data-temp_employment'!JJ38</f>
        <v>29.199999999999989</v>
      </c>
      <c r="QS38" s="185">
        <f>JS38-'[1]Data-temp_employment'!JT38</f>
        <v>10.5</v>
      </c>
      <c r="QT38" s="185">
        <f>JT38-'[1]Data-temp_employment'!JU38</f>
        <v>29</v>
      </c>
      <c r="QU38" s="185">
        <f>KD38-'[1]Data-temp_employment'!KE38</f>
        <v>12.399999999999977</v>
      </c>
      <c r="QV38" s="185">
        <f>KE38-'[1]Data-temp_employment'!KF38</f>
        <v>15.099999999999966</v>
      </c>
      <c r="QW38" s="185">
        <f>KO38-'[1]Data-temp_employment'!KP38</f>
        <v>10.5</v>
      </c>
      <c r="QX38" s="185">
        <f>KP38-'[1]Data-temp_employment'!KQ38</f>
        <v>28.300000000000011</v>
      </c>
      <c r="QY38" s="185">
        <f>LD38-'[1]Data-temp_employment'!LE38</f>
        <v>38.800000000000011</v>
      </c>
      <c r="QZ38" s="185">
        <f>LE38-'[1]Data-temp_employment'!LF38</f>
        <v>30.399999999999977</v>
      </c>
      <c r="RA38" s="185">
        <f>LK38-'[1]Data-temp_employment'!LL38</f>
        <v>4.2000000000000028</v>
      </c>
      <c r="RB38" s="185">
        <f>LL38-'[1]Data-temp_employment'!LM38</f>
        <v>5.1000000000000085</v>
      </c>
      <c r="RC38" s="185">
        <f>LV38-'[1]Data-temp_employment'!LW38</f>
        <v>1.7000000000000028</v>
      </c>
      <c r="RD38" s="185">
        <f>LW38-'[1]Data-temp_employment'!LX38</f>
        <v>4</v>
      </c>
      <c r="RE38" s="185">
        <f>MK38-'[1]Data-temp_employment'!ML38</f>
        <v>10.800000000000011</v>
      </c>
      <c r="RF38" s="185">
        <f>ML38-'[1]Data-temp_employment'!MM38</f>
        <v>-1.7000000000000171</v>
      </c>
      <c r="RG38" s="185">
        <f>MV38-'[1]Data-temp_employment'!MW38</f>
        <v>9.6999999999999886</v>
      </c>
      <c r="RH38" s="185">
        <f>MW38-'[1]Data-temp_employment'!MX38</f>
        <v>11.199999999999989</v>
      </c>
      <c r="RI38" s="185">
        <f>NG38-'[1]Data-temp_employment'!NH38</f>
        <v>20</v>
      </c>
      <c r="RJ38" s="185">
        <f>NH38-'[1]Data-temp_employment'!NI38</f>
        <v>19.5</v>
      </c>
      <c r="RK38" s="185">
        <f>NR38-'[1]Data-temp_employment'!NS38</f>
        <v>-3.1999999999999886</v>
      </c>
      <c r="RL38" s="185">
        <f>NS38-'[1]Data-temp_employment'!NT38</f>
        <v>-1.7000000000000171</v>
      </c>
      <c r="RM38" s="185">
        <f>OC38-'[1]Data-temp_employment'!OD38</f>
        <v>31.899999999999977</v>
      </c>
      <c r="RN38" s="185">
        <f>OD38-'[1]Data-temp_employment'!OE38</f>
        <v>22.699999999999989</v>
      </c>
      <c r="RO38" s="185">
        <f>OT37-'[1]Data-temp_employment'!OV38</f>
        <v>9.9999999999999978E-2</v>
      </c>
      <c r="RP38" s="185">
        <f>OU37-'[1]Data-temp_employment'!OW38</f>
        <v>0</v>
      </c>
    </row>
    <row r="39" spans="1:485">
      <c r="A39" s="219">
        <v>36</v>
      </c>
      <c r="B39" s="128" t="s">
        <v>42</v>
      </c>
      <c r="C39" s="332">
        <v>15.2</v>
      </c>
      <c r="D39" s="332">
        <v>16.5</v>
      </c>
      <c r="E39" s="332">
        <v>17.100000000000001</v>
      </c>
      <c r="F39" s="332">
        <v>15.7</v>
      </c>
      <c r="G39" s="332">
        <v>15.4</v>
      </c>
      <c r="H39" s="332">
        <v>16.3</v>
      </c>
      <c r="I39" s="332">
        <v>17.2</v>
      </c>
      <c r="J39" s="332">
        <v>15.6</v>
      </c>
      <c r="K39" s="332">
        <v>14.9</v>
      </c>
      <c r="L39" s="332">
        <v>15.7</v>
      </c>
      <c r="M39" s="158" t="s">
        <v>42</v>
      </c>
      <c r="N39" s="332">
        <v>640.4</v>
      </c>
      <c r="O39" s="332">
        <v>716.6</v>
      </c>
      <c r="P39" s="332">
        <v>748.7</v>
      </c>
      <c r="Q39" s="332">
        <v>677</v>
      </c>
      <c r="R39" s="332">
        <v>663</v>
      </c>
      <c r="S39" s="332">
        <v>721.2</v>
      </c>
      <c r="T39" s="332">
        <v>772.4</v>
      </c>
      <c r="U39" s="332">
        <v>691</v>
      </c>
      <c r="V39" s="332">
        <v>655.6</v>
      </c>
      <c r="W39" s="332">
        <v>708.5</v>
      </c>
      <c r="X39" s="120" t="s">
        <v>42</v>
      </c>
      <c r="Y39" s="332">
        <v>101.9</v>
      </c>
      <c r="Z39" s="332">
        <v>99.1</v>
      </c>
      <c r="AA39" s="332">
        <v>86.9</v>
      </c>
      <c r="AB39" s="332">
        <v>97.8</v>
      </c>
      <c r="AC39" s="332">
        <v>99.3</v>
      </c>
      <c r="AD39" s="332">
        <v>92.8</v>
      </c>
      <c r="AE39" s="332">
        <v>92.1</v>
      </c>
      <c r="AF39" s="332">
        <v>93.9</v>
      </c>
      <c r="AG39" s="332">
        <v>86.8</v>
      </c>
      <c r="AH39" s="332">
        <v>79</v>
      </c>
      <c r="AI39" s="119" t="s">
        <v>42</v>
      </c>
      <c r="AJ39" s="332">
        <v>21.3</v>
      </c>
      <c r="AK39" s="332">
        <v>74.099999999999994</v>
      </c>
      <c r="AL39" s="332">
        <v>113.8</v>
      </c>
      <c r="AM39" s="332">
        <v>36.299999999999997</v>
      </c>
      <c r="AN39" s="332">
        <v>21.4</v>
      </c>
      <c r="AO39" s="332">
        <v>69.2</v>
      </c>
      <c r="AP39" s="332">
        <v>117.1</v>
      </c>
      <c r="AQ39" s="332">
        <v>32.6</v>
      </c>
      <c r="AR39" s="332">
        <v>18.600000000000001</v>
      </c>
      <c r="AS39" s="332">
        <v>62.9</v>
      </c>
      <c r="AT39" s="119" t="s">
        <v>42</v>
      </c>
      <c r="AU39" s="332">
        <v>101.5</v>
      </c>
      <c r="AV39" s="332">
        <v>114.1</v>
      </c>
      <c r="AW39" s="332">
        <v>113.2</v>
      </c>
      <c r="AX39" s="332">
        <v>106</v>
      </c>
      <c r="AY39" s="332">
        <v>100.9</v>
      </c>
      <c r="AZ39" s="332">
        <v>111.9</v>
      </c>
      <c r="BA39" s="332">
        <v>117.9</v>
      </c>
      <c r="BB39" s="332">
        <v>109.1</v>
      </c>
      <c r="BC39" s="332">
        <v>95.4</v>
      </c>
      <c r="BD39" s="332">
        <v>99.6</v>
      </c>
      <c r="BE39" s="119" t="s">
        <v>42</v>
      </c>
      <c r="BF39" s="280">
        <v>102.3</v>
      </c>
      <c r="BG39" s="280">
        <v>93</v>
      </c>
      <c r="BH39" s="280">
        <v>91.2</v>
      </c>
      <c r="BI39" s="280">
        <v>103.6</v>
      </c>
      <c r="BJ39" s="280">
        <v>100.7</v>
      </c>
      <c r="BK39" s="280">
        <v>104</v>
      </c>
      <c r="BL39" s="280">
        <v>101.8</v>
      </c>
      <c r="BM39" s="280">
        <v>108.4</v>
      </c>
      <c r="BN39" s="280">
        <v>96.3</v>
      </c>
      <c r="BO39" s="280">
        <v>108.9</v>
      </c>
      <c r="BP39" s="6" t="s">
        <v>42</v>
      </c>
      <c r="BQ39" s="7">
        <v>89.5</v>
      </c>
      <c r="BR39" s="7">
        <v>93</v>
      </c>
      <c r="BS39" s="7">
        <v>92.1</v>
      </c>
      <c r="BT39" s="7">
        <v>82</v>
      </c>
      <c r="BU39" s="7">
        <v>87.5</v>
      </c>
      <c r="BV39" s="7">
        <v>89.6</v>
      </c>
      <c r="BW39" s="7">
        <v>91.7</v>
      </c>
      <c r="BX39" s="7">
        <v>86</v>
      </c>
      <c r="BY39" s="7">
        <v>87.9</v>
      </c>
      <c r="BZ39" s="7">
        <v>86.3</v>
      </c>
      <c r="CA39" s="6" t="s">
        <v>42</v>
      </c>
      <c r="CB39" s="7">
        <v>91.699999999999989</v>
      </c>
      <c r="CC39" s="7">
        <v>92.7</v>
      </c>
      <c r="CD39" s="7">
        <v>91.5</v>
      </c>
      <c r="CE39" s="7">
        <v>83.2</v>
      </c>
      <c r="CF39" s="7">
        <v>83.1</v>
      </c>
      <c r="CG39" s="7">
        <v>84.4</v>
      </c>
      <c r="CH39" s="7">
        <v>82.1</v>
      </c>
      <c r="CI39" s="7">
        <v>81.3</v>
      </c>
      <c r="CJ39" s="7">
        <v>83.1</v>
      </c>
      <c r="CK39" s="7">
        <v>81.099999999999994</v>
      </c>
      <c r="CL39" s="129" t="s">
        <v>42</v>
      </c>
      <c r="CM39" s="280">
        <v>126.2</v>
      </c>
      <c r="CN39" s="280">
        <v>167.9</v>
      </c>
      <c r="CO39" s="280">
        <v>174.8</v>
      </c>
      <c r="CP39" s="280">
        <v>160.69999999999999</v>
      </c>
      <c r="CQ39" s="280">
        <v>147.9</v>
      </c>
      <c r="CR39" s="280">
        <v>180.6</v>
      </c>
      <c r="CS39" s="280">
        <v>191.2</v>
      </c>
      <c r="CT39" s="280">
        <v>173.7</v>
      </c>
      <c r="CU39" s="280">
        <v>157.4</v>
      </c>
      <c r="CV39" s="280">
        <v>187.5</v>
      </c>
      <c r="CW39" s="130" t="s">
        <v>42</v>
      </c>
      <c r="CX39" s="280">
        <v>310.39999999999998</v>
      </c>
      <c r="CY39" s="280">
        <v>327.60000000000002</v>
      </c>
      <c r="CZ39" s="280">
        <v>326.60000000000002</v>
      </c>
      <c r="DA39" s="280">
        <v>292.89999999999998</v>
      </c>
      <c r="DB39" s="280">
        <v>296.10000000000002</v>
      </c>
      <c r="DC39" s="280">
        <v>315</v>
      </c>
      <c r="DD39" s="280">
        <v>334.2</v>
      </c>
      <c r="DE39" s="280">
        <v>290.5</v>
      </c>
      <c r="DF39" s="280">
        <v>276.39999999999998</v>
      </c>
      <c r="DG39" s="280">
        <v>293.10000000000002</v>
      </c>
      <c r="DH39" s="131" t="s">
        <v>42</v>
      </c>
      <c r="DI39" s="280">
        <v>203.6</v>
      </c>
      <c r="DJ39" s="280">
        <v>217.4</v>
      </c>
      <c r="DK39" s="280">
        <v>244.9</v>
      </c>
      <c r="DL39" s="280">
        <v>221.7</v>
      </c>
      <c r="DM39" s="280">
        <v>217</v>
      </c>
      <c r="DN39" s="280">
        <v>222.1</v>
      </c>
      <c r="DO39" s="280">
        <v>243.4</v>
      </c>
      <c r="DP39" s="280">
        <v>223</v>
      </c>
      <c r="DQ39" s="280">
        <v>219.7</v>
      </c>
      <c r="DR39" s="280">
        <v>225</v>
      </c>
      <c r="DS39" s="132" t="s">
        <v>42</v>
      </c>
      <c r="DT39" s="281"/>
      <c r="DU39" s="280">
        <v>3.7</v>
      </c>
      <c r="DV39" s="281"/>
      <c r="DW39" s="281"/>
      <c r="DX39" s="281"/>
      <c r="DY39" s="280">
        <v>3.5</v>
      </c>
      <c r="DZ39" s="280">
        <v>3.6</v>
      </c>
      <c r="EA39" s="280">
        <v>3.8</v>
      </c>
      <c r="EB39" s="281"/>
      <c r="EC39" s="280">
        <v>2.9</v>
      </c>
      <c r="ED39" s="2" t="s">
        <v>42</v>
      </c>
      <c r="EE39" s="280">
        <v>6.4</v>
      </c>
      <c r="EF39" s="280">
        <v>7.1</v>
      </c>
      <c r="EG39" s="280">
        <v>7.3</v>
      </c>
      <c r="EH39" s="280">
        <v>6.3</v>
      </c>
      <c r="EI39" s="280">
        <v>7</v>
      </c>
      <c r="EJ39" s="280">
        <v>6.4</v>
      </c>
      <c r="EK39" s="280">
        <v>7.8</v>
      </c>
      <c r="EL39" s="280">
        <v>8.3000000000000007</v>
      </c>
      <c r="EM39" s="280">
        <v>7.7</v>
      </c>
      <c r="EN39" s="280">
        <v>5.7</v>
      </c>
      <c r="EO39" s="2" t="s">
        <v>42</v>
      </c>
      <c r="EP39" s="280">
        <v>136.69999999999999</v>
      </c>
      <c r="EQ39" s="280">
        <v>139.6</v>
      </c>
      <c r="ER39" s="280">
        <v>132.80000000000001</v>
      </c>
      <c r="ES39" s="280">
        <v>143.30000000000001</v>
      </c>
      <c r="ET39" s="280">
        <v>140.9</v>
      </c>
      <c r="EU39" s="280">
        <v>138.1</v>
      </c>
      <c r="EV39" s="280">
        <v>136</v>
      </c>
      <c r="EW39" s="280">
        <v>142</v>
      </c>
      <c r="EX39" s="280">
        <v>133</v>
      </c>
      <c r="EY39" s="280">
        <v>141.4</v>
      </c>
      <c r="EZ39" s="2" t="s">
        <v>42</v>
      </c>
      <c r="FA39" s="280">
        <v>79.2</v>
      </c>
      <c r="FB39" s="280">
        <v>78.400000000000006</v>
      </c>
      <c r="FC39" s="280">
        <v>81.2</v>
      </c>
      <c r="FD39" s="280">
        <v>74.400000000000006</v>
      </c>
      <c r="FE39" s="280">
        <v>75.3</v>
      </c>
      <c r="FF39" s="280">
        <v>79.599999999999994</v>
      </c>
      <c r="FG39" s="280">
        <v>87.7</v>
      </c>
      <c r="FH39" s="280">
        <v>82.8</v>
      </c>
      <c r="FI39" s="280">
        <v>80</v>
      </c>
      <c r="FJ39" s="280">
        <v>82.9</v>
      </c>
      <c r="FK39" s="2" t="s">
        <v>42</v>
      </c>
      <c r="FL39" s="280">
        <v>50.6</v>
      </c>
      <c r="FM39" s="280">
        <v>54.6</v>
      </c>
      <c r="FN39" s="280">
        <v>54.9</v>
      </c>
      <c r="FO39" s="280">
        <v>47.4</v>
      </c>
      <c r="FP39" s="280">
        <v>49.3</v>
      </c>
      <c r="FQ39" s="280">
        <v>56.7</v>
      </c>
      <c r="FR39" s="280">
        <v>61.9</v>
      </c>
      <c r="FS39" s="280">
        <v>54.6</v>
      </c>
      <c r="FT39" s="280">
        <v>50.9</v>
      </c>
      <c r="FU39" s="280">
        <v>50.4</v>
      </c>
      <c r="FV39" s="2" t="s">
        <v>42</v>
      </c>
      <c r="FW39" s="280">
        <v>217.9</v>
      </c>
      <c r="FX39" s="280">
        <v>255.2</v>
      </c>
      <c r="FY39" s="280">
        <v>278.7</v>
      </c>
      <c r="FZ39" s="280">
        <v>240.7</v>
      </c>
      <c r="GA39" s="280">
        <v>236.1</v>
      </c>
      <c r="GB39" s="280">
        <v>265.60000000000002</v>
      </c>
      <c r="GC39" s="280">
        <v>277.2</v>
      </c>
      <c r="GD39" s="280">
        <v>237.7</v>
      </c>
      <c r="GE39" s="280">
        <v>227.4</v>
      </c>
      <c r="GF39" s="280">
        <v>250.9</v>
      </c>
      <c r="GG39" s="2" t="s">
        <v>42</v>
      </c>
      <c r="GH39" s="280">
        <v>6</v>
      </c>
      <c r="GI39" s="280">
        <v>13.1</v>
      </c>
      <c r="GJ39" s="280">
        <v>16.899999999999999</v>
      </c>
      <c r="GK39" s="280">
        <v>8.6999999999999993</v>
      </c>
      <c r="GL39" s="280">
        <v>6.5</v>
      </c>
      <c r="GM39" s="280">
        <v>14.5</v>
      </c>
      <c r="GN39" s="280">
        <v>18</v>
      </c>
      <c r="GO39" s="280">
        <v>9.6999999999999993</v>
      </c>
      <c r="GP39" s="280">
        <v>7.3</v>
      </c>
      <c r="GQ39" s="280">
        <v>15.1</v>
      </c>
      <c r="GR39" s="2" t="s">
        <v>42</v>
      </c>
      <c r="GS39" s="280">
        <v>32.799999999999997</v>
      </c>
      <c r="GT39" s="280">
        <v>41.1</v>
      </c>
      <c r="GU39" s="280">
        <v>40.5</v>
      </c>
      <c r="GV39" s="280">
        <v>35.200000000000003</v>
      </c>
      <c r="GW39" s="280">
        <v>33.1</v>
      </c>
      <c r="GX39" s="280">
        <v>39.200000000000003</v>
      </c>
      <c r="GY39" s="280">
        <v>45.4</v>
      </c>
      <c r="GZ39" s="280">
        <v>38</v>
      </c>
      <c r="HA39" s="280">
        <v>34</v>
      </c>
      <c r="HB39" s="280">
        <v>33.6</v>
      </c>
      <c r="HC39" s="2" t="s">
        <v>42</v>
      </c>
      <c r="HD39" s="280">
        <v>38</v>
      </c>
      <c r="HE39" s="280">
        <v>43</v>
      </c>
      <c r="HF39" s="280">
        <v>43.6</v>
      </c>
      <c r="HG39" s="280">
        <v>38.299999999999997</v>
      </c>
      <c r="HH39" s="280">
        <v>34.200000000000003</v>
      </c>
      <c r="HI39" s="280">
        <v>38.700000000000003</v>
      </c>
      <c r="HJ39" s="280">
        <v>43.7</v>
      </c>
      <c r="HK39" s="280">
        <v>37.6</v>
      </c>
      <c r="HL39" s="280">
        <v>37.1</v>
      </c>
      <c r="HM39" s="280">
        <v>41</v>
      </c>
      <c r="HN39" s="279" t="s">
        <v>42</v>
      </c>
      <c r="HO39" s="280">
        <v>68.099999999999994</v>
      </c>
      <c r="HP39" s="280">
        <v>79.099999999999994</v>
      </c>
      <c r="HQ39" s="280">
        <v>87.5</v>
      </c>
      <c r="HR39" s="280">
        <v>76.900000000000006</v>
      </c>
      <c r="HS39" s="280">
        <v>76.2</v>
      </c>
      <c r="HT39" s="280">
        <v>78.2</v>
      </c>
      <c r="HU39" s="280">
        <v>90</v>
      </c>
      <c r="HV39" s="280">
        <v>77.2</v>
      </c>
      <c r="HW39" s="280">
        <v>74.7</v>
      </c>
      <c r="HX39" s="280">
        <v>85</v>
      </c>
      <c r="HY39" s="2" t="s">
        <v>42</v>
      </c>
      <c r="HZ39" s="280"/>
      <c r="IA39" s="281"/>
      <c r="IB39" s="281"/>
      <c r="IC39" s="280"/>
      <c r="ID39" s="281"/>
      <c r="IE39" s="281"/>
      <c r="IF39" s="281"/>
      <c r="IG39" s="281"/>
      <c r="IH39" s="281"/>
      <c r="II39" s="281"/>
      <c r="IJ39" s="2" t="s">
        <v>42</v>
      </c>
      <c r="IK39" s="281"/>
      <c r="IL39" s="280"/>
      <c r="IM39" s="280"/>
      <c r="IN39" s="280"/>
      <c r="IO39" s="281"/>
      <c r="IP39" s="281"/>
      <c r="IQ39" s="280"/>
      <c r="IR39" s="281"/>
      <c r="IS39" s="281"/>
      <c r="IT39" s="281"/>
      <c r="IU39" s="2" t="s">
        <v>42</v>
      </c>
      <c r="IV39" s="280">
        <v>4.5999999999999996</v>
      </c>
      <c r="IW39" s="280">
        <v>6.8</v>
      </c>
      <c r="IX39" s="280">
        <v>7.8</v>
      </c>
      <c r="IY39" s="280">
        <v>4.3</v>
      </c>
      <c r="IZ39" s="280">
        <v>4.4000000000000004</v>
      </c>
      <c r="JA39" s="280">
        <v>8.1</v>
      </c>
      <c r="JB39" s="280">
        <v>7.1</v>
      </c>
      <c r="JC39" s="280">
        <v>5.7</v>
      </c>
      <c r="JD39" s="280">
        <v>4.0999999999999996</v>
      </c>
      <c r="JE39" s="280">
        <v>6</v>
      </c>
      <c r="JF39" s="2" t="s">
        <v>42</v>
      </c>
      <c r="JG39" s="280">
        <v>28.7</v>
      </c>
      <c r="JH39" s="280">
        <v>40.799999999999997</v>
      </c>
      <c r="JI39" s="280">
        <v>43.2</v>
      </c>
      <c r="JJ39" s="280">
        <v>30.7</v>
      </c>
      <c r="JK39" s="280">
        <v>32.299999999999997</v>
      </c>
      <c r="JL39" s="280">
        <v>39.299999999999997</v>
      </c>
      <c r="JM39" s="280">
        <v>44.6</v>
      </c>
      <c r="JN39" s="280">
        <v>31.3</v>
      </c>
      <c r="JO39" s="280">
        <v>29.3</v>
      </c>
      <c r="JP39" s="280">
        <v>33.6</v>
      </c>
      <c r="JQ39" s="2" t="s">
        <v>42</v>
      </c>
      <c r="JR39" s="280">
        <v>17.600000000000001</v>
      </c>
      <c r="JS39" s="280">
        <v>22.6</v>
      </c>
      <c r="JT39" s="280">
        <v>22.6</v>
      </c>
      <c r="JU39" s="280">
        <v>19</v>
      </c>
      <c r="JV39" s="280">
        <v>15.5</v>
      </c>
      <c r="JW39" s="280">
        <v>19.7</v>
      </c>
      <c r="JX39" s="280">
        <v>26.2</v>
      </c>
      <c r="JY39" s="280">
        <v>23.2</v>
      </c>
      <c r="JZ39" s="280">
        <v>23.6</v>
      </c>
      <c r="KA39" s="280">
        <v>18.899999999999999</v>
      </c>
      <c r="KB39" s="2" t="s">
        <v>42</v>
      </c>
      <c r="KC39" s="280">
        <v>69.3</v>
      </c>
      <c r="KD39" s="280">
        <v>81.599999999999994</v>
      </c>
      <c r="KE39" s="280">
        <v>92.5</v>
      </c>
      <c r="KF39" s="280">
        <v>72.7</v>
      </c>
      <c r="KG39" s="280">
        <v>75.7</v>
      </c>
      <c r="KH39" s="280">
        <v>83.4</v>
      </c>
      <c r="KI39" s="280">
        <v>98.7</v>
      </c>
      <c r="KJ39" s="280">
        <v>83.8</v>
      </c>
      <c r="KK39" s="280">
        <v>71.7</v>
      </c>
      <c r="KL39" s="280">
        <v>80.7</v>
      </c>
      <c r="KM39" s="2" t="s">
        <v>42</v>
      </c>
      <c r="KN39" s="280">
        <v>30.4</v>
      </c>
      <c r="KO39" s="280">
        <v>34.1</v>
      </c>
      <c r="KP39" s="280">
        <v>35.1</v>
      </c>
      <c r="KQ39" s="280">
        <v>33.4</v>
      </c>
      <c r="KR39" s="280">
        <v>29.3</v>
      </c>
      <c r="KS39" s="280">
        <v>31.7</v>
      </c>
      <c r="KT39" s="280">
        <v>32.1</v>
      </c>
      <c r="KU39" s="280">
        <v>30.5</v>
      </c>
      <c r="KV39" s="280">
        <v>32.200000000000003</v>
      </c>
      <c r="KW39" s="280">
        <v>32.6</v>
      </c>
      <c r="KX39" s="2" t="s">
        <v>42</v>
      </c>
      <c r="KY39" s="280">
        <v>50.2</v>
      </c>
      <c r="KZ39" s="280">
        <v>54.5</v>
      </c>
      <c r="LA39" s="280">
        <v>65.599999999999994</v>
      </c>
      <c r="LB39" s="280">
        <v>53.3</v>
      </c>
      <c r="LC39" s="280">
        <v>52.8</v>
      </c>
      <c r="LD39" s="280">
        <v>58.1</v>
      </c>
      <c r="LE39" s="280">
        <v>70.400000000000006</v>
      </c>
      <c r="LF39" s="280">
        <v>55.9</v>
      </c>
      <c r="LG39" s="280">
        <v>52.9</v>
      </c>
      <c r="LH39" s="280">
        <v>59.4</v>
      </c>
      <c r="LI39" s="2" t="s">
        <v>42</v>
      </c>
      <c r="LJ39" s="280">
        <v>13.1</v>
      </c>
      <c r="LK39" s="280">
        <v>13.4</v>
      </c>
      <c r="LL39" s="280">
        <v>14.5</v>
      </c>
      <c r="LM39" s="280">
        <v>13.8</v>
      </c>
      <c r="LN39" s="280">
        <v>14.9</v>
      </c>
      <c r="LO39" s="280">
        <v>16.5</v>
      </c>
      <c r="LP39" s="280">
        <v>19.2</v>
      </c>
      <c r="LQ39" s="280">
        <v>18.100000000000001</v>
      </c>
      <c r="LR39" s="280">
        <v>14.9</v>
      </c>
      <c r="LS39" s="280">
        <v>15.7</v>
      </c>
      <c r="LT39" s="2" t="s">
        <v>42</v>
      </c>
      <c r="LU39" s="280">
        <v>6.7</v>
      </c>
      <c r="LV39" s="280">
        <v>7.2</v>
      </c>
      <c r="LW39" s="280">
        <v>8.1999999999999993</v>
      </c>
      <c r="LX39" s="280">
        <v>6.4</v>
      </c>
      <c r="LY39" s="280">
        <v>7.4</v>
      </c>
      <c r="LZ39" s="280">
        <v>8.6999999999999993</v>
      </c>
      <c r="MA39" s="280">
        <v>8.6999999999999993</v>
      </c>
      <c r="MB39" s="280">
        <v>8.8000000000000007</v>
      </c>
      <c r="MC39" s="280">
        <v>9.6</v>
      </c>
      <c r="MD39" s="280">
        <v>11.3</v>
      </c>
      <c r="ME39" s="2" t="s">
        <v>42</v>
      </c>
      <c r="MF39" s="280">
        <v>29.2</v>
      </c>
      <c r="MG39" s="280">
        <v>32.6</v>
      </c>
      <c r="MH39" s="280">
        <v>32.700000000000003</v>
      </c>
      <c r="MI39" s="280">
        <v>32.4</v>
      </c>
      <c r="MJ39" s="280">
        <v>30.3</v>
      </c>
      <c r="MK39" s="280">
        <v>26.8</v>
      </c>
      <c r="ML39" s="280">
        <v>33.5</v>
      </c>
      <c r="MM39" s="280">
        <v>32.6</v>
      </c>
      <c r="MN39" s="280">
        <v>27.9</v>
      </c>
      <c r="MO39" s="280">
        <v>30.4</v>
      </c>
      <c r="MP39" s="2" t="s">
        <v>42</v>
      </c>
      <c r="MQ39" s="280">
        <v>54.7</v>
      </c>
      <c r="MR39" s="280">
        <v>64.7</v>
      </c>
      <c r="MS39" s="280">
        <v>64.5</v>
      </c>
      <c r="MT39" s="280">
        <v>59</v>
      </c>
      <c r="MU39" s="280">
        <v>53.5</v>
      </c>
      <c r="MV39" s="280">
        <v>62</v>
      </c>
      <c r="MW39" s="280">
        <v>66.5</v>
      </c>
      <c r="MX39" s="280">
        <v>55</v>
      </c>
      <c r="MY39" s="280">
        <v>53.1</v>
      </c>
      <c r="MZ39" s="280">
        <v>55.8</v>
      </c>
      <c r="NA39" s="2" t="s">
        <v>42</v>
      </c>
      <c r="NB39" s="280">
        <v>31.4</v>
      </c>
      <c r="NC39" s="280">
        <v>33.700000000000003</v>
      </c>
      <c r="ND39" s="280">
        <v>37.5</v>
      </c>
      <c r="NE39" s="280">
        <v>32.799999999999997</v>
      </c>
      <c r="NF39" s="280">
        <v>30.1</v>
      </c>
      <c r="NG39" s="280">
        <v>34.6</v>
      </c>
      <c r="NH39" s="280">
        <v>36.700000000000003</v>
      </c>
      <c r="NI39" s="280">
        <v>36.200000000000003</v>
      </c>
      <c r="NJ39" s="280">
        <v>31.2</v>
      </c>
      <c r="NK39" s="280">
        <v>36.1</v>
      </c>
      <c r="NL39" s="2" t="s">
        <v>42</v>
      </c>
      <c r="NM39" s="280">
        <v>104</v>
      </c>
      <c r="NN39" s="280">
        <v>99.7</v>
      </c>
      <c r="NO39" s="280">
        <v>85.3</v>
      </c>
      <c r="NP39" s="280">
        <v>115.3</v>
      </c>
      <c r="NQ39" s="280">
        <v>114.5</v>
      </c>
      <c r="NR39" s="280">
        <v>116.1</v>
      </c>
      <c r="NS39" s="280">
        <v>95.7</v>
      </c>
      <c r="NT39" s="280">
        <v>111</v>
      </c>
      <c r="NU39" s="280">
        <v>111.6</v>
      </c>
      <c r="NV39" s="280">
        <v>107.6</v>
      </c>
      <c r="NW39" s="2" t="s">
        <v>42</v>
      </c>
      <c r="NX39" s="280">
        <v>122.6</v>
      </c>
      <c r="NY39" s="280">
        <v>143.4</v>
      </c>
      <c r="NZ39" s="280">
        <v>154.30000000000001</v>
      </c>
      <c r="OA39" s="280">
        <v>128.30000000000001</v>
      </c>
      <c r="OB39" s="280">
        <v>131.1</v>
      </c>
      <c r="OC39" s="280">
        <v>135.30000000000001</v>
      </c>
      <c r="OD39" s="280">
        <v>146.69999999999999</v>
      </c>
      <c r="OE39" s="280">
        <v>121.5</v>
      </c>
      <c r="OF39" s="280">
        <v>115.6</v>
      </c>
      <c r="OG39" s="280">
        <v>132.30000000000001</v>
      </c>
      <c r="OH39" s="191" t="s">
        <v>42</v>
      </c>
      <c r="OI39" s="192">
        <v>7.2</v>
      </c>
      <c r="OJ39" s="192">
        <v>7.3</v>
      </c>
      <c r="OK39" s="192">
        <v>8.3000000000000007</v>
      </c>
      <c r="OL39" s="192">
        <v>8.3000000000000007</v>
      </c>
      <c r="OM39" s="192">
        <v>6.6</v>
      </c>
      <c r="ON39" s="192">
        <v>6.6</v>
      </c>
      <c r="OO39" s="192">
        <v>7.7</v>
      </c>
      <c r="OP39" s="192">
        <v>7.5</v>
      </c>
      <c r="OQ39" s="192">
        <v>6.3</v>
      </c>
      <c r="OR39" s="192">
        <v>6.4</v>
      </c>
      <c r="OS39" s="2" t="s">
        <v>42</v>
      </c>
      <c r="OT39" s="340">
        <v>0</v>
      </c>
      <c r="OU39" s="340">
        <v>0.3</v>
      </c>
      <c r="OV39" s="340">
        <v>0.6</v>
      </c>
      <c r="OW39" s="340">
        <v>0.5</v>
      </c>
      <c r="OX39" s="340">
        <v>0.2</v>
      </c>
      <c r="OY39" s="340">
        <v>1.2</v>
      </c>
      <c r="OZ39" s="340">
        <v>0.7</v>
      </c>
      <c r="PA39" s="340">
        <v>0.6</v>
      </c>
      <c r="PB39" s="340">
        <v>0.8</v>
      </c>
      <c r="PC39" s="340">
        <v>0.5</v>
      </c>
      <c r="PE39" s="185">
        <f>E39-'[1]Data-temp_employment'!F39</f>
        <v>-0.89999999999999858</v>
      </c>
      <c r="PF39" s="185">
        <f>F39-'[1]Data-temp_employment'!G39</f>
        <v>-0.40000000000000213</v>
      </c>
      <c r="PG39" s="185">
        <f>O39-'[1]Data-temp_employment'!P39</f>
        <v>8.3999999999999773</v>
      </c>
      <c r="PH39" s="185">
        <f>P39-'[1]Data-temp_employment'!Q39</f>
        <v>-30.599999999999909</v>
      </c>
      <c r="PI39" s="185">
        <f>AD39-'[1]Data-temp_employment'!AE39</f>
        <v>-6.2999999999999972</v>
      </c>
      <c r="PJ39" s="185">
        <f>AE39-'[1]Data-temp_employment'!AF39</f>
        <v>5.1999999999999886</v>
      </c>
      <c r="PK39" s="185">
        <f>BR39-'[1]Data-temp_employment'!BS39</f>
        <v>1.5999999999999943</v>
      </c>
      <c r="PL39" s="185">
        <f>BS39-'[1]Data-temp_employment'!BT39</f>
        <v>0</v>
      </c>
      <c r="PM39" s="185">
        <f>CC39-'[1]Data-temp_employment'!CD39</f>
        <v>1.0000000000000142</v>
      </c>
      <c r="PN39" s="185">
        <f>CD39-'[1]Data-temp_employment'!CE39</f>
        <v>-2.8000000000000114</v>
      </c>
      <c r="PO39" s="185">
        <f>CR39-'[1]Data-temp_employment'!CS39</f>
        <v>12.699999999999989</v>
      </c>
      <c r="PP39" s="185">
        <f>CS39-'[1]Data-temp_employment'!CT39</f>
        <v>16.399999999999977</v>
      </c>
      <c r="PQ39" s="185">
        <f>DC39-'[1]Data-temp_employment'!DD39</f>
        <v>-12.600000000000023</v>
      </c>
      <c r="PR39" s="185">
        <f>DD39-'[1]Data-temp_employment'!DE39</f>
        <v>7.5999999999999659</v>
      </c>
      <c r="PS39" s="185">
        <f>DN39-'[1]Data-temp_employment'!DO39</f>
        <v>4.6999999999999886</v>
      </c>
      <c r="PT39" s="185">
        <f>DO39-'[1]Data-temp_employment'!DP39</f>
        <v>-1.5</v>
      </c>
      <c r="PU39" s="185">
        <f>EF39-'[1]Data-temp_employment'!EG39</f>
        <v>0.89999999999999947</v>
      </c>
      <c r="PV39" s="185">
        <f>EG39-'[1]Data-temp_employment'!EH39</f>
        <v>0.89999999999999947</v>
      </c>
      <c r="PW39" s="185">
        <f>EU39-'[1]Data-temp_employment'!EV39</f>
        <v>-1.5</v>
      </c>
      <c r="PX39" s="185">
        <f>EV39-'[1]Data-temp_employment'!EW39</f>
        <v>3.1999999999999886</v>
      </c>
      <c r="PY39" s="185">
        <f>FF39-'[1]Data-temp_employment'!FG39</f>
        <v>1.1999999999999886</v>
      </c>
      <c r="PZ39" s="185">
        <f>FG39-'[1]Data-temp_employment'!FH39</f>
        <v>6.5</v>
      </c>
      <c r="QA39" s="185">
        <f>FQ39-'[1]Data-temp_employment'!FR39</f>
        <v>2.1000000000000014</v>
      </c>
      <c r="QB39" s="185">
        <f>FR39-'[1]Data-temp_employment'!FS39</f>
        <v>7</v>
      </c>
      <c r="QC39" s="185">
        <f>GB39-'[1]Data-temp_employment'!GC39</f>
        <v>10.400000000000034</v>
      </c>
      <c r="QD39" s="185">
        <f>GC39-'[1]Data-temp_employment'!GD39</f>
        <v>-1.5</v>
      </c>
      <c r="QE39" s="185">
        <f>GM39-'[1]Data-temp_employment'!GN39</f>
        <v>1.4000000000000004</v>
      </c>
      <c r="QF39" s="185">
        <f>GN39-'[1]Data-temp_employment'!GO39</f>
        <v>1.1000000000000014</v>
      </c>
      <c r="QG39" s="185">
        <f>GX39-'[1]Data-temp_employment'!GY39</f>
        <v>-1.8999999999999986</v>
      </c>
      <c r="QH39" s="185">
        <f>GY39-'[1]Data-temp_employment'!GZ39</f>
        <v>4.8999999999999986</v>
      </c>
      <c r="QI39" s="185">
        <f>HI39-'[1]Data-temp_employment'!HJ39</f>
        <v>-4.2999999999999972</v>
      </c>
      <c r="QJ39" s="185">
        <f>HJ39-'[1]Data-temp_employment'!HK39</f>
        <v>0.10000000000000142</v>
      </c>
      <c r="QK39" s="185">
        <f>HT39-'[1]Data-temp_employment'!HU39</f>
        <v>-0.89999999999999147</v>
      </c>
      <c r="QL39" s="185">
        <f>HU39-'[1]Data-temp_employment'!HV39</f>
        <v>2.5</v>
      </c>
      <c r="QM39" s="185">
        <f>IE39-'[1]Data-temp_employment'!IF39</f>
        <v>0</v>
      </c>
      <c r="QN39" s="185">
        <f>IF39-'[1]Data-temp_employment'!IG39</f>
        <v>0</v>
      </c>
      <c r="QO39" s="185">
        <f>JA39-'[1]Data-temp_employment'!JB39</f>
        <v>1.2999999999999998</v>
      </c>
      <c r="QP39" s="185">
        <f>JB39-'[1]Data-temp_employment'!JC39</f>
        <v>-0.70000000000000018</v>
      </c>
      <c r="QQ39" s="185">
        <f>JH39-'[1]Data-temp_employment'!JI39</f>
        <v>3.5</v>
      </c>
      <c r="QR39" s="185">
        <f>JI39-'[1]Data-temp_employment'!JJ39</f>
        <v>-6.0999999999999943</v>
      </c>
      <c r="QS39" s="185">
        <f>JS39-'[1]Data-temp_employment'!JT39</f>
        <v>0.5</v>
      </c>
      <c r="QT39" s="185">
        <f>JT39-'[1]Data-temp_employment'!JU39</f>
        <v>-4.6999999999999993</v>
      </c>
      <c r="QU39" s="185">
        <f>KD39-'[1]Data-temp_employment'!KE39</f>
        <v>0.5</v>
      </c>
      <c r="QV39" s="185">
        <f>KE39-'[1]Data-temp_employment'!KF39</f>
        <v>0.79999999999999716</v>
      </c>
      <c r="QW39" s="185">
        <f>KO39-'[1]Data-temp_employment'!KP39</f>
        <v>2</v>
      </c>
      <c r="QX39" s="185">
        <f>KP39-'[1]Data-temp_employment'!KQ39</f>
        <v>-3.3999999999999986</v>
      </c>
      <c r="QY39" s="185">
        <f>LD39-'[1]Data-temp_employment'!LE39</f>
        <v>3.6000000000000014</v>
      </c>
      <c r="QZ39" s="185">
        <f>LE39-'[1]Data-temp_employment'!LF39</f>
        <v>4.8000000000000114</v>
      </c>
      <c r="RA39" s="185">
        <f>LK39-'[1]Data-temp_employment'!LL39</f>
        <v>-1.6999999999999993</v>
      </c>
      <c r="RB39" s="185">
        <f>LL39-'[1]Data-temp_employment'!LM39</f>
        <v>-1.4000000000000004</v>
      </c>
      <c r="RC39" s="185">
        <f>LV39-'[1]Data-temp_employment'!LW39</f>
        <v>-0.89999999999999947</v>
      </c>
      <c r="RD39" s="185">
        <f>LW39-'[1]Data-temp_employment'!LX39</f>
        <v>-0.70000000000000107</v>
      </c>
      <c r="RE39" s="185">
        <f>MK39-'[1]Data-temp_employment'!ML39</f>
        <v>-5.8000000000000007</v>
      </c>
      <c r="RF39" s="185">
        <f>ML39-'[1]Data-temp_employment'!MM39</f>
        <v>0.79999999999999716</v>
      </c>
      <c r="RG39" s="185">
        <f>MV39-'[1]Data-temp_employment'!MW39</f>
        <v>-2.7000000000000028</v>
      </c>
      <c r="RH39" s="185">
        <f>MW39-'[1]Data-temp_employment'!MX39</f>
        <v>2</v>
      </c>
      <c r="RI39" s="185">
        <f>NG39-'[1]Data-temp_employment'!NH39</f>
        <v>0.89999999999999858</v>
      </c>
      <c r="RJ39" s="185">
        <f>NH39-'[1]Data-temp_employment'!NI39</f>
        <v>-0.79999999999999716</v>
      </c>
      <c r="RK39" s="185">
        <f>NR39-'[1]Data-temp_employment'!NS39</f>
        <v>16.399999999999991</v>
      </c>
      <c r="RL39" s="185">
        <f>NS39-'[1]Data-temp_employment'!NT39</f>
        <v>10.400000000000006</v>
      </c>
      <c r="RM39" s="185">
        <f>OC39-'[1]Data-temp_employment'!OD39</f>
        <v>-8.0999999999999943</v>
      </c>
      <c r="RN39" s="185">
        <f>OD39-'[1]Data-temp_employment'!OE39</f>
        <v>-7.6000000000000227</v>
      </c>
      <c r="RO39" s="193">
        <f>OT38-'[1]Data-temp_employment'!OV39</f>
        <v>-0.40000000000000013</v>
      </c>
      <c r="RP39" s="193">
        <f>OU38-'[1]Data-temp_employment'!OW39</f>
        <v>-0.60000000000000009</v>
      </c>
    </row>
    <row r="40" spans="1:485">
      <c r="A40" s="219">
        <v>37</v>
      </c>
      <c r="B40" s="128" t="s">
        <v>46</v>
      </c>
      <c r="C40" s="332">
        <v>13.4</v>
      </c>
      <c r="D40" s="332">
        <v>13.4</v>
      </c>
      <c r="E40" s="332">
        <v>12.9</v>
      </c>
      <c r="F40" s="332">
        <v>13.4</v>
      </c>
      <c r="G40" s="332">
        <v>13.1</v>
      </c>
      <c r="H40" s="332">
        <v>13.3</v>
      </c>
      <c r="I40" s="332">
        <v>13.5</v>
      </c>
      <c r="J40" s="332">
        <v>13.4</v>
      </c>
      <c r="K40" s="332">
        <v>13.1</v>
      </c>
      <c r="L40" s="332">
        <v>13.3</v>
      </c>
      <c r="M40" s="158" t="s">
        <v>46</v>
      </c>
      <c r="N40" s="332">
        <v>508.5</v>
      </c>
      <c r="O40" s="332">
        <v>509.2</v>
      </c>
      <c r="P40" s="332">
        <v>489.5</v>
      </c>
      <c r="Q40" s="332">
        <v>520.79999999999995</v>
      </c>
      <c r="R40" s="332">
        <v>502</v>
      </c>
      <c r="S40" s="332">
        <v>511.8</v>
      </c>
      <c r="T40" s="332">
        <v>519.20000000000005</v>
      </c>
      <c r="U40" s="332">
        <v>520</v>
      </c>
      <c r="V40" s="332">
        <v>502.7</v>
      </c>
      <c r="W40" s="332">
        <v>513.6</v>
      </c>
      <c r="X40" s="120" t="s">
        <v>46</v>
      </c>
      <c r="Y40" s="332">
        <v>12.9</v>
      </c>
      <c r="Z40" s="332">
        <v>10.5</v>
      </c>
      <c r="AA40" s="332">
        <v>17.100000000000001</v>
      </c>
      <c r="AB40" s="332">
        <v>8.8000000000000007</v>
      </c>
      <c r="AC40" s="332">
        <v>10</v>
      </c>
      <c r="AD40" s="332">
        <v>9.1</v>
      </c>
      <c r="AE40" s="332">
        <v>23.3</v>
      </c>
      <c r="AF40" s="332">
        <v>9.8000000000000007</v>
      </c>
      <c r="AG40" s="332">
        <v>7.5</v>
      </c>
      <c r="AH40" s="332">
        <v>8.6</v>
      </c>
      <c r="AI40" s="119" t="s">
        <v>46</v>
      </c>
      <c r="AJ40" s="332">
        <v>38.5</v>
      </c>
      <c r="AK40" s="332">
        <v>46.2</v>
      </c>
      <c r="AL40" s="332">
        <v>51.5</v>
      </c>
      <c r="AM40" s="332">
        <v>45.1</v>
      </c>
      <c r="AN40" s="332">
        <v>41.5</v>
      </c>
      <c r="AO40" s="332">
        <v>43.8</v>
      </c>
      <c r="AP40" s="332">
        <v>56.8</v>
      </c>
      <c r="AQ40" s="332">
        <v>54.5</v>
      </c>
      <c r="AR40" s="332">
        <v>42.5</v>
      </c>
      <c r="AS40" s="332">
        <v>43.9</v>
      </c>
      <c r="AT40" s="119" t="s">
        <v>46</v>
      </c>
      <c r="AU40" s="332">
        <v>59.5</v>
      </c>
      <c r="AV40" s="332">
        <v>52.7</v>
      </c>
      <c r="AW40" s="332">
        <v>37.9</v>
      </c>
      <c r="AX40" s="332">
        <v>55.7</v>
      </c>
      <c r="AY40" s="332">
        <v>63.1</v>
      </c>
      <c r="AZ40" s="332">
        <v>54.6</v>
      </c>
      <c r="BA40" s="332">
        <v>47.3</v>
      </c>
      <c r="BB40" s="332">
        <v>55.4</v>
      </c>
      <c r="BC40" s="332">
        <v>55.9</v>
      </c>
      <c r="BD40" s="332">
        <v>54.8</v>
      </c>
      <c r="BE40" s="119" t="s">
        <v>46</v>
      </c>
      <c r="BF40" s="280">
        <v>104.8</v>
      </c>
      <c r="BG40" s="280">
        <v>117.3</v>
      </c>
      <c r="BH40" s="280">
        <v>110.6</v>
      </c>
      <c r="BI40" s="280">
        <v>123</v>
      </c>
      <c r="BJ40" s="280">
        <v>113</v>
      </c>
      <c r="BK40" s="280">
        <v>121.8</v>
      </c>
      <c r="BL40" s="280">
        <v>119.6</v>
      </c>
      <c r="BM40" s="280">
        <v>123</v>
      </c>
      <c r="BN40" s="280">
        <v>117</v>
      </c>
      <c r="BO40" s="280">
        <v>119.7</v>
      </c>
      <c r="BP40" s="6" t="s">
        <v>46</v>
      </c>
      <c r="BQ40" s="7">
        <v>44.8</v>
      </c>
      <c r="BR40" s="7">
        <v>43.5</v>
      </c>
      <c r="BS40" s="7">
        <v>54.8</v>
      </c>
      <c r="BT40" s="7">
        <v>52.400000000000006</v>
      </c>
      <c r="BU40" s="7">
        <v>51.8</v>
      </c>
      <c r="BV40" s="7">
        <v>59.9</v>
      </c>
      <c r="BW40" s="7">
        <v>53</v>
      </c>
      <c r="BX40" s="7">
        <v>44.300000000000004</v>
      </c>
      <c r="BY40" s="7">
        <v>45.8</v>
      </c>
      <c r="BZ40" s="7">
        <v>52.9</v>
      </c>
      <c r="CA40" s="6" t="s">
        <v>46</v>
      </c>
      <c r="CB40" s="7">
        <v>248.1</v>
      </c>
      <c r="CC40" s="7">
        <v>238.89999999999998</v>
      </c>
      <c r="CD40" s="7">
        <v>217.60000000000002</v>
      </c>
      <c r="CE40" s="7">
        <v>235.8</v>
      </c>
      <c r="CF40" s="7">
        <v>222.8</v>
      </c>
      <c r="CG40" s="7">
        <v>222.5</v>
      </c>
      <c r="CH40" s="7">
        <v>219.2</v>
      </c>
      <c r="CI40" s="7">
        <v>233.1</v>
      </c>
      <c r="CJ40" s="7">
        <v>234</v>
      </c>
      <c r="CK40" s="7">
        <v>233.7</v>
      </c>
      <c r="CL40" s="129" t="s">
        <v>46</v>
      </c>
      <c r="CM40" s="280">
        <v>217.8</v>
      </c>
      <c r="CN40" s="280">
        <v>205.7</v>
      </c>
      <c r="CO40" s="280">
        <v>182.9</v>
      </c>
      <c r="CP40" s="280">
        <v>220.2</v>
      </c>
      <c r="CQ40" s="280">
        <v>206.8</v>
      </c>
      <c r="CR40" s="280">
        <v>209</v>
      </c>
      <c r="CS40" s="280">
        <v>201.9</v>
      </c>
      <c r="CT40" s="280">
        <v>224.1</v>
      </c>
      <c r="CU40" s="280">
        <v>208.8</v>
      </c>
      <c r="CV40" s="280">
        <v>213</v>
      </c>
      <c r="CW40" s="130" t="s">
        <v>46</v>
      </c>
      <c r="CX40" s="280">
        <v>135.6</v>
      </c>
      <c r="CY40" s="280">
        <v>154.1</v>
      </c>
      <c r="CZ40" s="280">
        <v>160.30000000000001</v>
      </c>
      <c r="DA40" s="280">
        <v>139.1</v>
      </c>
      <c r="DB40" s="280">
        <v>135.4</v>
      </c>
      <c r="DC40" s="280">
        <v>151.1</v>
      </c>
      <c r="DD40" s="280">
        <v>161.9</v>
      </c>
      <c r="DE40" s="280">
        <v>153.1</v>
      </c>
      <c r="DF40" s="280">
        <v>141.9</v>
      </c>
      <c r="DG40" s="280">
        <v>139</v>
      </c>
      <c r="DH40" s="131" t="s">
        <v>46</v>
      </c>
      <c r="DI40" s="280">
        <v>151.5</v>
      </c>
      <c r="DJ40" s="280">
        <v>148.30000000000001</v>
      </c>
      <c r="DK40" s="280">
        <v>146.1</v>
      </c>
      <c r="DL40" s="280">
        <v>160.9</v>
      </c>
      <c r="DM40" s="280">
        <v>159</v>
      </c>
      <c r="DN40" s="280">
        <v>150.6</v>
      </c>
      <c r="DO40" s="280">
        <v>155.19999999999999</v>
      </c>
      <c r="DP40" s="280">
        <v>142.69999999999999</v>
      </c>
      <c r="DQ40" s="280">
        <v>150.69999999999999</v>
      </c>
      <c r="DR40" s="280">
        <v>160.19999999999999</v>
      </c>
      <c r="DS40" s="132" t="s">
        <v>46</v>
      </c>
      <c r="DT40" s="280"/>
      <c r="DU40" s="281"/>
      <c r="DV40" s="281"/>
      <c r="DW40" s="281"/>
      <c r="DX40" s="281"/>
      <c r="DY40" s="281"/>
      <c r="DZ40" s="281"/>
      <c r="EA40" s="281"/>
      <c r="EB40" s="280"/>
      <c r="EC40" s="280"/>
      <c r="ED40" s="2" t="s">
        <v>46</v>
      </c>
      <c r="EE40" s="280">
        <v>12.5</v>
      </c>
      <c r="EF40" s="280">
        <v>11.1</v>
      </c>
      <c r="EG40" s="280">
        <v>10.1</v>
      </c>
      <c r="EH40" s="280">
        <v>10.8</v>
      </c>
      <c r="EI40" s="280">
        <v>15.1</v>
      </c>
      <c r="EJ40" s="280">
        <v>12</v>
      </c>
      <c r="EK40" s="280">
        <v>14.6</v>
      </c>
      <c r="EL40" s="280">
        <v>15</v>
      </c>
      <c r="EM40" s="280">
        <v>14.2</v>
      </c>
      <c r="EN40" s="280">
        <v>15.5</v>
      </c>
      <c r="EO40" s="2" t="s">
        <v>46</v>
      </c>
      <c r="EP40" s="280">
        <v>152.1</v>
      </c>
      <c r="EQ40" s="280">
        <v>157.1</v>
      </c>
      <c r="ER40" s="280">
        <v>146.5</v>
      </c>
      <c r="ES40" s="280">
        <v>160.80000000000001</v>
      </c>
      <c r="ET40" s="280">
        <v>146.1</v>
      </c>
      <c r="EU40" s="280">
        <v>146.69999999999999</v>
      </c>
      <c r="EV40" s="280">
        <v>135.6</v>
      </c>
      <c r="EW40" s="280">
        <v>142.5</v>
      </c>
      <c r="EX40" s="280">
        <v>143.5</v>
      </c>
      <c r="EY40" s="280">
        <v>153.9</v>
      </c>
      <c r="EZ40" s="2" t="s">
        <v>46</v>
      </c>
      <c r="FA40" s="280">
        <v>97.5</v>
      </c>
      <c r="FB40" s="280">
        <v>83.8</v>
      </c>
      <c r="FC40" s="280">
        <v>73.099999999999994</v>
      </c>
      <c r="FD40" s="280">
        <v>83.5</v>
      </c>
      <c r="FE40" s="280">
        <v>93.7</v>
      </c>
      <c r="FF40" s="280">
        <v>88.7</v>
      </c>
      <c r="FG40" s="280">
        <v>89.6</v>
      </c>
      <c r="FH40" s="280">
        <v>94.8</v>
      </c>
      <c r="FI40" s="280">
        <v>86.2</v>
      </c>
      <c r="FJ40" s="280">
        <v>77.8</v>
      </c>
      <c r="FK40" s="2" t="s">
        <v>46</v>
      </c>
      <c r="FL40" s="280">
        <v>37.4</v>
      </c>
      <c r="FM40" s="280">
        <v>38.1</v>
      </c>
      <c r="FN40" s="280">
        <v>40.799999999999997</v>
      </c>
      <c r="FO40" s="280">
        <v>43.4</v>
      </c>
      <c r="FP40" s="280">
        <v>42</v>
      </c>
      <c r="FQ40" s="280">
        <v>47.3</v>
      </c>
      <c r="FR40" s="280">
        <v>50.5</v>
      </c>
      <c r="FS40" s="280">
        <v>42.3</v>
      </c>
      <c r="FT40" s="280">
        <v>42.2</v>
      </c>
      <c r="FU40" s="280">
        <v>47.5</v>
      </c>
      <c r="FV40" s="2" t="s">
        <v>46</v>
      </c>
      <c r="FW40" s="280">
        <v>95.1</v>
      </c>
      <c r="FX40" s="280">
        <v>95.7</v>
      </c>
      <c r="FY40" s="280">
        <v>96</v>
      </c>
      <c r="FZ40" s="280">
        <v>86.3</v>
      </c>
      <c r="GA40" s="280">
        <v>78.099999999999994</v>
      </c>
      <c r="GB40" s="280">
        <v>94</v>
      </c>
      <c r="GC40" s="280">
        <v>99.7</v>
      </c>
      <c r="GD40" s="280">
        <v>97.5</v>
      </c>
      <c r="GE40" s="280">
        <v>95.3</v>
      </c>
      <c r="GF40" s="280">
        <v>89.5</v>
      </c>
      <c r="GG40" s="2" t="s">
        <v>46</v>
      </c>
      <c r="GH40" s="280">
        <v>11.8</v>
      </c>
      <c r="GI40" s="280">
        <v>12.6</v>
      </c>
      <c r="GJ40" s="280">
        <v>12</v>
      </c>
      <c r="GK40" s="280">
        <v>9.6</v>
      </c>
      <c r="GL40" s="280">
        <v>9</v>
      </c>
      <c r="GM40" s="280">
        <v>11.9</v>
      </c>
      <c r="GN40" s="280">
        <v>10.199999999999999</v>
      </c>
      <c r="GO40" s="280">
        <v>8.6999999999999993</v>
      </c>
      <c r="GP40" s="280">
        <v>7.7</v>
      </c>
      <c r="GQ40" s="280">
        <v>9.9</v>
      </c>
      <c r="GR40" s="2" t="s">
        <v>46</v>
      </c>
      <c r="GS40" s="280">
        <v>75.400000000000006</v>
      </c>
      <c r="GT40" s="280">
        <v>86.2</v>
      </c>
      <c r="GU40" s="280">
        <v>87.7</v>
      </c>
      <c r="GV40" s="280">
        <v>100.1</v>
      </c>
      <c r="GW40" s="280">
        <v>87</v>
      </c>
      <c r="GX40" s="280">
        <v>83.1</v>
      </c>
      <c r="GY40" s="280">
        <v>83.6</v>
      </c>
      <c r="GZ40" s="280">
        <v>89.9</v>
      </c>
      <c r="HA40" s="280">
        <v>84.6</v>
      </c>
      <c r="HB40" s="280">
        <v>87.9</v>
      </c>
      <c r="HC40" s="2" t="s">
        <v>46</v>
      </c>
      <c r="HD40" s="280">
        <v>8.1</v>
      </c>
      <c r="HE40" s="280">
        <v>7.8</v>
      </c>
      <c r="HF40" s="280">
        <v>6.2</v>
      </c>
      <c r="HG40" s="280">
        <v>10.3</v>
      </c>
      <c r="HH40" s="280">
        <v>13.2</v>
      </c>
      <c r="HI40" s="280">
        <v>14.5</v>
      </c>
      <c r="HJ40" s="280">
        <v>15.5</v>
      </c>
      <c r="HK40" s="280">
        <v>12.7</v>
      </c>
      <c r="HL40" s="280">
        <v>13.6</v>
      </c>
      <c r="HM40" s="280">
        <v>10.4</v>
      </c>
      <c r="HN40" s="279" t="s">
        <v>46</v>
      </c>
      <c r="HO40" s="280">
        <v>14.2</v>
      </c>
      <c r="HP40" s="280">
        <v>13.8</v>
      </c>
      <c r="HQ40" s="280">
        <v>14.2</v>
      </c>
      <c r="HR40" s="280">
        <v>12.9</v>
      </c>
      <c r="HS40" s="280">
        <v>13.8</v>
      </c>
      <c r="HT40" s="280">
        <v>10.199999999999999</v>
      </c>
      <c r="HU40" s="280">
        <v>14.6</v>
      </c>
      <c r="HV40" s="280">
        <v>12.1</v>
      </c>
      <c r="HW40" s="280">
        <v>10.199999999999999</v>
      </c>
      <c r="HX40" s="280">
        <v>14</v>
      </c>
      <c r="HY40" s="2" t="s">
        <v>46</v>
      </c>
      <c r="HZ40" s="281"/>
      <c r="IA40" s="281"/>
      <c r="IB40" s="281"/>
      <c r="IC40" s="281"/>
      <c r="ID40" s="281"/>
      <c r="IE40" s="281"/>
      <c r="IF40" s="281"/>
      <c r="IG40" s="281"/>
      <c r="IH40" s="281"/>
      <c r="II40" s="281"/>
      <c r="IJ40" s="2" t="s">
        <v>46</v>
      </c>
      <c r="IK40" s="280">
        <v>4.4000000000000004</v>
      </c>
      <c r="IL40" s="280">
        <v>3</v>
      </c>
      <c r="IM40" s="280">
        <v>2.8</v>
      </c>
      <c r="IN40" s="280">
        <v>3.2</v>
      </c>
      <c r="IO40" s="280">
        <v>4.0999999999999996</v>
      </c>
      <c r="IP40" s="280">
        <v>3.4</v>
      </c>
      <c r="IQ40" s="280">
        <v>5.4</v>
      </c>
      <c r="IR40" s="280">
        <v>4.5999999999999996</v>
      </c>
      <c r="IS40" s="280">
        <v>5.3</v>
      </c>
      <c r="IT40" s="280">
        <v>7.2</v>
      </c>
      <c r="IU40" s="2" t="s">
        <v>46</v>
      </c>
      <c r="IV40" s="280">
        <v>14.1</v>
      </c>
      <c r="IW40" s="280">
        <v>16.399999999999999</v>
      </c>
      <c r="IX40" s="280">
        <v>10.4</v>
      </c>
      <c r="IY40" s="280">
        <v>10.3</v>
      </c>
      <c r="IZ40" s="280">
        <v>12.1</v>
      </c>
      <c r="JA40" s="280">
        <v>11.2</v>
      </c>
      <c r="JB40" s="280">
        <v>11.6</v>
      </c>
      <c r="JC40" s="280">
        <v>10.199999999999999</v>
      </c>
      <c r="JD40" s="280">
        <v>9.5</v>
      </c>
      <c r="JE40" s="280">
        <v>11.1</v>
      </c>
      <c r="JF40" s="2" t="s">
        <v>46</v>
      </c>
      <c r="JG40" s="280">
        <v>56.6</v>
      </c>
      <c r="JH40" s="280">
        <v>49</v>
      </c>
      <c r="JI40" s="280">
        <v>42.6</v>
      </c>
      <c r="JJ40" s="280">
        <v>54.5</v>
      </c>
      <c r="JK40" s="280">
        <v>53.1</v>
      </c>
      <c r="JL40" s="280">
        <v>52.3</v>
      </c>
      <c r="JM40" s="280">
        <v>61.5</v>
      </c>
      <c r="JN40" s="280">
        <v>57.4</v>
      </c>
      <c r="JO40" s="280">
        <v>53.3</v>
      </c>
      <c r="JP40" s="280">
        <v>56</v>
      </c>
      <c r="JQ40" s="2" t="s">
        <v>46</v>
      </c>
      <c r="JR40" s="280">
        <v>32.5</v>
      </c>
      <c r="JS40" s="280">
        <v>39.9</v>
      </c>
      <c r="JT40" s="280">
        <v>42.4</v>
      </c>
      <c r="JU40" s="280">
        <v>49.4</v>
      </c>
      <c r="JV40" s="280">
        <v>34.700000000000003</v>
      </c>
      <c r="JW40" s="280">
        <v>39.6</v>
      </c>
      <c r="JX40" s="280">
        <v>37.1</v>
      </c>
      <c r="JY40" s="280">
        <v>38.5</v>
      </c>
      <c r="JZ40" s="280">
        <v>33.200000000000003</v>
      </c>
      <c r="KA40" s="280">
        <v>36.1</v>
      </c>
      <c r="KB40" s="2" t="s">
        <v>46</v>
      </c>
      <c r="KC40" s="280">
        <v>50.9</v>
      </c>
      <c r="KD40" s="280">
        <v>58.5</v>
      </c>
      <c r="KE40" s="280">
        <v>56.9</v>
      </c>
      <c r="KF40" s="280">
        <v>52.5</v>
      </c>
      <c r="KG40" s="280">
        <v>52.7</v>
      </c>
      <c r="KH40" s="280">
        <v>53.6</v>
      </c>
      <c r="KI40" s="280">
        <v>53.9</v>
      </c>
      <c r="KJ40" s="280">
        <v>58</v>
      </c>
      <c r="KK40" s="280">
        <v>51.9</v>
      </c>
      <c r="KL40" s="280">
        <v>46.7</v>
      </c>
      <c r="KM40" s="2" t="s">
        <v>46</v>
      </c>
      <c r="KN40" s="280">
        <v>12.8</v>
      </c>
      <c r="KO40" s="280">
        <v>12.4</v>
      </c>
      <c r="KP40" s="280">
        <v>14.5</v>
      </c>
      <c r="KQ40" s="280">
        <v>13.3</v>
      </c>
      <c r="KR40" s="280">
        <v>17.100000000000001</v>
      </c>
      <c r="KS40" s="280">
        <v>14.5</v>
      </c>
      <c r="KT40" s="280">
        <v>17.899999999999999</v>
      </c>
      <c r="KU40" s="280">
        <v>12.5</v>
      </c>
      <c r="KV40" s="280">
        <v>23.9</v>
      </c>
      <c r="KW40" s="280">
        <v>16.8</v>
      </c>
      <c r="KX40" s="2" t="s">
        <v>46</v>
      </c>
      <c r="KY40" s="280">
        <v>20.5</v>
      </c>
      <c r="KZ40" s="280">
        <v>17.3</v>
      </c>
      <c r="LA40" s="280">
        <v>21.8</v>
      </c>
      <c r="LB40" s="280">
        <v>15.7</v>
      </c>
      <c r="LC40" s="280">
        <v>15.3</v>
      </c>
      <c r="LD40" s="280">
        <v>18.5</v>
      </c>
      <c r="LE40" s="280">
        <v>24.2</v>
      </c>
      <c r="LF40" s="280">
        <v>19.5</v>
      </c>
      <c r="LG40" s="280">
        <v>21</v>
      </c>
      <c r="LH40" s="280">
        <v>18.600000000000001</v>
      </c>
      <c r="LI40" s="2" t="s">
        <v>46</v>
      </c>
      <c r="LJ40" s="280">
        <v>7.9</v>
      </c>
      <c r="LK40" s="280">
        <v>10.5</v>
      </c>
      <c r="LL40" s="280">
        <v>16.100000000000001</v>
      </c>
      <c r="LM40" s="280">
        <v>10.7</v>
      </c>
      <c r="LN40" s="280">
        <v>9.4</v>
      </c>
      <c r="LO40" s="280">
        <v>10</v>
      </c>
      <c r="LP40" s="280">
        <v>10.1</v>
      </c>
      <c r="LQ40" s="280">
        <v>12.8</v>
      </c>
      <c r="LR40" s="280">
        <v>10.5</v>
      </c>
      <c r="LS40" s="280">
        <v>12.7</v>
      </c>
      <c r="LT40" s="2" t="s">
        <v>46</v>
      </c>
      <c r="LU40" s="280">
        <v>17.3</v>
      </c>
      <c r="LV40" s="280">
        <v>19</v>
      </c>
      <c r="LW40" s="280">
        <v>22.4</v>
      </c>
      <c r="LX40" s="280">
        <v>19.2</v>
      </c>
      <c r="LY40" s="280">
        <v>19.2</v>
      </c>
      <c r="LZ40" s="280">
        <v>24.1</v>
      </c>
      <c r="MA40" s="280">
        <v>21.4</v>
      </c>
      <c r="MB40" s="280">
        <v>24.2</v>
      </c>
      <c r="MC40" s="280">
        <v>19.600000000000001</v>
      </c>
      <c r="MD40" s="280">
        <v>17.5</v>
      </c>
      <c r="ME40" s="2" t="s">
        <v>46</v>
      </c>
      <c r="MF40" s="280">
        <v>36.799999999999997</v>
      </c>
      <c r="MG40" s="280">
        <v>34.700000000000003</v>
      </c>
      <c r="MH40" s="280">
        <v>30.9</v>
      </c>
      <c r="MI40" s="280">
        <v>36</v>
      </c>
      <c r="MJ40" s="280">
        <v>31.6</v>
      </c>
      <c r="MK40" s="280">
        <v>27.8</v>
      </c>
      <c r="ML40" s="280">
        <v>34.299999999999997</v>
      </c>
      <c r="MM40" s="280">
        <v>41</v>
      </c>
      <c r="MN40" s="280">
        <v>39.200000000000003</v>
      </c>
      <c r="MO40" s="280">
        <v>40.4</v>
      </c>
      <c r="MP40" s="2" t="s">
        <v>46</v>
      </c>
      <c r="MQ40" s="280">
        <v>14</v>
      </c>
      <c r="MR40" s="280">
        <v>15.3</v>
      </c>
      <c r="MS40" s="280">
        <v>18.3</v>
      </c>
      <c r="MT40" s="280">
        <v>12.3</v>
      </c>
      <c r="MU40" s="280">
        <v>14.5</v>
      </c>
      <c r="MV40" s="280">
        <v>22.5</v>
      </c>
      <c r="MW40" s="280">
        <v>18.3</v>
      </c>
      <c r="MX40" s="280">
        <v>16.2</v>
      </c>
      <c r="MY40" s="280">
        <v>12.5</v>
      </c>
      <c r="MZ40" s="280">
        <v>14.8</v>
      </c>
      <c r="NA40" s="2" t="s">
        <v>46</v>
      </c>
      <c r="NB40" s="280">
        <v>22.9</v>
      </c>
      <c r="NC40" s="280">
        <v>27.6</v>
      </c>
      <c r="ND40" s="280">
        <v>26.4</v>
      </c>
      <c r="NE40" s="280">
        <v>30.1</v>
      </c>
      <c r="NF40" s="280">
        <v>20.6</v>
      </c>
      <c r="NG40" s="280">
        <v>21.8</v>
      </c>
      <c r="NH40" s="280">
        <v>23.5</v>
      </c>
      <c r="NI40" s="280">
        <v>22.8</v>
      </c>
      <c r="NJ40" s="280">
        <v>24.1</v>
      </c>
      <c r="NK40" s="280">
        <v>23.7</v>
      </c>
      <c r="NL40" s="2" t="s">
        <v>46</v>
      </c>
      <c r="NM40" s="280">
        <v>89.7</v>
      </c>
      <c r="NN40" s="280">
        <v>84.1</v>
      </c>
      <c r="NO40" s="280">
        <v>70.8</v>
      </c>
      <c r="NP40" s="280">
        <v>88.1</v>
      </c>
      <c r="NQ40" s="280">
        <v>85</v>
      </c>
      <c r="NR40" s="280">
        <v>85</v>
      </c>
      <c r="NS40" s="280">
        <v>72.7</v>
      </c>
      <c r="NT40" s="280">
        <v>72.599999999999994</v>
      </c>
      <c r="NU40" s="280">
        <v>74.3</v>
      </c>
      <c r="NV40" s="280">
        <v>89.8</v>
      </c>
      <c r="NW40" s="2" t="s">
        <v>46</v>
      </c>
      <c r="NX40" s="280">
        <v>84.2</v>
      </c>
      <c r="NY40" s="280">
        <v>75.400000000000006</v>
      </c>
      <c r="NZ40" s="280">
        <v>73.599999999999994</v>
      </c>
      <c r="OA40" s="280">
        <v>85.6</v>
      </c>
      <c r="OB40" s="280">
        <v>99.7</v>
      </c>
      <c r="OC40" s="280">
        <v>90.4</v>
      </c>
      <c r="OD40" s="280">
        <v>88</v>
      </c>
      <c r="OE40" s="280">
        <v>90.7</v>
      </c>
      <c r="OF40" s="280">
        <v>85.5</v>
      </c>
      <c r="OG40" s="280">
        <v>85.1</v>
      </c>
      <c r="OH40" s="191" t="s">
        <v>46</v>
      </c>
      <c r="OI40" s="192">
        <v>4.9000000000000004</v>
      </c>
      <c r="OJ40" s="192">
        <v>4.0999999999999996</v>
      </c>
      <c r="OK40" s="192">
        <v>4.4000000000000004</v>
      </c>
      <c r="OL40" s="192">
        <v>4.2</v>
      </c>
      <c r="OM40" s="192">
        <v>4.9000000000000004</v>
      </c>
      <c r="ON40" s="192">
        <v>4.7</v>
      </c>
      <c r="OO40" s="192">
        <v>5.0999999999999996</v>
      </c>
      <c r="OP40" s="192">
        <v>4.3</v>
      </c>
      <c r="OQ40" s="192">
        <v>4.9000000000000004</v>
      </c>
      <c r="OR40" s="192">
        <v>4.4000000000000004</v>
      </c>
      <c r="OS40" s="2" t="s">
        <v>46</v>
      </c>
      <c r="OT40" s="340">
        <v>0.6</v>
      </c>
      <c r="OU40" s="340">
        <v>0.3</v>
      </c>
      <c r="OV40" s="340">
        <v>0.4</v>
      </c>
      <c r="OW40" s="340">
        <v>-0.1</v>
      </c>
      <c r="OX40" s="340">
        <v>0.4</v>
      </c>
      <c r="OY40" s="340">
        <v>0.7</v>
      </c>
      <c r="OZ40" s="340">
        <v>0.7</v>
      </c>
      <c r="PA40" s="340">
        <v>0.8</v>
      </c>
      <c r="PB40" s="340">
        <v>1</v>
      </c>
      <c r="PC40" s="340">
        <v>0.7</v>
      </c>
      <c r="PE40" s="185">
        <f>E40-'[1]Data-temp_employment'!F40</f>
        <v>-0.79999999999999893</v>
      </c>
      <c r="PF40" s="185">
        <f>F40-'[1]Data-temp_employment'!G40</f>
        <v>-0.40000000000000036</v>
      </c>
      <c r="PG40" s="185">
        <f>O40-'[1]Data-temp_employment'!P40</f>
        <v>-4.5000000000000568</v>
      </c>
      <c r="PH40" s="185">
        <f>P40-'[1]Data-temp_employment'!Q40</f>
        <v>-24.799999999999955</v>
      </c>
      <c r="PI40" s="185">
        <f>AD40-'[1]Data-temp_employment'!AE40</f>
        <v>-1.4000000000000004</v>
      </c>
      <c r="PJ40" s="185">
        <f>AE40-'[1]Data-temp_employment'!AF40</f>
        <v>6.1999999999999993</v>
      </c>
      <c r="PK40" s="185">
        <f>BR40-'[1]Data-temp_employment'!BS40</f>
        <v>-2.3999999999999986</v>
      </c>
      <c r="PL40" s="185">
        <f>BS40-'[1]Data-temp_employment'!BT40</f>
        <v>7.6999999999999957</v>
      </c>
      <c r="PM40" s="185">
        <f>CC40-'[1]Data-temp_employment'!CD40</f>
        <v>1.8999999999999773</v>
      </c>
      <c r="PN40" s="185">
        <f>CD40-'[1]Data-temp_employment'!CE40</f>
        <v>-12.5</v>
      </c>
      <c r="PO40" s="185">
        <f>CR40-'[1]Data-temp_employment'!CS40</f>
        <v>3.3000000000000114</v>
      </c>
      <c r="PP40" s="185">
        <f>CS40-'[1]Data-temp_employment'!CT40</f>
        <v>19</v>
      </c>
      <c r="PQ40" s="185">
        <f>DC40-'[1]Data-temp_employment'!DD40</f>
        <v>-3</v>
      </c>
      <c r="PR40" s="185">
        <f>DD40-'[1]Data-temp_employment'!DE40</f>
        <v>1.5999999999999943</v>
      </c>
      <c r="PS40" s="185">
        <f>DN40-'[1]Data-temp_employment'!DO40</f>
        <v>2.2999999999999829</v>
      </c>
      <c r="PT40" s="185">
        <f>DO40-'[1]Data-temp_employment'!DP40</f>
        <v>9.0999999999999943</v>
      </c>
      <c r="PU40" s="185">
        <f>EF40-'[1]Data-temp_employment'!EG40</f>
        <v>-1.2000000000000011</v>
      </c>
      <c r="PV40" s="185">
        <f>EG40-'[1]Data-temp_employment'!EH40</f>
        <v>-4.5999999999999996</v>
      </c>
      <c r="PW40" s="185">
        <f>EU40-'[1]Data-temp_employment'!EV40</f>
        <v>-10.400000000000006</v>
      </c>
      <c r="PX40" s="185">
        <f>EV40-'[1]Data-temp_employment'!EW40</f>
        <v>-10.900000000000006</v>
      </c>
      <c r="PY40" s="185">
        <f>FF40-'[1]Data-temp_employment'!FG40</f>
        <v>4.9000000000000057</v>
      </c>
      <c r="PZ40" s="185">
        <f>FG40-'[1]Data-temp_employment'!FH40</f>
        <v>16.5</v>
      </c>
      <c r="QA40" s="185">
        <f>FQ40-'[1]Data-temp_employment'!FR40</f>
        <v>9.1999999999999957</v>
      </c>
      <c r="QB40" s="185">
        <f>FR40-'[1]Data-temp_employment'!FS40</f>
        <v>9.7000000000000028</v>
      </c>
      <c r="QC40" s="185">
        <f>GB40-'[1]Data-temp_employment'!GC40</f>
        <v>-1.7000000000000028</v>
      </c>
      <c r="QD40" s="185">
        <f>GC40-'[1]Data-temp_employment'!GD40</f>
        <v>3.7000000000000028</v>
      </c>
      <c r="QE40" s="185">
        <f>GM40-'[1]Data-temp_employment'!GN40</f>
        <v>-0.69999999999999929</v>
      </c>
      <c r="QF40" s="185">
        <f>GN40-'[1]Data-temp_employment'!GO40</f>
        <v>-1.8000000000000007</v>
      </c>
      <c r="QG40" s="185">
        <f>GX40-'[1]Data-temp_employment'!GY40</f>
        <v>-3.1000000000000085</v>
      </c>
      <c r="QH40" s="185">
        <f>GY40-'[1]Data-temp_employment'!GZ40</f>
        <v>-4.1000000000000085</v>
      </c>
      <c r="QI40" s="185">
        <f>HI40-'[1]Data-temp_employment'!HJ40</f>
        <v>6.7</v>
      </c>
      <c r="QJ40" s="185">
        <f>HJ40-'[1]Data-temp_employment'!HK40</f>
        <v>9.3000000000000007</v>
      </c>
      <c r="QK40" s="185">
        <f>HT40-'[1]Data-temp_employment'!HU40</f>
        <v>-3.6000000000000014</v>
      </c>
      <c r="QL40" s="185">
        <f>HU40-'[1]Data-temp_employment'!HV40</f>
        <v>0.40000000000000036</v>
      </c>
      <c r="QM40" s="185">
        <f>IE40-'[1]Data-temp_employment'!IF40</f>
        <v>0</v>
      </c>
      <c r="QN40" s="185">
        <f>IF40-'[1]Data-temp_employment'!IG40</f>
        <v>0</v>
      </c>
      <c r="QO40" s="185">
        <f>JA40-'[1]Data-temp_employment'!JB40</f>
        <v>-5.1999999999999993</v>
      </c>
      <c r="QP40" s="185">
        <f>JB40-'[1]Data-temp_employment'!JC40</f>
        <v>1.1999999999999993</v>
      </c>
      <c r="QQ40" s="185">
        <f>JH40-'[1]Data-temp_employment'!JI40</f>
        <v>0.20000000000000284</v>
      </c>
      <c r="QR40" s="185">
        <f>JI40-'[1]Data-temp_employment'!JJ40</f>
        <v>-2.6000000000000014</v>
      </c>
      <c r="QS40" s="185">
        <f>JS40-'[1]Data-temp_employment'!JT40</f>
        <v>4.6000000000000014</v>
      </c>
      <c r="QT40" s="185">
        <f>JT40-'[1]Data-temp_employment'!JU40</f>
        <v>0.69999999999999574</v>
      </c>
      <c r="QU40" s="185">
        <f>KD40-'[1]Data-temp_employment'!KE40</f>
        <v>1.2999999999999972</v>
      </c>
      <c r="QV40" s="185">
        <f>KE40-'[1]Data-temp_employment'!KF40</f>
        <v>-0.80000000000000426</v>
      </c>
      <c r="QW40" s="185">
        <f>KO40-'[1]Data-temp_employment'!KP40</f>
        <v>-5.2999999999999989</v>
      </c>
      <c r="QX40" s="185">
        <f>KP40-'[1]Data-temp_employment'!KQ40</f>
        <v>-0.5</v>
      </c>
      <c r="QY40" s="185">
        <f>LD40-'[1]Data-temp_employment'!LE40</f>
        <v>1.1999999999999993</v>
      </c>
      <c r="QZ40" s="185">
        <f>LE40-'[1]Data-temp_employment'!LF40</f>
        <v>2.3999999999999986</v>
      </c>
      <c r="RA40" s="185">
        <f>LK40-'[1]Data-temp_employment'!LL40</f>
        <v>0</v>
      </c>
      <c r="RB40" s="185">
        <f>LL40-'[1]Data-temp_employment'!LM40</f>
        <v>5.0000000000000018</v>
      </c>
      <c r="RC40" s="185">
        <f>LV40-'[1]Data-temp_employment'!LW40</f>
        <v>0.69999999999999929</v>
      </c>
      <c r="RD40" s="185">
        <f>LW40-'[1]Data-temp_employment'!LX40</f>
        <v>8.5999999999999979</v>
      </c>
      <c r="RE40" s="185">
        <f>MK40-'[1]Data-temp_employment'!ML40</f>
        <v>-6.9000000000000021</v>
      </c>
      <c r="RF40" s="185">
        <f>ML40-'[1]Data-temp_employment'!MM40</f>
        <v>3.3999999999999986</v>
      </c>
      <c r="RG40" s="185">
        <f>MV40-'[1]Data-temp_employment'!MW40</f>
        <v>7.1999999999999993</v>
      </c>
      <c r="RH40" s="185">
        <f>MW40-'[1]Data-temp_employment'!MX40</f>
        <v>0</v>
      </c>
      <c r="RI40" s="185">
        <f>NG40-'[1]Data-temp_employment'!NH40</f>
        <v>-5.8000000000000007</v>
      </c>
      <c r="RJ40" s="185">
        <f>NH40-'[1]Data-temp_employment'!NI40</f>
        <v>-2.8999999999999986</v>
      </c>
      <c r="RK40" s="185">
        <f>NR40-'[1]Data-temp_employment'!NS40</f>
        <v>0.90000000000000568</v>
      </c>
      <c r="RL40" s="185">
        <f>NS40-'[1]Data-temp_employment'!NT40</f>
        <v>1.9000000000000057</v>
      </c>
      <c r="RM40" s="185">
        <f>OC40-'[1]Data-temp_employment'!OD40</f>
        <v>15</v>
      </c>
      <c r="RN40" s="185">
        <f>OD40-'[1]Data-temp_employment'!OE40</f>
        <v>14.400000000000006</v>
      </c>
      <c r="RO40" s="185">
        <f>OT39-'[1]Data-temp_employment'!OV40</f>
        <v>0</v>
      </c>
      <c r="RP40" s="185">
        <f>OU39-'[1]Data-temp_employment'!OW40</f>
        <v>0</v>
      </c>
    </row>
    <row r="41" spans="1:485">
      <c r="A41" s="219">
        <v>38</v>
      </c>
      <c r="B41" s="158" t="s">
        <v>47</v>
      </c>
      <c r="C41" s="332">
        <v>11.6</v>
      </c>
      <c r="D41" s="332">
        <v>14.8</v>
      </c>
      <c r="E41" s="332">
        <v>13.6</v>
      </c>
      <c r="F41" s="332">
        <v>12.8</v>
      </c>
      <c r="G41" s="332">
        <v>10.7</v>
      </c>
      <c r="H41" s="332">
        <v>13.7</v>
      </c>
      <c r="I41" s="332">
        <v>14.4</v>
      </c>
      <c r="J41" s="332">
        <v>13.9</v>
      </c>
      <c r="K41" s="332">
        <v>11.3</v>
      </c>
      <c r="L41" s="332">
        <v>12.7</v>
      </c>
      <c r="M41" s="127" t="s">
        <v>47</v>
      </c>
      <c r="N41" s="332">
        <v>2064.4</v>
      </c>
      <c r="O41" s="332">
        <v>2767.3</v>
      </c>
      <c r="P41" s="332">
        <v>2474</v>
      </c>
      <c r="Q41" s="332">
        <v>2353.5</v>
      </c>
      <c r="R41" s="332">
        <v>1931.8</v>
      </c>
      <c r="S41" s="332">
        <v>2601.6</v>
      </c>
      <c r="T41" s="332">
        <v>2750.8</v>
      </c>
      <c r="U41" s="332">
        <v>2696.8</v>
      </c>
      <c r="V41" s="332">
        <v>2148.4</v>
      </c>
      <c r="W41" s="332">
        <v>2496.1999999999998</v>
      </c>
      <c r="X41" s="120" t="s">
        <v>47</v>
      </c>
      <c r="Y41" s="332">
        <v>475.1</v>
      </c>
      <c r="Z41" s="332">
        <v>598.1</v>
      </c>
      <c r="AA41" s="332">
        <v>618.6</v>
      </c>
      <c r="AB41" s="332">
        <v>650.4</v>
      </c>
      <c r="AC41" s="332">
        <v>533.20000000000005</v>
      </c>
      <c r="AD41" s="332">
        <v>633.4</v>
      </c>
      <c r="AE41" s="332">
        <v>626.79999999999995</v>
      </c>
      <c r="AF41" s="332">
        <v>725.2</v>
      </c>
      <c r="AG41" s="332">
        <v>613</v>
      </c>
      <c r="AH41" s="332">
        <v>670.2</v>
      </c>
      <c r="AI41" s="119" t="s">
        <v>47</v>
      </c>
      <c r="AJ41" s="332">
        <v>351.2</v>
      </c>
      <c r="AK41" s="332">
        <v>620.29999999999995</v>
      </c>
      <c r="AL41" s="332">
        <v>771.2</v>
      </c>
      <c r="AM41" s="332">
        <v>555.5</v>
      </c>
      <c r="AN41" s="332">
        <v>332.2</v>
      </c>
      <c r="AO41" s="332">
        <v>569</v>
      </c>
      <c r="AP41" s="332">
        <v>846.1</v>
      </c>
      <c r="AQ41" s="332">
        <v>587.9</v>
      </c>
      <c r="AR41" s="332">
        <v>365.5</v>
      </c>
      <c r="AS41" s="332">
        <v>508.9</v>
      </c>
      <c r="AT41" s="119" t="s">
        <v>47</v>
      </c>
      <c r="AU41" s="332">
        <v>546.1</v>
      </c>
      <c r="AV41" s="332">
        <v>743.1</v>
      </c>
      <c r="AW41" s="332">
        <v>684.5</v>
      </c>
      <c r="AX41" s="332">
        <v>470.2</v>
      </c>
      <c r="AY41" s="332">
        <v>439.1</v>
      </c>
      <c r="AZ41" s="332">
        <v>770.3</v>
      </c>
      <c r="BA41" s="332">
        <v>874.2</v>
      </c>
      <c r="BB41" s="332">
        <v>589.9</v>
      </c>
      <c r="BC41" s="332">
        <v>454.4</v>
      </c>
      <c r="BD41" s="332">
        <v>607.5</v>
      </c>
      <c r="BE41" s="119" t="s">
        <v>47</v>
      </c>
      <c r="BF41" s="280">
        <v>585.5</v>
      </c>
      <c r="BG41" s="280">
        <v>676.2</v>
      </c>
      <c r="BH41" s="280">
        <v>295.5</v>
      </c>
      <c r="BI41" s="280">
        <v>575.6</v>
      </c>
      <c r="BJ41" s="280">
        <v>529.70000000000005</v>
      </c>
      <c r="BK41" s="280">
        <v>542.70000000000005</v>
      </c>
      <c r="BL41" s="280">
        <v>325.8</v>
      </c>
      <c r="BM41" s="280">
        <v>707.9</v>
      </c>
      <c r="BN41" s="280">
        <v>631.6</v>
      </c>
      <c r="BO41" s="280">
        <v>629.20000000000005</v>
      </c>
      <c r="BP41" s="6" t="s">
        <v>47</v>
      </c>
      <c r="BQ41" s="7">
        <v>41.1</v>
      </c>
      <c r="BR41" s="7">
        <v>40.799999999999997</v>
      </c>
      <c r="BS41" s="7">
        <v>28</v>
      </c>
      <c r="BT41" s="7">
        <v>33</v>
      </c>
      <c r="BU41" s="7">
        <v>30.2</v>
      </c>
      <c r="BV41" s="7">
        <v>25</v>
      </c>
      <c r="BW41" s="7">
        <v>25.900000000000002</v>
      </c>
      <c r="BX41" s="7">
        <v>24.5</v>
      </c>
      <c r="BY41" s="7">
        <v>23.6</v>
      </c>
      <c r="BZ41" s="7">
        <v>34.9</v>
      </c>
      <c r="CA41" s="6" t="s">
        <v>47</v>
      </c>
      <c r="CB41" s="7">
        <v>65.5</v>
      </c>
      <c r="CC41" s="7">
        <v>88.8</v>
      </c>
      <c r="CD41" s="7">
        <v>76.2</v>
      </c>
      <c r="CE41" s="7">
        <v>69</v>
      </c>
      <c r="CF41" s="7">
        <v>67.400000000000006</v>
      </c>
      <c r="CG41" s="7">
        <v>61.2</v>
      </c>
      <c r="CH41" s="7">
        <v>52.099999999999994</v>
      </c>
      <c r="CI41" s="7">
        <v>61.4</v>
      </c>
      <c r="CJ41" s="7">
        <v>60.3</v>
      </c>
      <c r="CK41" s="7">
        <v>45.400000000000006</v>
      </c>
      <c r="CL41" s="129" t="s">
        <v>47</v>
      </c>
      <c r="CM41" s="280">
        <v>1601.7</v>
      </c>
      <c r="CN41" s="280">
        <v>2166.1</v>
      </c>
      <c r="CO41" s="280">
        <v>1899.8</v>
      </c>
      <c r="CP41" s="280">
        <v>1816.9</v>
      </c>
      <c r="CQ41" s="280">
        <v>1426.6</v>
      </c>
      <c r="CR41" s="280">
        <v>2010</v>
      </c>
      <c r="CS41" s="280">
        <v>2101.1</v>
      </c>
      <c r="CT41" s="280">
        <v>2042.7</v>
      </c>
      <c r="CU41" s="280">
        <v>1615.3</v>
      </c>
      <c r="CV41" s="280">
        <v>1900.1</v>
      </c>
      <c r="CW41" s="130" t="s">
        <v>47</v>
      </c>
      <c r="CX41" s="280">
        <v>287.5</v>
      </c>
      <c r="CY41" s="280">
        <v>412.2</v>
      </c>
      <c r="CZ41" s="280">
        <v>424.7</v>
      </c>
      <c r="DA41" s="280">
        <v>343.9</v>
      </c>
      <c r="DB41" s="280">
        <v>304.8</v>
      </c>
      <c r="DC41" s="280">
        <v>395.5</v>
      </c>
      <c r="DD41" s="280">
        <v>461</v>
      </c>
      <c r="DE41" s="280">
        <v>395.6</v>
      </c>
      <c r="DF41" s="280">
        <v>320.10000000000002</v>
      </c>
      <c r="DG41" s="280">
        <v>372.8</v>
      </c>
      <c r="DH41" s="131" t="s">
        <v>47</v>
      </c>
      <c r="DI41" s="280">
        <v>175.2</v>
      </c>
      <c r="DJ41" s="280">
        <v>189.1</v>
      </c>
      <c r="DK41" s="280">
        <v>149.5</v>
      </c>
      <c r="DL41" s="280">
        <v>192.7</v>
      </c>
      <c r="DM41" s="280">
        <v>200.5</v>
      </c>
      <c r="DN41" s="280">
        <v>196.1</v>
      </c>
      <c r="DO41" s="280">
        <v>188.8</v>
      </c>
      <c r="DP41" s="280">
        <v>258.60000000000002</v>
      </c>
      <c r="DQ41" s="280">
        <v>213</v>
      </c>
      <c r="DR41" s="280">
        <v>223.3</v>
      </c>
      <c r="DS41" s="132" t="s">
        <v>47</v>
      </c>
      <c r="DT41" s="281"/>
      <c r="DU41" s="281"/>
      <c r="DV41" s="281"/>
      <c r="DW41" s="281"/>
      <c r="DX41" s="281"/>
      <c r="DY41" s="281"/>
      <c r="DZ41" s="281"/>
      <c r="EA41" s="281"/>
      <c r="EB41" s="281"/>
      <c r="EC41" s="281"/>
      <c r="ED41" s="2" t="s">
        <v>47</v>
      </c>
      <c r="EE41" s="280">
        <v>33</v>
      </c>
      <c r="EF41" s="280">
        <v>40.200000000000003</v>
      </c>
      <c r="EG41" s="280">
        <v>47</v>
      </c>
      <c r="EH41" s="280">
        <v>42.8</v>
      </c>
      <c r="EI41" s="280">
        <v>27.5</v>
      </c>
      <c r="EJ41" s="280">
        <v>31.1</v>
      </c>
      <c r="EK41" s="280">
        <v>31.1</v>
      </c>
      <c r="EL41" s="280">
        <v>28.9</v>
      </c>
      <c r="EM41" s="280">
        <v>32</v>
      </c>
      <c r="EN41" s="280">
        <v>26.6</v>
      </c>
      <c r="EO41" s="2" t="s">
        <v>47</v>
      </c>
      <c r="EP41" s="280">
        <v>121</v>
      </c>
      <c r="EQ41" s="280">
        <v>122.7</v>
      </c>
      <c r="ER41" s="280">
        <v>62</v>
      </c>
      <c r="ES41" s="280">
        <v>144</v>
      </c>
      <c r="ET41" s="280">
        <v>166.7</v>
      </c>
      <c r="EU41" s="280">
        <v>129.6</v>
      </c>
      <c r="EV41" s="280">
        <v>63.4</v>
      </c>
      <c r="EW41" s="280">
        <v>162</v>
      </c>
      <c r="EX41" s="280">
        <v>175.2</v>
      </c>
      <c r="EY41" s="280">
        <v>148.30000000000001</v>
      </c>
      <c r="EZ41" s="2" t="s">
        <v>47</v>
      </c>
      <c r="FA41" s="280">
        <v>50.4</v>
      </c>
      <c r="FB41" s="280">
        <v>62.4</v>
      </c>
      <c r="FC41" s="280">
        <v>50.1</v>
      </c>
      <c r="FD41" s="280">
        <v>58.9</v>
      </c>
      <c r="FE41" s="280">
        <v>68.599999999999994</v>
      </c>
      <c r="FF41" s="280">
        <v>64.2</v>
      </c>
      <c r="FG41" s="280">
        <v>60.3</v>
      </c>
      <c r="FH41" s="280">
        <v>62.8</v>
      </c>
      <c r="FI41" s="280">
        <v>48.7</v>
      </c>
      <c r="FJ41" s="280">
        <v>63.1</v>
      </c>
      <c r="FK41" s="2" t="s">
        <v>47</v>
      </c>
      <c r="FL41" s="280">
        <v>126.3</v>
      </c>
      <c r="FM41" s="280">
        <v>139.4</v>
      </c>
      <c r="FN41" s="280">
        <v>78.599999999999994</v>
      </c>
      <c r="FO41" s="280">
        <v>92.4</v>
      </c>
      <c r="FP41" s="280">
        <v>100.4</v>
      </c>
      <c r="FQ41" s="280">
        <v>106.4</v>
      </c>
      <c r="FR41" s="280">
        <v>86.4</v>
      </c>
      <c r="FS41" s="280">
        <v>112.1</v>
      </c>
      <c r="FT41" s="280">
        <v>112.1</v>
      </c>
      <c r="FU41" s="280">
        <v>113.4</v>
      </c>
      <c r="FV41" s="2" t="s">
        <v>47</v>
      </c>
      <c r="FW41" s="280">
        <v>297.8</v>
      </c>
      <c r="FX41" s="280">
        <v>363.9</v>
      </c>
      <c r="FY41" s="280">
        <v>361.6</v>
      </c>
      <c r="FZ41" s="280">
        <v>274.8</v>
      </c>
      <c r="GA41" s="280">
        <v>282.60000000000002</v>
      </c>
      <c r="GB41" s="280">
        <v>344.7</v>
      </c>
      <c r="GC41" s="280">
        <v>377.6</v>
      </c>
      <c r="GD41" s="280">
        <v>348.8</v>
      </c>
      <c r="GE41" s="280">
        <v>292</v>
      </c>
      <c r="GF41" s="280">
        <v>360</v>
      </c>
      <c r="GG41" s="2" t="s">
        <v>47</v>
      </c>
      <c r="GH41" s="280">
        <v>49.1</v>
      </c>
      <c r="GI41" s="280">
        <v>83.8</v>
      </c>
      <c r="GJ41" s="280">
        <v>89</v>
      </c>
      <c r="GK41" s="280">
        <v>51.9</v>
      </c>
      <c r="GL41" s="280">
        <v>46.3</v>
      </c>
      <c r="GM41" s="280">
        <v>82.8</v>
      </c>
      <c r="GN41" s="280">
        <v>92.6</v>
      </c>
      <c r="GO41" s="280">
        <v>44.5</v>
      </c>
      <c r="GP41" s="280">
        <v>71.400000000000006</v>
      </c>
      <c r="GQ41" s="280">
        <v>80.599999999999994</v>
      </c>
      <c r="GR41" s="2" t="s">
        <v>47</v>
      </c>
      <c r="GS41" s="280">
        <v>541.79999999999995</v>
      </c>
      <c r="GT41" s="280">
        <v>728.1</v>
      </c>
      <c r="GU41" s="280">
        <v>652.5</v>
      </c>
      <c r="GV41" s="280">
        <v>662.2</v>
      </c>
      <c r="GW41" s="280">
        <v>517</v>
      </c>
      <c r="GX41" s="280">
        <v>710.5</v>
      </c>
      <c r="GY41" s="280">
        <v>755.6</v>
      </c>
      <c r="GZ41" s="280">
        <v>727.2</v>
      </c>
      <c r="HA41" s="280">
        <v>616.6</v>
      </c>
      <c r="HB41" s="280">
        <v>650.9</v>
      </c>
      <c r="HC41" s="2" t="s">
        <v>47</v>
      </c>
      <c r="HD41" s="280">
        <v>131.4</v>
      </c>
      <c r="HE41" s="280">
        <v>167.2</v>
      </c>
      <c r="HF41" s="280">
        <v>150.69999999999999</v>
      </c>
      <c r="HG41" s="280">
        <v>173.5</v>
      </c>
      <c r="HH41" s="280">
        <v>143.80000000000001</v>
      </c>
      <c r="HI41" s="280">
        <v>169.3</v>
      </c>
      <c r="HJ41" s="280">
        <v>174</v>
      </c>
      <c r="HK41" s="280">
        <v>190.5</v>
      </c>
      <c r="HL41" s="280">
        <v>140.5</v>
      </c>
      <c r="HM41" s="280">
        <v>173.8</v>
      </c>
      <c r="HN41" s="279" t="s">
        <v>47</v>
      </c>
      <c r="HO41" s="280">
        <v>713.7</v>
      </c>
      <c r="HP41" s="280">
        <v>1059.5999999999999</v>
      </c>
      <c r="HQ41" s="280">
        <v>982.5</v>
      </c>
      <c r="HR41" s="280">
        <v>853</v>
      </c>
      <c r="HS41" s="280">
        <v>579</v>
      </c>
      <c r="HT41" s="280">
        <v>963</v>
      </c>
      <c r="HU41" s="280">
        <v>1109.9000000000001</v>
      </c>
      <c r="HV41" s="280">
        <v>1020</v>
      </c>
      <c r="HW41" s="280">
        <v>659.9</v>
      </c>
      <c r="HX41" s="280">
        <v>879.5</v>
      </c>
      <c r="HY41" s="2" t="s">
        <v>47</v>
      </c>
      <c r="HZ41" s="281"/>
      <c r="IA41" s="281"/>
      <c r="IB41" s="281"/>
      <c r="IC41" s="281"/>
      <c r="ID41" s="281"/>
      <c r="IE41" s="281"/>
      <c r="IF41" s="281"/>
      <c r="IG41" s="281"/>
      <c r="IH41" s="281"/>
      <c r="II41" s="281"/>
      <c r="IJ41" s="2" t="s">
        <v>47</v>
      </c>
      <c r="IK41" s="281"/>
      <c r="IL41" s="281"/>
      <c r="IM41" s="281"/>
      <c r="IN41" s="281"/>
      <c r="IO41" s="281"/>
      <c r="IP41" s="281"/>
      <c r="IQ41" s="281"/>
      <c r="IR41" s="281"/>
      <c r="IS41" s="281"/>
      <c r="IT41" s="281"/>
      <c r="IU41" s="2" t="s">
        <v>47</v>
      </c>
      <c r="IV41" s="280">
        <v>247.6</v>
      </c>
      <c r="IW41" s="280">
        <v>470.7</v>
      </c>
      <c r="IX41" s="280">
        <v>525.20000000000005</v>
      </c>
      <c r="IY41" s="280">
        <v>353.6</v>
      </c>
      <c r="IZ41" s="280">
        <v>210.4</v>
      </c>
      <c r="JA41" s="280">
        <v>415.7</v>
      </c>
      <c r="JB41" s="280">
        <v>556</v>
      </c>
      <c r="JC41" s="280">
        <v>460.1</v>
      </c>
      <c r="JD41" s="280">
        <v>255.2</v>
      </c>
      <c r="JE41" s="280">
        <v>417</v>
      </c>
      <c r="JF41" s="2" t="s">
        <v>47</v>
      </c>
      <c r="JG41" s="280">
        <v>198.5</v>
      </c>
      <c r="JH41" s="280">
        <v>251</v>
      </c>
      <c r="JI41" s="280">
        <v>245.8</v>
      </c>
      <c r="JJ41" s="280">
        <v>263.3</v>
      </c>
      <c r="JK41" s="280">
        <v>230.9</v>
      </c>
      <c r="JL41" s="280">
        <v>261.7</v>
      </c>
      <c r="JM41" s="280">
        <v>244.6</v>
      </c>
      <c r="JN41" s="280">
        <v>260.89999999999998</v>
      </c>
      <c r="JO41" s="280">
        <v>264.2</v>
      </c>
      <c r="JP41" s="280">
        <v>255.9</v>
      </c>
      <c r="JQ41" s="2" t="s">
        <v>47</v>
      </c>
      <c r="JR41" s="280">
        <v>654.1</v>
      </c>
      <c r="JS41" s="280">
        <v>931.5</v>
      </c>
      <c r="JT41" s="280">
        <v>852.6</v>
      </c>
      <c r="JU41" s="280">
        <v>829.5</v>
      </c>
      <c r="JV41" s="280">
        <v>617.1</v>
      </c>
      <c r="JW41" s="280">
        <v>882</v>
      </c>
      <c r="JX41" s="280">
        <v>965.8</v>
      </c>
      <c r="JY41" s="280">
        <v>883.8</v>
      </c>
      <c r="JZ41" s="280">
        <v>705.1</v>
      </c>
      <c r="KA41" s="280">
        <v>773.3</v>
      </c>
      <c r="KB41" s="2" t="s">
        <v>47</v>
      </c>
      <c r="KC41" s="280">
        <v>83.5</v>
      </c>
      <c r="KD41" s="280">
        <v>132.19999999999999</v>
      </c>
      <c r="KE41" s="280">
        <v>146.4</v>
      </c>
      <c r="KF41" s="280">
        <v>107.2</v>
      </c>
      <c r="KG41" s="280">
        <v>130</v>
      </c>
      <c r="KH41" s="280">
        <v>125.8</v>
      </c>
      <c r="KI41" s="280">
        <v>148.1</v>
      </c>
      <c r="KJ41" s="280">
        <v>147.80000000000001</v>
      </c>
      <c r="KK41" s="280">
        <v>102.6</v>
      </c>
      <c r="KL41" s="280">
        <v>121.9</v>
      </c>
      <c r="KM41" s="2" t="s">
        <v>47</v>
      </c>
      <c r="KN41" s="280">
        <v>90.6</v>
      </c>
      <c r="KO41" s="280">
        <v>90.2</v>
      </c>
      <c r="KP41" s="280">
        <v>74.8</v>
      </c>
      <c r="KQ41" s="280">
        <v>95.6</v>
      </c>
      <c r="KR41" s="280">
        <v>85</v>
      </c>
      <c r="KS41" s="280">
        <v>82.3</v>
      </c>
      <c r="KT41" s="280">
        <v>86.9</v>
      </c>
      <c r="KU41" s="280">
        <v>106.1</v>
      </c>
      <c r="KV41" s="280">
        <v>80.400000000000006</v>
      </c>
      <c r="KW41" s="280">
        <v>100.4</v>
      </c>
      <c r="KX41" s="2" t="s">
        <v>47</v>
      </c>
      <c r="KY41" s="280">
        <v>112.7</v>
      </c>
      <c r="KZ41" s="280">
        <v>173.9</v>
      </c>
      <c r="LA41" s="280">
        <v>205.8</v>
      </c>
      <c r="LB41" s="280">
        <v>128.4</v>
      </c>
      <c r="LC41" s="280">
        <v>108.7</v>
      </c>
      <c r="LD41" s="280">
        <v>211.1</v>
      </c>
      <c r="LE41" s="280">
        <v>262.8</v>
      </c>
      <c r="LF41" s="280">
        <v>144.80000000000001</v>
      </c>
      <c r="LG41" s="280">
        <v>128.69999999999999</v>
      </c>
      <c r="LH41" s="280">
        <v>230.9</v>
      </c>
      <c r="LI41" s="2" t="s">
        <v>47</v>
      </c>
      <c r="LJ41" s="280">
        <v>10.1</v>
      </c>
      <c r="LK41" s="280">
        <v>6.1</v>
      </c>
      <c r="LL41" s="280">
        <v>14.9</v>
      </c>
      <c r="LM41" s="280">
        <v>11.2</v>
      </c>
      <c r="LN41" s="280">
        <v>14.9</v>
      </c>
      <c r="LO41" s="280">
        <v>7.3</v>
      </c>
      <c r="LP41" s="280">
        <v>16.399999999999999</v>
      </c>
      <c r="LQ41" s="280">
        <v>10.4</v>
      </c>
      <c r="LR41" s="280">
        <v>7.2</v>
      </c>
      <c r="LS41" s="280">
        <v>9.1999999999999993</v>
      </c>
      <c r="LT41" s="2" t="s">
        <v>47</v>
      </c>
      <c r="LU41" s="280">
        <v>6.7</v>
      </c>
      <c r="LV41" s="280">
        <v>7.7</v>
      </c>
      <c r="LW41" s="280">
        <v>2.9</v>
      </c>
      <c r="LX41" s="280">
        <v>8.8000000000000007</v>
      </c>
      <c r="LY41" s="280">
        <v>8</v>
      </c>
      <c r="LZ41" s="280">
        <v>8</v>
      </c>
      <c r="MA41" s="280">
        <v>5.7</v>
      </c>
      <c r="MB41" s="280">
        <v>6.5</v>
      </c>
      <c r="MC41" s="280">
        <v>9.5</v>
      </c>
      <c r="MD41" s="280">
        <v>9.6</v>
      </c>
      <c r="ME41" s="2" t="s">
        <v>47</v>
      </c>
      <c r="MF41" s="280">
        <v>34.799999999999997</v>
      </c>
      <c r="MG41" s="280">
        <v>46.5</v>
      </c>
      <c r="MH41" s="280">
        <v>25.6</v>
      </c>
      <c r="MI41" s="280">
        <v>28</v>
      </c>
      <c r="MJ41" s="280">
        <v>30.6</v>
      </c>
      <c r="MK41" s="280">
        <v>29.7</v>
      </c>
      <c r="ML41" s="280">
        <v>28.6</v>
      </c>
      <c r="MM41" s="280">
        <v>39.5</v>
      </c>
      <c r="MN41" s="280">
        <v>38.799999999999997</v>
      </c>
      <c r="MO41" s="280">
        <v>47.6</v>
      </c>
      <c r="MP41" s="2" t="s">
        <v>47</v>
      </c>
      <c r="MQ41" s="280">
        <v>84.5</v>
      </c>
      <c r="MR41" s="280">
        <v>98.8</v>
      </c>
      <c r="MS41" s="280">
        <v>81.7</v>
      </c>
      <c r="MT41" s="280">
        <v>88.1</v>
      </c>
      <c r="MU41" s="280">
        <v>72.7</v>
      </c>
      <c r="MV41" s="280">
        <v>103.3</v>
      </c>
      <c r="MW41" s="280">
        <v>94.9</v>
      </c>
      <c r="MX41" s="280">
        <v>91.6</v>
      </c>
      <c r="MY41" s="280">
        <v>62.1</v>
      </c>
      <c r="MZ41" s="280">
        <v>59.2</v>
      </c>
      <c r="NA41" s="2" t="s">
        <v>47</v>
      </c>
      <c r="NB41" s="280">
        <v>132.4</v>
      </c>
      <c r="NC41" s="280">
        <v>120.1</v>
      </c>
      <c r="ND41" s="280">
        <v>91.1</v>
      </c>
      <c r="NE41" s="280">
        <v>82.1</v>
      </c>
      <c r="NF41" s="280">
        <v>67.599999999999994</v>
      </c>
      <c r="NG41" s="280">
        <v>122.1</v>
      </c>
      <c r="NH41" s="280">
        <v>113.1</v>
      </c>
      <c r="NI41" s="280">
        <v>109.4</v>
      </c>
      <c r="NJ41" s="280">
        <v>66.900000000000006</v>
      </c>
      <c r="NK41" s="280">
        <v>81.400000000000006</v>
      </c>
      <c r="NL41" s="2" t="s">
        <v>47</v>
      </c>
      <c r="NM41" s="280">
        <v>238.2</v>
      </c>
      <c r="NN41" s="280">
        <v>236.4</v>
      </c>
      <c r="NO41" s="280">
        <v>55</v>
      </c>
      <c r="NP41" s="280">
        <v>196</v>
      </c>
      <c r="NQ41" s="280">
        <v>214.6</v>
      </c>
      <c r="NR41" s="280">
        <v>163.5</v>
      </c>
      <c r="NS41" s="280">
        <v>66.2</v>
      </c>
      <c r="NT41" s="280">
        <v>254.3</v>
      </c>
      <c r="NU41" s="280">
        <v>244.5</v>
      </c>
      <c r="NV41" s="280">
        <v>197.5</v>
      </c>
      <c r="NW41" s="2" t="s">
        <v>47</v>
      </c>
      <c r="NX41" s="280">
        <v>75.3</v>
      </c>
      <c r="NY41" s="280">
        <v>76.400000000000006</v>
      </c>
      <c r="NZ41" s="280">
        <v>42.5</v>
      </c>
      <c r="OA41" s="280">
        <v>50.8</v>
      </c>
      <c r="OB41" s="280">
        <v>60.1</v>
      </c>
      <c r="OC41" s="280">
        <v>57.1</v>
      </c>
      <c r="OD41" s="280">
        <v>28.1</v>
      </c>
      <c r="OE41" s="280">
        <v>66.2</v>
      </c>
      <c r="OF41" s="280">
        <v>70.5</v>
      </c>
      <c r="OG41" s="280">
        <v>61.9</v>
      </c>
      <c r="OH41" s="191" t="s">
        <v>47</v>
      </c>
      <c r="OI41" s="192">
        <v>10</v>
      </c>
      <c r="OJ41" s="192">
        <v>10.7</v>
      </c>
      <c r="OK41" s="192">
        <v>11.2</v>
      </c>
      <c r="OL41" s="192">
        <v>9.3000000000000007</v>
      </c>
      <c r="OM41" s="192">
        <v>10.1</v>
      </c>
      <c r="ON41" s="192">
        <v>10.5</v>
      </c>
      <c r="OO41" s="192">
        <v>10.9</v>
      </c>
      <c r="OP41" s="192">
        <v>9.4</v>
      </c>
      <c r="OQ41" s="192">
        <v>11.2</v>
      </c>
      <c r="OR41" s="192">
        <v>12</v>
      </c>
      <c r="OS41" s="157" t="s">
        <v>47</v>
      </c>
      <c r="OT41" s="341"/>
      <c r="OU41" s="341"/>
      <c r="OV41" s="341"/>
      <c r="OW41" s="341"/>
      <c r="OX41" s="341"/>
      <c r="OY41" s="341"/>
      <c r="OZ41" s="341"/>
      <c r="PA41" s="341"/>
      <c r="PB41" s="341"/>
      <c r="PC41" s="341"/>
      <c r="PE41" s="185">
        <f>E41-'[1]Data-temp_employment'!F41</f>
        <v>-0.70000000000000107</v>
      </c>
      <c r="PF41" s="185">
        <f>F41-'[1]Data-temp_employment'!G41</f>
        <v>-0.59999999999999964</v>
      </c>
      <c r="PG41" s="185">
        <f>O41-'[1]Data-temp_employment'!P41</f>
        <v>279</v>
      </c>
      <c r="PH41" s="185">
        <f>P41-'[1]Data-temp_employment'!Q41</f>
        <v>-81.300000000000182</v>
      </c>
      <c r="PI41" s="185">
        <f>AD41-'[1]Data-temp_employment'!AE41</f>
        <v>35.299999999999955</v>
      </c>
      <c r="PJ41" s="185">
        <f>AE41-'[1]Data-temp_employment'!AF41</f>
        <v>8.1999999999999318</v>
      </c>
      <c r="PK41" s="185">
        <f>BR41-'[1]Data-temp_employment'!BS41</f>
        <v>6.8999999999999986</v>
      </c>
      <c r="PL41" s="185">
        <f>BS41-'[1]Data-temp_employment'!BT41</f>
        <v>-1.2000000000000028</v>
      </c>
      <c r="PM41" s="185">
        <f>CC41-'[1]Data-temp_employment'!CD41</f>
        <v>22.700000000000003</v>
      </c>
      <c r="PN41" s="185">
        <f>CD41-'[1]Data-temp_employment'!CE41</f>
        <v>6.2000000000000028</v>
      </c>
      <c r="PO41" s="185">
        <f>CR41-'[1]Data-temp_employment'!CS41</f>
        <v>-156.09999999999991</v>
      </c>
      <c r="PP41" s="185">
        <f>CS41-'[1]Data-temp_employment'!CT41</f>
        <v>201.29999999999995</v>
      </c>
      <c r="PQ41" s="185">
        <f>DC41-'[1]Data-temp_employment'!DD41</f>
        <v>-16.699999999999989</v>
      </c>
      <c r="PR41" s="185">
        <f>DD41-'[1]Data-temp_employment'!DE41</f>
        <v>36.300000000000011</v>
      </c>
      <c r="PS41" s="185">
        <f>DN41-'[1]Data-temp_employment'!DO41</f>
        <v>7</v>
      </c>
      <c r="PT41" s="185">
        <f>DO41-'[1]Data-temp_employment'!DP41</f>
        <v>39.300000000000011</v>
      </c>
      <c r="PU41" s="185">
        <f>EF41-'[1]Data-temp_employment'!EG41</f>
        <v>-2</v>
      </c>
      <c r="PV41" s="185">
        <f>EG41-'[1]Data-temp_employment'!EH41</f>
        <v>4.3999999999999986</v>
      </c>
      <c r="PW41" s="185">
        <f>EU41-'[1]Data-temp_employment'!EV41</f>
        <v>6.8999999999999915</v>
      </c>
      <c r="PX41" s="185">
        <f>EV41-'[1]Data-temp_employment'!EW41</f>
        <v>1.3999999999999986</v>
      </c>
      <c r="PY41" s="185">
        <f>FF41-'[1]Data-temp_employment'!FG41</f>
        <v>1.8000000000000043</v>
      </c>
      <c r="PZ41" s="185">
        <f>FG41-'[1]Data-temp_employment'!FH41</f>
        <v>10.199999999999996</v>
      </c>
      <c r="QA41" s="185">
        <f>FQ41-'[1]Data-temp_employment'!FR41</f>
        <v>-33</v>
      </c>
      <c r="QB41" s="185">
        <f>FR41-'[1]Data-temp_employment'!FS41</f>
        <v>7.8000000000000114</v>
      </c>
      <c r="QC41" s="185">
        <f>GB41-'[1]Data-temp_employment'!GC41</f>
        <v>-19.199999999999989</v>
      </c>
      <c r="QD41" s="185">
        <f>GC41-'[1]Data-temp_employment'!GD41</f>
        <v>16</v>
      </c>
      <c r="QE41" s="185">
        <f>GM41-'[1]Data-temp_employment'!GN41</f>
        <v>-1</v>
      </c>
      <c r="QF41" s="185">
        <f>GN41-'[1]Data-temp_employment'!GO41</f>
        <v>3.5999999999999943</v>
      </c>
      <c r="QG41" s="185">
        <f>GX41-'[1]Data-temp_employment'!GY41</f>
        <v>-17.600000000000023</v>
      </c>
      <c r="QH41" s="185">
        <f>GY41-'[1]Data-temp_employment'!GZ41</f>
        <v>103.10000000000002</v>
      </c>
      <c r="QI41" s="185">
        <f>HI41-'[1]Data-temp_employment'!HJ41</f>
        <v>2.1000000000000227</v>
      </c>
      <c r="QJ41" s="185">
        <f>HJ41-'[1]Data-temp_employment'!HK41</f>
        <v>23.300000000000011</v>
      </c>
      <c r="QK41" s="185">
        <f>HT41-'[1]Data-temp_employment'!HU41</f>
        <v>-96.599999999999909</v>
      </c>
      <c r="QL41" s="185">
        <f>HU41-'[1]Data-temp_employment'!HV41</f>
        <v>127.40000000000009</v>
      </c>
      <c r="QM41" s="185">
        <f>IE41-'[1]Data-temp_employment'!IF41</f>
        <v>0</v>
      </c>
      <c r="QN41" s="185">
        <f>IF41-'[1]Data-temp_employment'!IG41</f>
        <v>0</v>
      </c>
      <c r="QO41" s="185">
        <f>JA41-'[1]Data-temp_employment'!JB41</f>
        <v>-55</v>
      </c>
      <c r="QP41" s="185">
        <f>JB41-'[1]Data-temp_employment'!JC41</f>
        <v>30.799999999999955</v>
      </c>
      <c r="QQ41" s="185">
        <f>JH41-'[1]Data-temp_employment'!JI41</f>
        <v>12.599999999999994</v>
      </c>
      <c r="QR41" s="185">
        <f>JI41-'[1]Data-temp_employment'!JJ41</f>
        <v>48.400000000000006</v>
      </c>
      <c r="QS41" s="185">
        <f>JS41-'[1]Data-temp_employment'!JT41</f>
        <v>94.299999999999955</v>
      </c>
      <c r="QT41" s="185">
        <f>JT41-'[1]Data-temp_employment'!JU41</f>
        <v>-27.899999999999977</v>
      </c>
      <c r="QU41" s="185">
        <f>KD41-'[1]Data-temp_employment'!KE41</f>
        <v>11.399999999999991</v>
      </c>
      <c r="QV41" s="185">
        <f>KE41-'[1]Data-temp_employment'!KF41</f>
        <v>-8.2999999999999829</v>
      </c>
      <c r="QW41" s="185">
        <f>KO41-'[1]Data-temp_employment'!KP41</f>
        <v>13.5</v>
      </c>
      <c r="QX41" s="185">
        <f>KP41-'[1]Data-temp_employment'!KQ41</f>
        <v>-12.600000000000009</v>
      </c>
      <c r="QY41" s="185">
        <f>LD41-'[1]Data-temp_employment'!LE41</f>
        <v>37.199999999999989</v>
      </c>
      <c r="QZ41" s="185">
        <f>LE41-'[1]Data-temp_employment'!LF41</f>
        <v>57</v>
      </c>
      <c r="RA41" s="185">
        <f>LK41-'[1]Data-temp_employment'!LL41</f>
        <v>-1.5</v>
      </c>
      <c r="RB41" s="185">
        <f>LL41-'[1]Data-temp_employment'!LM41</f>
        <v>3.0999999999999996</v>
      </c>
      <c r="RC41" s="185">
        <f>LV41-'[1]Data-temp_employment'!LW41</f>
        <v>1.7000000000000002</v>
      </c>
      <c r="RD41" s="185">
        <f>LW41-'[1]Data-temp_employment'!LX41</f>
        <v>-2.0000000000000004</v>
      </c>
      <c r="RE41" s="185">
        <f>MK41-'[1]Data-temp_employment'!ML41</f>
        <v>-16.8</v>
      </c>
      <c r="RF41" s="185">
        <f>ML41-'[1]Data-temp_employment'!MM41</f>
        <v>3</v>
      </c>
      <c r="RG41" s="185">
        <f>MV41-'[1]Data-temp_employment'!MW41</f>
        <v>4.5</v>
      </c>
      <c r="RH41" s="185">
        <f>MW41-'[1]Data-temp_employment'!MX41</f>
        <v>13.200000000000003</v>
      </c>
      <c r="RI41" s="185">
        <f>NG41-'[1]Data-temp_employment'!NH41</f>
        <v>2</v>
      </c>
      <c r="RJ41" s="185">
        <f>NH41-'[1]Data-temp_employment'!NI41</f>
        <v>22</v>
      </c>
      <c r="RK41" s="185">
        <f>NR41-'[1]Data-temp_employment'!NS41</f>
        <v>-72.900000000000006</v>
      </c>
      <c r="RL41" s="185">
        <f>NS41-'[1]Data-temp_employment'!NT41</f>
        <v>11.200000000000003</v>
      </c>
      <c r="RM41" s="185">
        <f>OC41-'[1]Data-temp_employment'!OD41</f>
        <v>-19.300000000000004</v>
      </c>
      <c r="RN41" s="185">
        <f>OD41-'[1]Data-temp_employment'!OE41</f>
        <v>-14.399999999999999</v>
      </c>
      <c r="RO41" s="185">
        <f>OT40-'[1]Data-temp_employment'!OV41</f>
        <v>0.6</v>
      </c>
      <c r="RP41" s="185">
        <f>OU40-'[1]Data-temp_employment'!OW41</f>
        <v>0.3</v>
      </c>
    </row>
    <row r="42" spans="1:485">
      <c r="A42" s="219">
        <v>39</v>
      </c>
      <c r="B42" s="132" t="s">
        <v>43</v>
      </c>
      <c r="C42" s="332">
        <v>5.9</v>
      </c>
      <c r="D42" s="332">
        <v>6</v>
      </c>
      <c r="E42" s="332">
        <v>6</v>
      </c>
      <c r="F42" s="332">
        <v>6</v>
      </c>
      <c r="G42" s="332">
        <v>5.6</v>
      </c>
      <c r="H42" s="332">
        <v>5.6</v>
      </c>
      <c r="I42" s="332">
        <v>5.8</v>
      </c>
      <c r="J42" s="332">
        <v>5.6</v>
      </c>
      <c r="K42" s="332">
        <v>5.5</v>
      </c>
      <c r="L42" s="332">
        <v>5.4</v>
      </c>
      <c r="M42" s="127" t="s">
        <v>43</v>
      </c>
      <c r="N42" s="332">
        <v>1516.9</v>
      </c>
      <c r="O42" s="332">
        <v>1554.4</v>
      </c>
      <c r="P42" s="332">
        <v>1557.8</v>
      </c>
      <c r="Q42" s="332">
        <v>1553.4</v>
      </c>
      <c r="R42" s="332">
        <v>1456</v>
      </c>
      <c r="S42" s="332">
        <v>1475.3</v>
      </c>
      <c r="T42" s="332">
        <v>1528</v>
      </c>
      <c r="U42" s="332">
        <v>1472.6</v>
      </c>
      <c r="V42" s="332">
        <v>1467.1</v>
      </c>
      <c r="W42" s="332">
        <v>1443.9</v>
      </c>
      <c r="X42" s="120" t="s">
        <v>43</v>
      </c>
      <c r="Y42" s="332">
        <v>26</v>
      </c>
      <c r="Z42" s="332">
        <v>34.4</v>
      </c>
      <c r="AA42" s="332">
        <v>32.9</v>
      </c>
      <c r="AB42" s="332">
        <v>32.1</v>
      </c>
      <c r="AC42" s="332">
        <v>25.7</v>
      </c>
      <c r="AD42" s="332">
        <v>30.7</v>
      </c>
      <c r="AE42" s="332">
        <v>44.7</v>
      </c>
      <c r="AF42" s="332">
        <v>31.7</v>
      </c>
      <c r="AG42" s="332">
        <v>31.4</v>
      </c>
      <c r="AH42" s="332">
        <v>38.799999999999997</v>
      </c>
      <c r="AI42" s="119" t="s">
        <v>43</v>
      </c>
      <c r="AJ42" s="332">
        <v>44.1</v>
      </c>
      <c r="AK42" s="332">
        <v>56.9</v>
      </c>
      <c r="AL42" s="332">
        <v>98.7</v>
      </c>
      <c r="AM42" s="332">
        <v>74.7</v>
      </c>
      <c r="AN42" s="332">
        <v>50.3</v>
      </c>
      <c r="AO42" s="332">
        <v>61.4</v>
      </c>
      <c r="AP42" s="332">
        <v>78.8</v>
      </c>
      <c r="AQ42" s="332">
        <v>64.599999999999994</v>
      </c>
      <c r="AR42" s="332">
        <v>33.799999999999997</v>
      </c>
      <c r="AS42" s="332">
        <v>50.7</v>
      </c>
      <c r="AT42" s="119" t="s">
        <v>43</v>
      </c>
      <c r="AU42" s="332">
        <v>96.1</v>
      </c>
      <c r="AV42" s="332">
        <v>106.2</v>
      </c>
      <c r="AW42" s="332">
        <v>82.9</v>
      </c>
      <c r="AX42" s="332">
        <v>100.3</v>
      </c>
      <c r="AY42" s="332">
        <v>85.8</v>
      </c>
      <c r="AZ42" s="332">
        <v>78.5</v>
      </c>
      <c r="BA42" s="332">
        <v>105.7</v>
      </c>
      <c r="BB42" s="332">
        <v>112.4</v>
      </c>
      <c r="BC42" s="332">
        <v>90.9</v>
      </c>
      <c r="BD42" s="332">
        <v>97.6</v>
      </c>
      <c r="BE42" s="119" t="s">
        <v>43</v>
      </c>
      <c r="BF42" s="280">
        <v>183.4</v>
      </c>
      <c r="BG42" s="280">
        <v>184</v>
      </c>
      <c r="BH42" s="280">
        <v>162.69999999999999</v>
      </c>
      <c r="BI42" s="280">
        <v>184.2</v>
      </c>
      <c r="BJ42" s="280">
        <v>181.1</v>
      </c>
      <c r="BK42" s="280">
        <v>177.3</v>
      </c>
      <c r="BL42" s="280">
        <v>175.4</v>
      </c>
      <c r="BM42" s="280">
        <v>187.5</v>
      </c>
      <c r="BN42" s="280">
        <v>194.2</v>
      </c>
      <c r="BO42" s="280">
        <v>178.6</v>
      </c>
      <c r="BP42" s="6" t="s">
        <v>43</v>
      </c>
      <c r="BQ42" s="7">
        <v>178.7</v>
      </c>
      <c r="BR42" s="7">
        <v>155.80000000000001</v>
      </c>
      <c r="BS42" s="7">
        <v>182.2</v>
      </c>
      <c r="BT42" s="7">
        <v>183.7</v>
      </c>
      <c r="BU42" s="7">
        <v>188.60000000000002</v>
      </c>
      <c r="BV42" s="7">
        <v>190.2</v>
      </c>
      <c r="BW42" s="7">
        <v>179.5</v>
      </c>
      <c r="BX42" s="7">
        <v>174.1</v>
      </c>
      <c r="BY42" s="7">
        <v>171.6</v>
      </c>
      <c r="BZ42" s="7">
        <v>170</v>
      </c>
      <c r="CA42" s="6" t="s">
        <v>43</v>
      </c>
      <c r="CB42" s="7">
        <v>152.9</v>
      </c>
      <c r="CC42" s="7">
        <v>148.80000000000001</v>
      </c>
      <c r="CD42" s="7">
        <v>156</v>
      </c>
      <c r="CE42" s="7">
        <v>154.5</v>
      </c>
      <c r="CF42" s="7">
        <v>159.9</v>
      </c>
      <c r="CG42" s="7">
        <v>155.5</v>
      </c>
      <c r="CH42" s="7">
        <v>160.6</v>
      </c>
      <c r="CI42" s="7">
        <v>144.4</v>
      </c>
      <c r="CJ42" s="7">
        <v>150.89999999999998</v>
      </c>
      <c r="CK42" s="7">
        <v>154.1</v>
      </c>
      <c r="CL42" s="129" t="s">
        <v>43</v>
      </c>
      <c r="CM42" s="280">
        <v>180.4</v>
      </c>
      <c r="CN42" s="280">
        <v>181.2</v>
      </c>
      <c r="CO42" s="280">
        <v>168.2</v>
      </c>
      <c r="CP42" s="280">
        <v>195.8</v>
      </c>
      <c r="CQ42" s="280">
        <v>187.7</v>
      </c>
      <c r="CR42" s="280">
        <v>207.6</v>
      </c>
      <c r="CS42" s="280">
        <v>199.4</v>
      </c>
      <c r="CT42" s="280">
        <v>176.1</v>
      </c>
      <c r="CU42" s="280">
        <v>187</v>
      </c>
      <c r="CV42" s="280">
        <v>188.5</v>
      </c>
      <c r="CW42" s="130" t="s">
        <v>43</v>
      </c>
      <c r="CX42" s="280">
        <v>611.29999999999995</v>
      </c>
      <c r="CY42" s="280">
        <v>637.70000000000005</v>
      </c>
      <c r="CZ42" s="280">
        <v>663.4</v>
      </c>
      <c r="DA42" s="280">
        <v>671</v>
      </c>
      <c r="DB42" s="280">
        <v>576.6</v>
      </c>
      <c r="DC42" s="280">
        <v>573.6</v>
      </c>
      <c r="DD42" s="280">
        <v>612.29999999999995</v>
      </c>
      <c r="DE42" s="280">
        <v>576.9</v>
      </c>
      <c r="DF42" s="280">
        <v>556.5</v>
      </c>
      <c r="DG42" s="280">
        <v>556.4</v>
      </c>
      <c r="DH42" s="131" t="s">
        <v>43</v>
      </c>
      <c r="DI42" s="280">
        <v>723.3</v>
      </c>
      <c r="DJ42" s="280">
        <v>732.4</v>
      </c>
      <c r="DK42" s="280">
        <v>725.6</v>
      </c>
      <c r="DL42" s="280">
        <v>684.7</v>
      </c>
      <c r="DM42" s="280">
        <v>690.9</v>
      </c>
      <c r="DN42" s="280">
        <v>692.6</v>
      </c>
      <c r="DO42" s="280">
        <v>713.8</v>
      </c>
      <c r="DP42" s="280">
        <v>719.6</v>
      </c>
      <c r="DQ42" s="280">
        <v>722.5</v>
      </c>
      <c r="DR42" s="280">
        <v>696.7</v>
      </c>
      <c r="DS42" s="132" t="s">
        <v>43</v>
      </c>
      <c r="DT42" s="281"/>
      <c r="DU42" s="281"/>
      <c r="DV42" s="281"/>
      <c r="DW42" s="281"/>
      <c r="DX42" s="281"/>
      <c r="DY42" s="281"/>
      <c r="DZ42" s="281"/>
      <c r="EA42" s="281"/>
      <c r="EB42" s="281"/>
      <c r="EC42" s="281"/>
      <c r="ED42" s="2" t="s">
        <v>43</v>
      </c>
      <c r="EE42" s="280">
        <v>44.4</v>
      </c>
      <c r="EF42" s="280">
        <v>44.8</v>
      </c>
      <c r="EG42" s="280">
        <v>49.4</v>
      </c>
      <c r="EH42" s="280">
        <v>53.5</v>
      </c>
      <c r="EI42" s="280">
        <v>54.4</v>
      </c>
      <c r="EJ42" s="280">
        <v>40.200000000000003</v>
      </c>
      <c r="EK42" s="280">
        <v>48.3</v>
      </c>
      <c r="EL42" s="280">
        <v>50.3</v>
      </c>
      <c r="EM42" s="280">
        <v>54.8</v>
      </c>
      <c r="EN42" s="280">
        <v>38.9</v>
      </c>
      <c r="EO42" s="2" t="s">
        <v>43</v>
      </c>
      <c r="EP42" s="280">
        <v>409.4</v>
      </c>
      <c r="EQ42" s="280">
        <v>433.7</v>
      </c>
      <c r="ER42" s="280">
        <v>415.4</v>
      </c>
      <c r="ES42" s="280">
        <v>378.3</v>
      </c>
      <c r="ET42" s="280">
        <v>385.2</v>
      </c>
      <c r="EU42" s="280">
        <v>372.4</v>
      </c>
      <c r="EV42" s="280">
        <v>390.9</v>
      </c>
      <c r="EW42" s="280">
        <v>375.8</v>
      </c>
      <c r="EX42" s="280">
        <v>386.9</v>
      </c>
      <c r="EY42" s="280">
        <v>406.5</v>
      </c>
      <c r="EZ42" s="2" t="s">
        <v>43</v>
      </c>
      <c r="FA42" s="280">
        <v>159.6</v>
      </c>
      <c r="FB42" s="280">
        <v>176</v>
      </c>
      <c r="FC42" s="280">
        <v>149.19999999999999</v>
      </c>
      <c r="FD42" s="280">
        <v>149.4</v>
      </c>
      <c r="FE42" s="280">
        <v>151.80000000000001</v>
      </c>
      <c r="FF42" s="280">
        <v>161.69999999999999</v>
      </c>
      <c r="FG42" s="280">
        <v>159.80000000000001</v>
      </c>
      <c r="FH42" s="280">
        <v>160.1</v>
      </c>
      <c r="FI42" s="280">
        <v>160.9</v>
      </c>
      <c r="FJ42" s="280">
        <v>159.5</v>
      </c>
      <c r="FK42" s="2" t="s">
        <v>43</v>
      </c>
      <c r="FL42" s="280">
        <v>178.6</v>
      </c>
      <c r="FM42" s="280">
        <v>175.8</v>
      </c>
      <c r="FN42" s="280">
        <v>176.4</v>
      </c>
      <c r="FO42" s="280">
        <v>169.4</v>
      </c>
      <c r="FP42" s="280">
        <v>164.2</v>
      </c>
      <c r="FQ42" s="280">
        <v>161.1</v>
      </c>
      <c r="FR42" s="280">
        <v>186</v>
      </c>
      <c r="FS42" s="280">
        <v>182.3</v>
      </c>
      <c r="FT42" s="280">
        <v>182.6</v>
      </c>
      <c r="FU42" s="280">
        <v>188.5</v>
      </c>
      <c r="FV42" s="2" t="s">
        <v>43</v>
      </c>
      <c r="FW42" s="280">
        <v>373.7</v>
      </c>
      <c r="FX42" s="280">
        <v>385.1</v>
      </c>
      <c r="FY42" s="280">
        <v>407.3</v>
      </c>
      <c r="FZ42" s="280">
        <v>414.4</v>
      </c>
      <c r="GA42" s="280">
        <v>370.1</v>
      </c>
      <c r="GB42" s="280">
        <v>380</v>
      </c>
      <c r="GC42" s="280">
        <v>377.9</v>
      </c>
      <c r="GD42" s="280">
        <v>367.3</v>
      </c>
      <c r="GE42" s="280">
        <v>344.6</v>
      </c>
      <c r="GF42" s="280">
        <v>332.4</v>
      </c>
      <c r="GG42" s="2" t="s">
        <v>43</v>
      </c>
      <c r="GH42" s="281"/>
      <c r="GI42" s="281"/>
      <c r="GJ42" s="281"/>
      <c r="GK42" s="281"/>
      <c r="GL42" s="281"/>
      <c r="GM42" s="281"/>
      <c r="GN42" s="280"/>
      <c r="GO42" s="281"/>
      <c r="GP42" s="281"/>
      <c r="GQ42" s="281"/>
      <c r="GR42" s="2" t="s">
        <v>43</v>
      </c>
      <c r="GS42" s="280">
        <v>54.4</v>
      </c>
      <c r="GT42" s="280">
        <v>59.8</v>
      </c>
      <c r="GU42" s="280">
        <v>61.3</v>
      </c>
      <c r="GV42" s="280">
        <v>60.3</v>
      </c>
      <c r="GW42" s="280">
        <v>46.5</v>
      </c>
      <c r="GX42" s="280">
        <v>53.1</v>
      </c>
      <c r="GY42" s="280">
        <v>53.9</v>
      </c>
      <c r="GZ42" s="280">
        <v>47.2</v>
      </c>
      <c r="HA42" s="280">
        <v>60</v>
      </c>
      <c r="HB42" s="280">
        <v>53.9</v>
      </c>
      <c r="HC42" s="2" t="s">
        <v>43</v>
      </c>
      <c r="HD42" s="280">
        <v>59.7</v>
      </c>
      <c r="HE42" s="280">
        <v>55.9</v>
      </c>
      <c r="HF42" s="280">
        <v>59.1</v>
      </c>
      <c r="HG42" s="280">
        <v>62.6</v>
      </c>
      <c r="HH42" s="280">
        <v>61.7</v>
      </c>
      <c r="HI42" s="280">
        <v>74.7</v>
      </c>
      <c r="HJ42" s="280">
        <v>74.2</v>
      </c>
      <c r="HK42" s="280">
        <v>79</v>
      </c>
      <c r="HL42" s="280">
        <v>74.900000000000006</v>
      </c>
      <c r="HM42" s="280">
        <v>60.1</v>
      </c>
      <c r="HN42" s="279" t="s">
        <v>43</v>
      </c>
      <c r="HO42" s="280">
        <v>228.4</v>
      </c>
      <c r="HP42" s="280">
        <v>210.7</v>
      </c>
      <c r="HQ42" s="280">
        <v>226.7</v>
      </c>
      <c r="HR42" s="280">
        <v>256.7</v>
      </c>
      <c r="HS42" s="280">
        <v>209.5</v>
      </c>
      <c r="HT42" s="280">
        <v>215.6</v>
      </c>
      <c r="HU42" s="280">
        <v>218.7</v>
      </c>
      <c r="HV42" s="280">
        <v>203.3</v>
      </c>
      <c r="HW42" s="280">
        <v>196.7</v>
      </c>
      <c r="HX42" s="280">
        <v>197.9</v>
      </c>
      <c r="HY42" s="2" t="s">
        <v>43</v>
      </c>
      <c r="HZ42" s="281"/>
      <c r="IA42" s="281"/>
      <c r="IB42" s="281"/>
      <c r="IC42" s="281"/>
      <c r="ID42" s="281"/>
      <c r="IE42" s="281"/>
      <c r="IF42" s="281"/>
      <c r="IG42" s="281"/>
      <c r="IH42" s="281"/>
      <c r="II42" s="281"/>
      <c r="IJ42" s="2" t="s">
        <v>43</v>
      </c>
      <c r="IK42" s="281"/>
      <c r="IL42" s="281"/>
      <c r="IM42" s="281"/>
      <c r="IN42" s="281"/>
      <c r="IO42" s="281"/>
      <c r="IP42" s="281"/>
      <c r="IQ42" s="281"/>
      <c r="IR42" s="281"/>
      <c r="IS42" s="281"/>
      <c r="IT42" s="281"/>
      <c r="IU42" s="2" t="s">
        <v>43</v>
      </c>
      <c r="IV42" s="281"/>
      <c r="IW42" s="281"/>
      <c r="IX42" s="280"/>
      <c r="IY42" s="280"/>
      <c r="IZ42" s="281"/>
      <c r="JA42" s="280"/>
      <c r="JB42" s="281"/>
      <c r="JC42" s="281"/>
      <c r="JD42" s="281"/>
      <c r="JE42" s="281"/>
      <c r="JF42" s="2" t="s">
        <v>43</v>
      </c>
      <c r="JG42" s="280">
        <v>118.2</v>
      </c>
      <c r="JH42" s="280">
        <v>120.5</v>
      </c>
      <c r="JI42" s="280">
        <v>128</v>
      </c>
      <c r="JJ42" s="280">
        <v>107.6</v>
      </c>
      <c r="JK42" s="280">
        <v>101.1</v>
      </c>
      <c r="JL42" s="280">
        <v>102.6</v>
      </c>
      <c r="JM42" s="280">
        <v>101.1</v>
      </c>
      <c r="JN42" s="280">
        <v>106.8</v>
      </c>
      <c r="JO42" s="280">
        <v>106.8</v>
      </c>
      <c r="JP42" s="280">
        <v>97.2</v>
      </c>
      <c r="JQ42" s="2" t="s">
        <v>43</v>
      </c>
      <c r="JR42" s="280">
        <v>61.2</v>
      </c>
      <c r="JS42" s="280">
        <v>57.3</v>
      </c>
      <c r="JT42" s="280">
        <v>56.1</v>
      </c>
      <c r="JU42" s="280">
        <v>57.8</v>
      </c>
      <c r="JV42" s="280">
        <v>50.1</v>
      </c>
      <c r="JW42" s="280">
        <v>51.2</v>
      </c>
      <c r="JX42" s="280">
        <v>57.5</v>
      </c>
      <c r="JY42" s="280">
        <v>47.3</v>
      </c>
      <c r="JZ42" s="280">
        <v>49.7</v>
      </c>
      <c r="KA42" s="280">
        <v>46.4</v>
      </c>
      <c r="KB42" s="2" t="s">
        <v>43</v>
      </c>
      <c r="KC42" s="280">
        <v>156.19999999999999</v>
      </c>
      <c r="KD42" s="280">
        <v>143.6</v>
      </c>
      <c r="KE42" s="280">
        <v>159.5</v>
      </c>
      <c r="KF42" s="280">
        <v>173.4</v>
      </c>
      <c r="KG42" s="280">
        <v>140.5</v>
      </c>
      <c r="KH42" s="280">
        <v>116.1</v>
      </c>
      <c r="KI42" s="280">
        <v>130.4</v>
      </c>
      <c r="KJ42" s="280">
        <v>149</v>
      </c>
      <c r="KK42" s="280">
        <v>132.6</v>
      </c>
      <c r="KL42" s="280">
        <v>128.6</v>
      </c>
      <c r="KM42" s="2" t="s">
        <v>43</v>
      </c>
      <c r="KN42" s="280">
        <v>67</v>
      </c>
      <c r="KO42" s="280">
        <v>53.5</v>
      </c>
      <c r="KP42" s="280">
        <v>56.8</v>
      </c>
      <c r="KQ42" s="280">
        <v>71.599999999999994</v>
      </c>
      <c r="KR42" s="280">
        <v>52.9</v>
      </c>
      <c r="KS42" s="280">
        <v>52.5</v>
      </c>
      <c r="KT42" s="280">
        <v>68</v>
      </c>
      <c r="KU42" s="280">
        <v>64</v>
      </c>
      <c r="KV42" s="280">
        <v>53.6</v>
      </c>
      <c r="KW42" s="280">
        <v>57.8</v>
      </c>
      <c r="KX42" s="2" t="s">
        <v>43</v>
      </c>
      <c r="KY42" s="280">
        <v>145</v>
      </c>
      <c r="KZ42" s="280">
        <v>173.6</v>
      </c>
      <c r="LA42" s="280">
        <v>174.2</v>
      </c>
      <c r="LB42" s="280">
        <v>161.9</v>
      </c>
      <c r="LC42" s="280">
        <v>143.69999999999999</v>
      </c>
      <c r="LD42" s="280">
        <v>162.5</v>
      </c>
      <c r="LE42" s="280">
        <v>159.5</v>
      </c>
      <c r="LF42" s="280">
        <v>126.1</v>
      </c>
      <c r="LG42" s="280">
        <v>122.6</v>
      </c>
      <c r="LH42" s="280">
        <v>128.5</v>
      </c>
      <c r="LI42" s="2" t="s">
        <v>43</v>
      </c>
      <c r="LJ42" s="280">
        <v>33.1</v>
      </c>
      <c r="LK42" s="280">
        <v>44.5</v>
      </c>
      <c r="LL42" s="280">
        <v>40.200000000000003</v>
      </c>
      <c r="LM42" s="280">
        <v>37.799999999999997</v>
      </c>
      <c r="LN42" s="280">
        <v>39</v>
      </c>
      <c r="LO42" s="280">
        <v>45.8</v>
      </c>
      <c r="LP42" s="280">
        <v>41.1</v>
      </c>
      <c r="LQ42" s="280">
        <v>33.5</v>
      </c>
      <c r="LR42" s="280">
        <v>38.200000000000003</v>
      </c>
      <c r="LS42" s="280">
        <v>40.200000000000003</v>
      </c>
      <c r="LT42" s="2" t="s">
        <v>43</v>
      </c>
      <c r="LU42" s="280">
        <v>33.4</v>
      </c>
      <c r="LV42" s="280">
        <v>33.4</v>
      </c>
      <c r="LW42" s="280">
        <v>31.8</v>
      </c>
      <c r="LX42" s="280">
        <v>26.3</v>
      </c>
      <c r="LY42" s="280">
        <v>34.6</v>
      </c>
      <c r="LZ42" s="280">
        <v>31.5</v>
      </c>
      <c r="MA42" s="280">
        <v>31.4</v>
      </c>
      <c r="MB42" s="280">
        <v>35</v>
      </c>
      <c r="MC42" s="280">
        <v>34.700000000000003</v>
      </c>
      <c r="MD42" s="280">
        <v>28.8</v>
      </c>
      <c r="ME42" s="2" t="s">
        <v>43</v>
      </c>
      <c r="MF42" s="280">
        <v>58.3</v>
      </c>
      <c r="MG42" s="280">
        <v>67.099999999999994</v>
      </c>
      <c r="MH42" s="280">
        <v>70.599999999999994</v>
      </c>
      <c r="MI42" s="280">
        <v>66.5</v>
      </c>
      <c r="MJ42" s="280">
        <v>64</v>
      </c>
      <c r="MK42" s="280">
        <v>61</v>
      </c>
      <c r="ML42" s="280">
        <v>75.099999999999994</v>
      </c>
      <c r="MM42" s="280">
        <v>92.8</v>
      </c>
      <c r="MN42" s="280">
        <v>80.400000000000006</v>
      </c>
      <c r="MO42" s="280">
        <v>89.5</v>
      </c>
      <c r="MP42" s="2" t="s">
        <v>43</v>
      </c>
      <c r="MQ42" s="280">
        <v>85.3</v>
      </c>
      <c r="MR42" s="280">
        <v>81.900000000000006</v>
      </c>
      <c r="MS42" s="280">
        <v>79.5</v>
      </c>
      <c r="MT42" s="280">
        <v>95.1</v>
      </c>
      <c r="MU42" s="280">
        <v>97.4</v>
      </c>
      <c r="MV42" s="280">
        <v>97.3</v>
      </c>
      <c r="MW42" s="280">
        <v>95.6</v>
      </c>
      <c r="MX42" s="280">
        <v>89.1</v>
      </c>
      <c r="MY42" s="280">
        <v>78.8</v>
      </c>
      <c r="MZ42" s="280">
        <v>80.099999999999994</v>
      </c>
      <c r="NA42" s="2" t="s">
        <v>43</v>
      </c>
      <c r="NB42" s="280">
        <v>58.2</v>
      </c>
      <c r="NC42" s="280">
        <v>66.8</v>
      </c>
      <c r="ND42" s="280">
        <v>74</v>
      </c>
      <c r="NE42" s="280">
        <v>76.599999999999994</v>
      </c>
      <c r="NF42" s="280">
        <v>72</v>
      </c>
      <c r="NG42" s="280">
        <v>79.7</v>
      </c>
      <c r="NH42" s="280">
        <v>86</v>
      </c>
      <c r="NI42" s="280">
        <v>89.5</v>
      </c>
      <c r="NJ42" s="280">
        <v>98.5</v>
      </c>
      <c r="NK42" s="280">
        <v>93.9</v>
      </c>
      <c r="NL42" s="2" t="s">
        <v>43</v>
      </c>
      <c r="NM42" s="280">
        <v>314.3</v>
      </c>
      <c r="NN42" s="280">
        <v>315.39999999999998</v>
      </c>
      <c r="NO42" s="280">
        <v>292.8</v>
      </c>
      <c r="NP42" s="280">
        <v>285.7</v>
      </c>
      <c r="NQ42" s="280">
        <v>316.10000000000002</v>
      </c>
      <c r="NR42" s="280">
        <v>310.3</v>
      </c>
      <c r="NS42" s="280">
        <v>290.7</v>
      </c>
      <c r="NT42" s="280">
        <v>271.60000000000002</v>
      </c>
      <c r="NU42" s="280">
        <v>269.3</v>
      </c>
      <c r="NV42" s="280">
        <v>275.60000000000002</v>
      </c>
      <c r="NW42" s="2" t="s">
        <v>43</v>
      </c>
      <c r="NX42" s="280">
        <v>228.1</v>
      </c>
      <c r="NY42" s="280">
        <v>220.3</v>
      </c>
      <c r="NZ42" s="280">
        <v>219.1</v>
      </c>
      <c r="OA42" s="280">
        <v>219.5</v>
      </c>
      <c r="OB42" s="280">
        <v>205.8</v>
      </c>
      <c r="OC42" s="280">
        <v>214.9</v>
      </c>
      <c r="OD42" s="280">
        <v>213.4</v>
      </c>
      <c r="OE42" s="280">
        <v>195.9</v>
      </c>
      <c r="OF42" s="280">
        <v>238.7</v>
      </c>
      <c r="OG42" s="280">
        <v>214.2</v>
      </c>
      <c r="OH42" s="191" t="s">
        <v>43</v>
      </c>
      <c r="OI42" s="192">
        <v>6.1</v>
      </c>
      <c r="OJ42" s="192">
        <v>5.5</v>
      </c>
      <c r="OK42" s="192">
        <v>5.5</v>
      </c>
      <c r="OL42" s="192">
        <v>5.5</v>
      </c>
      <c r="OM42" s="192">
        <v>5.5</v>
      </c>
      <c r="ON42" s="192">
        <v>4.9000000000000004</v>
      </c>
      <c r="OO42" s="192">
        <v>5</v>
      </c>
      <c r="OP42" s="192">
        <v>4.8</v>
      </c>
      <c r="OQ42" s="192">
        <v>5</v>
      </c>
      <c r="OR42" s="192">
        <v>4.5999999999999996</v>
      </c>
      <c r="OS42" s="159" t="s">
        <v>43</v>
      </c>
      <c r="OT42" s="340">
        <v>0.3</v>
      </c>
      <c r="OU42" s="340">
        <v>0.2</v>
      </c>
      <c r="OV42" s="340">
        <v>0.5</v>
      </c>
      <c r="OW42" s="340">
        <v>0.7</v>
      </c>
      <c r="OX42" s="340">
        <v>0.4</v>
      </c>
      <c r="OY42" s="340">
        <v>0.3</v>
      </c>
      <c r="OZ42" s="340">
        <v>0.4</v>
      </c>
      <c r="PA42" s="340">
        <v>0.4</v>
      </c>
      <c r="PB42" s="340">
        <v>0.1</v>
      </c>
      <c r="PC42" s="340">
        <v>0.4</v>
      </c>
    </row>
    <row r="43" spans="1:485">
      <c r="IK43" s="249"/>
      <c r="IL43" s="249"/>
      <c r="IM43" s="249"/>
      <c r="IN43" s="249"/>
      <c r="IO43" s="249"/>
      <c r="IP43" s="249"/>
      <c r="IQ43" s="249"/>
      <c r="IR43" s="249"/>
      <c r="IS43" s="249"/>
      <c r="IT43" s="249"/>
    </row>
    <row r="46" spans="1:485">
      <c r="B46" s="132" t="str">
        <f>B3</f>
        <v>GEO/TIME</v>
      </c>
      <c r="C46" s="158" t="s">
        <v>9</v>
      </c>
      <c r="D46" s="158" t="s">
        <v>10</v>
      </c>
      <c r="E46" s="158" t="s">
        <v>58</v>
      </c>
      <c r="F46" s="158" t="s">
        <v>325</v>
      </c>
      <c r="G46" s="158" t="s">
        <v>384</v>
      </c>
      <c r="H46" s="158" t="s">
        <v>409</v>
      </c>
      <c r="I46" s="158" t="s">
        <v>436</v>
      </c>
      <c r="J46" s="158" t="s">
        <v>445</v>
      </c>
      <c r="K46" s="158" t="s">
        <v>545</v>
      </c>
      <c r="L46" s="158" t="s">
        <v>549</v>
      </c>
      <c r="M46" s="121" t="str">
        <f>M3</f>
        <v>GEO/TIME</v>
      </c>
      <c r="N46" s="132" t="str">
        <f t="shared" ref="N46:W46" si="0">N3</f>
        <v>2016Q1</v>
      </c>
      <c r="O46" s="132" t="str">
        <f t="shared" si="0"/>
        <v>2016Q2</v>
      </c>
      <c r="P46" s="132" t="str">
        <f t="shared" si="0"/>
        <v>2016Q3</v>
      </c>
      <c r="Q46" s="132" t="str">
        <f t="shared" si="0"/>
        <v>2016Q4</v>
      </c>
      <c r="R46" s="132" t="str">
        <f t="shared" si="0"/>
        <v>2017Q1</v>
      </c>
      <c r="S46" s="132" t="str">
        <f t="shared" si="0"/>
        <v>2017Q2</v>
      </c>
      <c r="T46" s="132" t="str">
        <f t="shared" si="0"/>
        <v>2017Q3</v>
      </c>
      <c r="U46" s="132" t="str">
        <f t="shared" si="0"/>
        <v>2017Q4</v>
      </c>
      <c r="V46" s="132" t="str">
        <f t="shared" si="0"/>
        <v>2018Q1</v>
      </c>
      <c r="W46" s="132" t="str">
        <f t="shared" si="0"/>
        <v>2018Q2</v>
      </c>
    </row>
    <row r="47" spans="1:485">
      <c r="B47" s="132" t="str">
        <f>B4</f>
        <v>European Union (28 countries)</v>
      </c>
      <c r="G47" s="125">
        <f>G4/C4-1</f>
        <v>7.2992700729928028E-3</v>
      </c>
      <c r="H47" s="125">
        <f t="shared" ref="H47:H85" si="1">H4/D4-1</f>
        <v>0</v>
      </c>
      <c r="I47" s="125">
        <f t="shared" ref="I47:I85" si="2">I4/E4-1</f>
        <v>1.3698630136986356E-2</v>
      </c>
      <c r="J47" s="125">
        <f t="shared" ref="J47:J85" si="3">J4/F4-1</f>
        <v>0</v>
      </c>
      <c r="K47" s="125">
        <f>K4/G4-1</f>
        <v>7.2463768115942351E-3</v>
      </c>
      <c r="L47" s="125">
        <f t="shared" ref="L47:L85" si="4">L4/H4-1</f>
        <v>-6.9444444444444198E-3</v>
      </c>
      <c r="M47" s="132" t="str">
        <f>M4</f>
        <v>European Union (28 countries)</v>
      </c>
      <c r="R47" s="125">
        <f>R4/N4-1</f>
        <v>2.0093337305133518E-2</v>
      </c>
      <c r="S47" s="125">
        <f t="shared" ref="S47:W47" si="5">S4/O4-1</f>
        <v>2.3916640713822046E-2</v>
      </c>
      <c r="T47" s="125">
        <f t="shared" si="5"/>
        <v>3.214473013463004E-2</v>
      </c>
      <c r="U47" s="125">
        <f t="shared" si="5"/>
        <v>2.3506035840143991E-2</v>
      </c>
      <c r="V47" s="125">
        <f t="shared" si="5"/>
        <v>2.527313361938055E-2</v>
      </c>
      <c r="W47" s="125">
        <f t="shared" si="5"/>
        <v>5.6910837245265355E-3</v>
      </c>
    </row>
    <row r="48" spans="1:485">
      <c r="B48" s="132" t="str">
        <f t="shared" ref="B48:B85" si="6">B5</f>
        <v>European Union (27 countries)</v>
      </c>
      <c r="G48" s="125">
        <f t="shared" ref="G48:G85" si="7">G5/C5-1</f>
        <v>0</v>
      </c>
      <c r="H48" s="125">
        <f t="shared" si="1"/>
        <v>6.9930069930068672E-3</v>
      </c>
      <c r="I48" s="125">
        <f t="shared" si="2"/>
        <v>1.379310344827589E-2</v>
      </c>
      <c r="J48" s="125">
        <f t="shared" si="3"/>
        <v>7.0422535211267512E-3</v>
      </c>
      <c r="K48" s="125">
        <f t="shared" ref="K48:K85" si="8">K5/G5-1</f>
        <v>7.2992700729928028E-3</v>
      </c>
      <c r="L48" s="125">
        <f t="shared" si="4"/>
        <v>-6.9444444444444198E-3</v>
      </c>
      <c r="M48" s="132" t="str">
        <f t="shared" ref="M48:M85" si="9">M5</f>
        <v>European Union (27 countries)</v>
      </c>
      <c r="R48" s="125">
        <f t="shared" ref="R48:R85" si="10">R5/N5-1</f>
        <v>2.086636773460615E-2</v>
      </c>
      <c r="S48" s="125">
        <f t="shared" ref="S48:S85" si="11">S5/O5-1</f>
        <v>2.4773175242775558E-2</v>
      </c>
      <c r="T48" s="125">
        <f t="shared" ref="T48:T85" si="12">T5/P5-1</f>
        <v>3.2953076957354721E-2</v>
      </c>
      <c r="U48" s="125">
        <f t="shared" ref="U48:U85" si="13">U5/Q5-1</f>
        <v>2.3734375059203394E-2</v>
      </c>
      <c r="V48" s="125">
        <f t="shared" ref="V48:V85" si="14">V5/R5-1</f>
        <v>2.471815561506352E-2</v>
      </c>
      <c r="W48" s="125">
        <f t="shared" ref="W48:W85" si="15">W5/S5-1</f>
        <v>6.1445640250230582E-3</v>
      </c>
    </row>
    <row r="49" spans="2:24">
      <c r="B49" s="132" t="str">
        <f t="shared" si="6"/>
        <v>European Union (15 countries)</v>
      </c>
      <c r="G49" s="125">
        <f t="shared" si="7"/>
        <v>2.2058823529411908E-2</v>
      </c>
      <c r="H49" s="125">
        <f t="shared" si="1"/>
        <v>2.0979020979020824E-2</v>
      </c>
      <c r="I49" s="125">
        <f t="shared" si="2"/>
        <v>2.7397260273972712E-2</v>
      </c>
      <c r="J49" s="125">
        <f t="shared" si="3"/>
        <v>1.388888888888884E-2</v>
      </c>
      <c r="K49" s="125">
        <f t="shared" si="8"/>
        <v>1.4388489208633004E-2</v>
      </c>
      <c r="L49" s="125">
        <f t="shared" si="4"/>
        <v>6.8493150684931781E-3</v>
      </c>
      <c r="M49" s="132" t="str">
        <f t="shared" si="9"/>
        <v>European Union (15 countries)</v>
      </c>
      <c r="R49" s="125">
        <f t="shared" si="10"/>
        <v>3.3747417162488524E-2</v>
      </c>
      <c r="S49" s="125">
        <f t="shared" si="11"/>
        <v>3.7273855643735754E-2</v>
      </c>
      <c r="T49" s="125">
        <f t="shared" si="12"/>
        <v>4.7299609829557054E-2</v>
      </c>
      <c r="U49" s="125">
        <f t="shared" si="13"/>
        <v>3.739852484111883E-2</v>
      </c>
      <c r="V49" s="125">
        <f t="shared" si="14"/>
        <v>3.7356169595854194E-2</v>
      </c>
      <c r="W49" s="125">
        <f t="shared" si="15"/>
        <v>2.5627311625208371E-2</v>
      </c>
    </row>
    <row r="50" spans="2:24">
      <c r="B50" s="132" t="str">
        <f t="shared" si="6"/>
        <v>Euro area (19 countries)</v>
      </c>
      <c r="G50" s="125">
        <f t="shared" si="7"/>
        <v>2.6845637583892579E-2</v>
      </c>
      <c r="H50" s="125">
        <f t="shared" si="1"/>
        <v>2.5477707006369643E-2</v>
      </c>
      <c r="I50" s="125">
        <f t="shared" si="2"/>
        <v>3.105590062111796E-2</v>
      </c>
      <c r="J50" s="125">
        <f t="shared" si="3"/>
        <v>2.5316455696202445E-2</v>
      </c>
      <c r="K50" s="125">
        <f t="shared" si="8"/>
        <v>2.614379084967311E-2</v>
      </c>
      <c r="L50" s="125">
        <f t="shared" si="4"/>
        <v>1.2422360248447228E-2</v>
      </c>
      <c r="M50" s="132" t="str">
        <f t="shared" si="9"/>
        <v>Euro area (19 countries)</v>
      </c>
      <c r="R50" s="125">
        <f t="shared" si="10"/>
        <v>3.9236244015820931E-2</v>
      </c>
      <c r="S50" s="125">
        <f t="shared" si="11"/>
        <v>4.5110228816215736E-2</v>
      </c>
      <c r="T50" s="125">
        <f t="shared" si="12"/>
        <v>5.3215593453500798E-2</v>
      </c>
      <c r="U50" s="125">
        <f t="shared" si="13"/>
        <v>4.5946348809835946E-2</v>
      </c>
      <c r="V50" s="125">
        <f t="shared" si="14"/>
        <v>4.3583858225686001E-2</v>
      </c>
      <c r="W50" s="125">
        <f t="shared" si="15"/>
        <v>3.0861513083902059E-2</v>
      </c>
    </row>
    <row r="51" spans="2:24">
      <c r="B51" s="132" t="str">
        <f t="shared" si="6"/>
        <v>Euro area (18 countries)</v>
      </c>
      <c r="G51" s="125">
        <f t="shared" si="7"/>
        <v>1.9867549668874274E-2</v>
      </c>
      <c r="H51" s="125">
        <f t="shared" si="1"/>
        <v>3.1645569620253111E-2</v>
      </c>
      <c r="I51" s="125">
        <f t="shared" si="2"/>
        <v>3.0864197530864113E-2</v>
      </c>
      <c r="J51" s="125">
        <f t="shared" si="3"/>
        <v>3.1446540880503138E-2</v>
      </c>
      <c r="K51" s="125">
        <f t="shared" si="8"/>
        <v>2.5974025974025983E-2</v>
      </c>
      <c r="L51" s="125">
        <f t="shared" si="4"/>
        <v>1.2269938650306678E-2</v>
      </c>
      <c r="M51" s="132" t="str">
        <f t="shared" si="9"/>
        <v>Euro area (18 countries)</v>
      </c>
      <c r="R51" s="125">
        <f t="shared" si="10"/>
        <v>3.9357224560507165E-2</v>
      </c>
      <c r="S51" s="125">
        <f t="shared" si="11"/>
        <v>4.5523036194502264E-2</v>
      </c>
      <c r="T51" s="125">
        <f t="shared" si="12"/>
        <v>5.3561660487449148E-2</v>
      </c>
      <c r="U51" s="125">
        <f t="shared" si="13"/>
        <v>4.5947920203298409E-2</v>
      </c>
      <c r="V51" s="125">
        <f t="shared" si="14"/>
        <v>4.3738179953200618E-2</v>
      </c>
      <c r="W51" s="125">
        <f t="shared" si="15"/>
        <v>3.0955538319113129E-2</v>
      </c>
    </row>
    <row r="52" spans="2:24">
      <c r="B52" s="132" t="str">
        <f t="shared" si="6"/>
        <v>Euro area (17 countries)</v>
      </c>
      <c r="G52" s="125">
        <f t="shared" si="7"/>
        <v>2.6490066225165476E-2</v>
      </c>
      <c r="H52" s="125">
        <f t="shared" si="1"/>
        <v>2.515723270440251E-2</v>
      </c>
      <c r="I52" s="125">
        <f t="shared" si="2"/>
        <v>3.0674846625766916E-2</v>
      </c>
      <c r="J52" s="125">
        <f t="shared" si="3"/>
        <v>2.4999999999999911E-2</v>
      </c>
      <c r="K52" s="125">
        <f t="shared" si="8"/>
        <v>2.5806451612903292E-2</v>
      </c>
      <c r="L52" s="125">
        <f t="shared" si="4"/>
        <v>1.8404907975460238E-2</v>
      </c>
      <c r="M52" s="132" t="str">
        <f t="shared" si="9"/>
        <v>Euro area (17 countries)</v>
      </c>
      <c r="R52" s="125">
        <f t="shared" si="10"/>
        <v>3.9923912076176959E-2</v>
      </c>
      <c r="S52" s="125">
        <f t="shared" si="11"/>
        <v>4.5939006497589752E-2</v>
      </c>
      <c r="T52" s="125">
        <f t="shared" si="12"/>
        <v>5.3773039429504621E-2</v>
      </c>
      <c r="U52" s="125">
        <f t="shared" si="13"/>
        <v>4.6096952965656524E-2</v>
      </c>
      <c r="V52" s="125">
        <f t="shared" si="14"/>
        <v>4.3814515697705447E-2</v>
      </c>
      <c r="W52" s="125">
        <f t="shared" si="15"/>
        <v>3.093077898069696E-2</v>
      </c>
    </row>
    <row r="53" spans="2:24">
      <c r="B53" s="139" t="str">
        <f t="shared" si="6"/>
        <v>Austria</v>
      </c>
      <c r="G53" s="125">
        <f t="shared" si="7"/>
        <v>1.1235955056179803E-2</v>
      </c>
      <c r="H53" s="125">
        <f t="shared" si="1"/>
        <v>4.6511627906976827E-2</v>
      </c>
      <c r="I53" s="125">
        <f t="shared" si="2"/>
        <v>2.0833333333333481E-2</v>
      </c>
      <c r="J53" s="125">
        <f t="shared" si="3"/>
        <v>-1.1235955056179692E-2</v>
      </c>
      <c r="K53" s="125">
        <f t="shared" si="8"/>
        <v>-3.3333333333333437E-2</v>
      </c>
      <c r="L53" s="125">
        <f t="shared" si="4"/>
        <v>-2.2222222222222143E-2</v>
      </c>
      <c r="M53" s="139" t="str">
        <f t="shared" si="9"/>
        <v>Austria</v>
      </c>
      <c r="R53" s="125">
        <f t="shared" si="10"/>
        <v>3.2440944881889866E-2</v>
      </c>
      <c r="S53" s="125">
        <f t="shared" si="11"/>
        <v>7.2408293460924922E-2</v>
      </c>
      <c r="T53" s="125">
        <f t="shared" si="12"/>
        <v>3.2185838231178376E-2</v>
      </c>
      <c r="U53" s="125">
        <f t="shared" si="13"/>
        <v>1.19631901840489E-2</v>
      </c>
      <c r="V53" s="125">
        <f t="shared" si="14"/>
        <v>-1.5863331299572847E-2</v>
      </c>
      <c r="W53" s="125">
        <f t="shared" si="15"/>
        <v>-1.516954193932174E-2</v>
      </c>
      <c r="X53" s="139" t="str">
        <f t="shared" ref="X53:X85" si="16">X10</f>
        <v>Austria</v>
      </c>
    </row>
    <row r="54" spans="2:24">
      <c r="B54" s="133" t="str">
        <f t="shared" si="6"/>
        <v>Belgium</v>
      </c>
      <c r="G54" s="125">
        <f t="shared" si="7"/>
        <v>4.4943820224719211E-2</v>
      </c>
      <c r="H54" s="125">
        <f t="shared" si="1"/>
        <v>5.4347826086956541E-2</v>
      </c>
      <c r="I54" s="125">
        <f t="shared" si="2"/>
        <v>0.32584269662921361</v>
      </c>
      <c r="J54" s="125">
        <f t="shared" si="3"/>
        <v>0.11458333333333326</v>
      </c>
      <c r="K54" s="125">
        <f t="shared" si="8"/>
        <v>8.602150537634401E-2</v>
      </c>
      <c r="L54" s="137">
        <f>L11/H11-1</f>
        <v>7.2164948453608435E-2</v>
      </c>
      <c r="M54" s="133" t="str">
        <f t="shared" si="9"/>
        <v>Belgium</v>
      </c>
      <c r="R54" s="125">
        <f t="shared" si="10"/>
        <v>6.1290322580645151E-2</v>
      </c>
      <c r="S54" s="125">
        <f t="shared" si="11"/>
        <v>7.808988764044944E-2</v>
      </c>
      <c r="T54" s="125">
        <f t="shared" si="12"/>
        <v>0.3487833140208576</v>
      </c>
      <c r="U54" s="125">
        <f t="shared" si="13"/>
        <v>0.13200628601361952</v>
      </c>
      <c r="V54" s="125">
        <f t="shared" si="14"/>
        <v>0.12600165791655171</v>
      </c>
      <c r="W54" s="137">
        <f t="shared" si="15"/>
        <v>9.0411672746221861E-2</v>
      </c>
      <c r="X54" s="133" t="str">
        <f t="shared" si="16"/>
        <v>Belgium</v>
      </c>
    </row>
    <row r="55" spans="2:24">
      <c r="B55" s="133" t="str">
        <f t="shared" si="6"/>
        <v>Bulgaria</v>
      </c>
      <c r="G55" s="125">
        <f t="shared" si="7"/>
        <v>6.25E-2</v>
      </c>
      <c r="H55" s="125">
        <f t="shared" si="1"/>
        <v>0.13636363636363624</v>
      </c>
      <c r="I55" s="125">
        <f t="shared" si="2"/>
        <v>3.9215686274509887E-2</v>
      </c>
      <c r="J55" s="125">
        <f t="shared" si="3"/>
        <v>0.11428571428571432</v>
      </c>
      <c r="K55" s="125">
        <f t="shared" si="8"/>
        <v>2.941176470588247E-2</v>
      </c>
      <c r="L55" s="137">
        <f t="shared" si="4"/>
        <v>-0.15999999999999992</v>
      </c>
      <c r="M55" s="133" t="str">
        <f t="shared" si="9"/>
        <v>Bulgaria</v>
      </c>
      <c r="R55" s="125">
        <f t="shared" si="10"/>
        <v>8.9805825242718296E-2</v>
      </c>
      <c r="S55" s="125">
        <f t="shared" si="11"/>
        <v>0.17850953206239173</v>
      </c>
      <c r="T55" s="125">
        <f t="shared" si="12"/>
        <v>8.0645161290322509E-2</v>
      </c>
      <c r="U55" s="125">
        <f t="shared" si="13"/>
        <v>0.14734561213434461</v>
      </c>
      <c r="V55" s="125">
        <f t="shared" si="14"/>
        <v>5.2338530066815103E-2</v>
      </c>
      <c r="W55" s="137">
        <f t="shared" si="15"/>
        <v>-0.1588235294117647</v>
      </c>
      <c r="X55" s="133" t="str">
        <f t="shared" si="16"/>
        <v>Bulgaria</v>
      </c>
    </row>
    <row r="56" spans="2:24">
      <c r="B56" s="133" t="str">
        <f t="shared" si="6"/>
        <v>Croatia</v>
      </c>
      <c r="G56" s="125">
        <f t="shared" si="7"/>
        <v>-7.4257425742574212E-2</v>
      </c>
      <c r="H56" s="125">
        <f t="shared" si="1"/>
        <v>-7.7253218884120178E-2</v>
      </c>
      <c r="I56" s="125">
        <f t="shared" si="2"/>
        <v>-7.0247933884297509E-2</v>
      </c>
      <c r="J56" s="125">
        <f t="shared" si="3"/>
        <v>-4.3269230769230838E-2</v>
      </c>
      <c r="K56" s="126">
        <f t="shared" si="8"/>
        <v>4.2780748663101553E-2</v>
      </c>
      <c r="L56" s="126">
        <f t="shared" si="4"/>
        <v>-5.5813953488372037E-2</v>
      </c>
      <c r="M56" s="133" t="str">
        <f t="shared" si="9"/>
        <v>Croatia</v>
      </c>
      <c r="R56" s="125">
        <f t="shared" si="10"/>
        <v>-5.2138034508627307E-2</v>
      </c>
      <c r="S56" s="125">
        <f t="shared" si="11"/>
        <v>-4.6860356138706649E-2</v>
      </c>
      <c r="T56" s="125">
        <f t="shared" si="12"/>
        <v>-3.1952662721893565E-2</v>
      </c>
      <c r="U56" s="125">
        <f t="shared" si="13"/>
        <v>2.1284143313231585E-3</v>
      </c>
      <c r="V56" s="126">
        <f t="shared" si="14"/>
        <v>8.0728136129798234E-2</v>
      </c>
      <c r="W56" s="126">
        <f t="shared" si="15"/>
        <v>-3.4414945919370665E-2</v>
      </c>
      <c r="X56" s="139" t="str">
        <f t="shared" si="16"/>
        <v>Croatia</v>
      </c>
    </row>
    <row r="57" spans="2:24">
      <c r="B57" s="133" t="str">
        <f t="shared" si="6"/>
        <v>Cyprus</v>
      </c>
      <c r="G57" s="125">
        <f t="shared" si="7"/>
        <v>-0.14649681528662417</v>
      </c>
      <c r="H57" s="125">
        <f t="shared" si="1"/>
        <v>-0.13440860215053763</v>
      </c>
      <c r="I57" s="125">
        <f t="shared" si="2"/>
        <v>-2.9069767441860517E-2</v>
      </c>
      <c r="J57" s="125">
        <f t="shared" si="3"/>
        <v>1.3605442176870763E-2</v>
      </c>
      <c r="K57" s="125">
        <f t="shared" si="8"/>
        <v>-7.4626865671642006E-3</v>
      </c>
      <c r="L57" s="137">
        <f t="shared" si="4"/>
        <v>-5.5900621118012528E-2</v>
      </c>
      <c r="M57" s="133" t="str">
        <f t="shared" si="9"/>
        <v>Cyprus</v>
      </c>
      <c r="R57" s="125">
        <f t="shared" si="10"/>
        <v>-9.9567099567099637E-2</v>
      </c>
      <c r="S57" s="125">
        <f t="shared" si="11"/>
        <v>-8.0000000000000071E-2</v>
      </c>
      <c r="T57" s="125">
        <f t="shared" si="12"/>
        <v>3.5381750465549366E-2</v>
      </c>
      <c r="U57" s="125">
        <f t="shared" si="13"/>
        <v>6.0606060606060552E-2</v>
      </c>
      <c r="V57" s="125">
        <f t="shared" si="14"/>
        <v>5.2884615384615197E-2</v>
      </c>
      <c r="W57" s="137">
        <f t="shared" si="15"/>
        <v>-5.671077504725841E-3</v>
      </c>
      <c r="X57" s="133" t="str">
        <f t="shared" si="16"/>
        <v>Cyprus</v>
      </c>
    </row>
    <row r="58" spans="2:24">
      <c r="B58" s="133" t="str">
        <f t="shared" si="6"/>
        <v>Czech Republic</v>
      </c>
      <c r="G58" s="125">
        <f t="shared" si="7"/>
        <v>1.0869565217391353E-2</v>
      </c>
      <c r="H58" s="125">
        <f t="shared" si="1"/>
        <v>-2.0408163265306256E-2</v>
      </c>
      <c r="I58" s="125">
        <f t="shared" si="2"/>
        <v>-1.0000000000000009E-2</v>
      </c>
      <c r="J58" s="125">
        <f t="shared" si="3"/>
        <v>-5.0505050505050497E-2</v>
      </c>
      <c r="K58" s="125">
        <f t="shared" si="8"/>
        <v>-7.526881720430123E-2</v>
      </c>
      <c r="L58" s="137">
        <f t="shared" si="4"/>
        <v>-0.10416666666666663</v>
      </c>
      <c r="M58" s="133" t="str">
        <f t="shared" si="9"/>
        <v>Czech Republic</v>
      </c>
      <c r="R58" s="125">
        <f t="shared" si="10"/>
        <v>2.3728813559322104E-2</v>
      </c>
      <c r="S58" s="125">
        <f t="shared" si="11"/>
        <v>0</v>
      </c>
      <c r="T58" s="125">
        <f t="shared" si="12"/>
        <v>1.3590844062947083E-2</v>
      </c>
      <c r="U58" s="125">
        <f t="shared" si="13"/>
        <v>-2.8158844765342916E-2</v>
      </c>
      <c r="V58" s="125">
        <f t="shared" si="14"/>
        <v>-5.9857361181864466E-2</v>
      </c>
      <c r="W58" s="137">
        <f t="shared" si="15"/>
        <v>-9.0774907749077482E-2</v>
      </c>
      <c r="X58" s="133" t="str">
        <f t="shared" si="16"/>
        <v>Czech Republic</v>
      </c>
    </row>
    <row r="59" spans="2:24">
      <c r="B59" s="133" t="str">
        <f t="shared" si="6"/>
        <v>Denmark</v>
      </c>
      <c r="G59" s="125">
        <f t="shared" si="7"/>
        <v>-2.8368794326241176E-2</v>
      </c>
      <c r="H59" s="125">
        <f t="shared" si="1"/>
        <v>-5.755395683453246E-2</v>
      </c>
      <c r="I59" s="125">
        <f t="shared" si="2"/>
        <v>-3.8167938931297662E-2</v>
      </c>
      <c r="J59" s="125">
        <f t="shared" si="3"/>
        <v>-7.6335877862595436E-2</v>
      </c>
      <c r="K59" s="126">
        <f t="shared" si="8"/>
        <v>-0.16058394160583933</v>
      </c>
      <c r="L59" s="126">
        <f t="shared" si="4"/>
        <v>-0.12213740458015265</v>
      </c>
      <c r="M59" s="133" t="str">
        <f t="shared" si="9"/>
        <v>Denmark</v>
      </c>
      <c r="R59" s="125">
        <f t="shared" si="10"/>
        <v>-2.9778786159954662E-2</v>
      </c>
      <c r="S59" s="125">
        <f t="shared" si="11"/>
        <v>-6.0760931289040254E-2</v>
      </c>
      <c r="T59" s="125">
        <f t="shared" si="12"/>
        <v>-3.4066927946939995E-2</v>
      </c>
      <c r="U59" s="125">
        <f t="shared" si="13"/>
        <v>-6.7255021302495499E-2</v>
      </c>
      <c r="V59" s="126">
        <f t="shared" si="14"/>
        <v>-0.1458637825197312</v>
      </c>
      <c r="W59" s="126">
        <f t="shared" si="15"/>
        <v>-0.10187424425634817</v>
      </c>
      <c r="X59" s="139" t="str">
        <f t="shared" si="16"/>
        <v>Denmark</v>
      </c>
    </row>
    <row r="60" spans="2:24">
      <c r="B60" s="133" t="str">
        <f t="shared" si="6"/>
        <v>Estonia</v>
      </c>
      <c r="G60" s="125">
        <f t="shared" si="7"/>
        <v>-0.1333333333333333</v>
      </c>
      <c r="H60" s="125">
        <f t="shared" si="1"/>
        <v>-0.19512195121951215</v>
      </c>
      <c r="I60" s="125">
        <f t="shared" si="2"/>
        <v>-0.3265306122448981</v>
      </c>
      <c r="J60" s="125">
        <f t="shared" si="3"/>
        <v>0.14285714285714302</v>
      </c>
      <c r="K60" s="125">
        <f t="shared" si="8"/>
        <v>-0.15384615384615385</v>
      </c>
      <c r="L60" s="125">
        <f t="shared" si="4"/>
        <v>0.12121212121212133</v>
      </c>
      <c r="M60" s="133" t="str">
        <f t="shared" si="9"/>
        <v>Estonia</v>
      </c>
      <c r="R60" s="125">
        <f t="shared" si="10"/>
        <v>-0.10493827160493818</v>
      </c>
      <c r="S60" s="125">
        <f t="shared" si="11"/>
        <v>-0.20258620689655171</v>
      </c>
      <c r="T60" s="125">
        <f t="shared" si="12"/>
        <v>-0.32234432234432231</v>
      </c>
      <c r="U60" s="125">
        <f t="shared" si="13"/>
        <v>0.16666666666666674</v>
      </c>
      <c r="V60" s="125">
        <f t="shared" si="14"/>
        <v>-0.15862068965517251</v>
      </c>
      <c r="W60" s="125">
        <f t="shared" si="15"/>
        <v>0.10810810810810811</v>
      </c>
      <c r="X60" s="139" t="str">
        <f t="shared" si="16"/>
        <v>Estonia</v>
      </c>
    </row>
    <row r="61" spans="2:24">
      <c r="B61" s="133" t="str">
        <f t="shared" si="6"/>
        <v>Finland</v>
      </c>
      <c r="G61" s="125">
        <f t="shared" si="7"/>
        <v>3.007518796992481E-2</v>
      </c>
      <c r="H61" s="125">
        <f t="shared" si="1"/>
        <v>4.1666666666666519E-2</v>
      </c>
      <c r="I61" s="125">
        <f t="shared" si="2"/>
        <v>-2.8248587570621431E-2</v>
      </c>
      <c r="J61" s="125">
        <f t="shared" si="3"/>
        <v>1.388888888888884E-2</v>
      </c>
      <c r="K61" s="125">
        <f t="shared" si="8"/>
        <v>2.9197080291970767E-2</v>
      </c>
      <c r="L61" s="125">
        <f t="shared" si="4"/>
        <v>2.857142857142847E-2</v>
      </c>
      <c r="M61" s="133" t="str">
        <f t="shared" si="9"/>
        <v>Finland</v>
      </c>
      <c r="R61" s="125">
        <f t="shared" si="10"/>
        <v>4.9626865671641873E-2</v>
      </c>
      <c r="S61" s="125">
        <f t="shared" si="11"/>
        <v>5.5775764439411013E-2</v>
      </c>
      <c r="T61" s="125">
        <f t="shared" si="12"/>
        <v>-1.2830793905372895E-2</v>
      </c>
      <c r="U61" s="125">
        <f t="shared" si="13"/>
        <v>5.5349308133648245E-2</v>
      </c>
      <c r="V61" s="125">
        <f t="shared" si="14"/>
        <v>5.7945254177035332E-2</v>
      </c>
      <c r="W61" s="125">
        <f t="shared" si="15"/>
        <v>6.3824081523196519E-2</v>
      </c>
      <c r="X61" s="139" t="str">
        <f t="shared" si="16"/>
        <v>Finland</v>
      </c>
    </row>
    <row r="62" spans="2:24">
      <c r="B62" s="133" t="str">
        <f t="shared" si="6"/>
        <v>France</v>
      </c>
      <c r="G62" s="125">
        <f t="shared" si="7"/>
        <v>4.5751633986928164E-2</v>
      </c>
      <c r="H62" s="125">
        <f t="shared" si="1"/>
        <v>3.0487804878048808E-2</v>
      </c>
      <c r="I62" s="125">
        <f t="shared" si="2"/>
        <v>3.5714285714285587E-2</v>
      </c>
      <c r="J62" s="125">
        <f t="shared" si="3"/>
        <v>5.0000000000000044E-2</v>
      </c>
      <c r="K62" s="125">
        <f t="shared" si="8"/>
        <v>3.125E-2</v>
      </c>
      <c r="L62" s="125">
        <f t="shared" si="4"/>
        <v>0</v>
      </c>
      <c r="M62" s="133" t="str">
        <f t="shared" si="9"/>
        <v>France</v>
      </c>
      <c r="R62" s="125">
        <f t="shared" si="10"/>
        <v>5.0286262233127488E-2</v>
      </c>
      <c r="S62" s="125">
        <f t="shared" si="11"/>
        <v>4.3751466638854764E-2</v>
      </c>
      <c r="T62" s="125">
        <f t="shared" si="12"/>
        <v>4.7669949861291361E-2</v>
      </c>
      <c r="U62" s="125">
        <f t="shared" si="13"/>
        <v>7.5346350157984299E-2</v>
      </c>
      <c r="V62" s="125">
        <f t="shared" si="14"/>
        <v>4.4575725026852808E-2</v>
      </c>
      <c r="W62" s="125">
        <f t="shared" si="15"/>
        <v>5.495740800879334E-3</v>
      </c>
      <c r="X62" s="139" t="str">
        <f t="shared" si="16"/>
        <v>France</v>
      </c>
    </row>
    <row r="63" spans="2:24">
      <c r="B63" s="133" t="str">
        <f t="shared" si="6"/>
        <v>Germany</v>
      </c>
      <c r="G63" s="125">
        <f t="shared" si="7"/>
        <v>-1.538461538461533E-2</v>
      </c>
      <c r="H63" s="125">
        <f t="shared" si="1"/>
        <v>-2.2900763358778553E-2</v>
      </c>
      <c r="I63" s="125">
        <f t="shared" si="2"/>
        <v>-2.2727272727272596E-2</v>
      </c>
      <c r="J63" s="125">
        <f t="shared" si="3"/>
        <v>-3.6496350364963459E-2</v>
      </c>
      <c r="K63" s="125">
        <f t="shared" si="8"/>
        <v>-2.34375E-2</v>
      </c>
      <c r="L63" s="125">
        <f t="shared" si="4"/>
        <v>-1.5625000000000111E-2</v>
      </c>
      <c r="M63" s="133" t="str">
        <f t="shared" si="9"/>
        <v>Germany</v>
      </c>
      <c r="R63" s="125">
        <f t="shared" si="10"/>
        <v>-7.249157818429941E-3</v>
      </c>
      <c r="S63" s="125">
        <f t="shared" si="11"/>
        <v>-1.2187612799116621E-2</v>
      </c>
      <c r="T63" s="125">
        <f t="shared" si="12"/>
        <v>-3.865521636473801E-3</v>
      </c>
      <c r="U63" s="125">
        <f t="shared" si="13"/>
        <v>-2.4698265526336693E-2</v>
      </c>
      <c r="V63" s="125">
        <f t="shared" si="14"/>
        <v>-1.2198788711825115E-2</v>
      </c>
      <c r="W63" s="125">
        <f t="shared" si="15"/>
        <v>-1.1349225114459571E-2</v>
      </c>
      <c r="X63" s="139" t="str">
        <f t="shared" si="16"/>
        <v>Germany</v>
      </c>
    </row>
    <row r="64" spans="2:24">
      <c r="B64" s="133" t="str">
        <f t="shared" si="6"/>
        <v>Greece</v>
      </c>
      <c r="G64" s="125">
        <f t="shared" si="7"/>
        <v>-0.10377358490566035</v>
      </c>
      <c r="H64" s="125">
        <f t="shared" si="1"/>
        <v>4.1322314049586861E-2</v>
      </c>
      <c r="I64" s="125">
        <f t="shared" si="2"/>
        <v>9.0909090909090828E-2</v>
      </c>
      <c r="J64" s="125">
        <f t="shared" si="3"/>
        <v>4.0000000000000036E-2</v>
      </c>
      <c r="K64" s="125">
        <f t="shared" si="8"/>
        <v>-2.1052631578947323E-2</v>
      </c>
      <c r="L64" s="137">
        <f t="shared" si="4"/>
        <v>-7.9365079365079083E-3</v>
      </c>
      <c r="M64" s="133" t="str">
        <f t="shared" si="9"/>
        <v>Greece</v>
      </c>
      <c r="R64" s="125">
        <f t="shared" si="10"/>
        <v>-9.8399999999999932E-2</v>
      </c>
      <c r="S64" s="125">
        <f t="shared" si="11"/>
        <v>6.9259638348686314E-2</v>
      </c>
      <c r="T64" s="125">
        <f t="shared" si="12"/>
        <v>0.11260053619302957</v>
      </c>
      <c r="U64" s="125">
        <f t="shared" si="13"/>
        <v>7.080016757436125E-2</v>
      </c>
      <c r="V64" s="125">
        <f t="shared" si="14"/>
        <v>-4.4365572315885338E-4</v>
      </c>
      <c r="W64" s="137">
        <f t="shared" si="15"/>
        <v>2.0421186981493422E-2</v>
      </c>
      <c r="X64" s="133" t="str">
        <f t="shared" si="16"/>
        <v>Greece</v>
      </c>
    </row>
    <row r="65" spans="2:24">
      <c r="B65" s="133" t="str">
        <f t="shared" si="6"/>
        <v>Hungary</v>
      </c>
      <c r="G65" s="125">
        <f t="shared" si="7"/>
        <v>-8.5106382978723527E-2</v>
      </c>
      <c r="H65" s="125">
        <f t="shared" si="1"/>
        <v>-8.9108910891089188E-2</v>
      </c>
      <c r="I65" s="125">
        <f t="shared" si="2"/>
        <v>-9.9009900990098987E-2</v>
      </c>
      <c r="J65" s="125">
        <f t="shared" si="3"/>
        <v>-0.10752688172043012</v>
      </c>
      <c r="K65" s="125">
        <f t="shared" si="8"/>
        <v>-0.13953488372093015</v>
      </c>
      <c r="L65" s="137">
        <f t="shared" si="4"/>
        <v>-0.16304347826086951</v>
      </c>
      <c r="M65" s="133" t="str">
        <f t="shared" si="9"/>
        <v>Hungary</v>
      </c>
      <c r="R65" s="125">
        <f t="shared" si="10"/>
        <v>-5.7166995212616145E-2</v>
      </c>
      <c r="S65" s="125">
        <f t="shared" si="11"/>
        <v>-5.9582151147794638E-2</v>
      </c>
      <c r="T65" s="125">
        <f t="shared" si="12"/>
        <v>-8.8145896656534939E-2</v>
      </c>
      <c r="U65" s="125">
        <f t="shared" si="13"/>
        <v>-9.8221614227086085E-2</v>
      </c>
      <c r="V65" s="125">
        <f t="shared" si="14"/>
        <v>-0.12514934289127844</v>
      </c>
      <c r="W65" s="137">
        <f t="shared" si="15"/>
        <v>-0.16099835436094356</v>
      </c>
      <c r="X65" s="133" t="str">
        <f t="shared" si="16"/>
        <v>Hungary</v>
      </c>
    </row>
    <row r="66" spans="2:24">
      <c r="B66" s="133" t="str">
        <f t="shared" si="6"/>
        <v>Iceland</v>
      </c>
      <c r="G66" s="125">
        <f t="shared" si="7"/>
        <v>-6.5217391304347783E-2</v>
      </c>
      <c r="H66" s="125">
        <f t="shared" si="1"/>
        <v>-0.125</v>
      </c>
      <c r="I66" s="125">
        <f t="shared" si="2"/>
        <v>-6.4285714285714279E-2</v>
      </c>
      <c r="J66" s="125">
        <f t="shared" si="3"/>
        <v>-0.20192307692307687</v>
      </c>
      <c r="K66" s="125">
        <f t="shared" si="8"/>
        <v>-2.3255813953488302E-2</v>
      </c>
      <c r="L66" s="137">
        <f t="shared" si="4"/>
        <v>-7.9365079365079416E-2</v>
      </c>
      <c r="M66" s="133" t="str">
        <f t="shared" si="9"/>
        <v>Iceland</v>
      </c>
      <c r="R66" s="125">
        <f t="shared" si="10"/>
        <v>-2.877697841726623E-2</v>
      </c>
      <c r="S66" s="125">
        <f t="shared" si="11"/>
        <v>-7.5555555555555487E-2</v>
      </c>
      <c r="T66" s="125">
        <f t="shared" si="12"/>
        <v>-6.1946902654867353E-2</v>
      </c>
      <c r="U66" s="125">
        <f t="shared" si="13"/>
        <v>-0.19161676646706582</v>
      </c>
      <c r="V66" s="125">
        <f t="shared" si="14"/>
        <v>1.4814814814814836E-2</v>
      </c>
      <c r="W66" s="137">
        <f t="shared" si="15"/>
        <v>-7.6923076923076983E-2</v>
      </c>
      <c r="X66" s="133" t="str">
        <f t="shared" si="16"/>
        <v>Iceland</v>
      </c>
    </row>
    <row r="67" spans="2:24">
      <c r="B67" s="133" t="str">
        <f t="shared" si="6"/>
        <v>Ireland</v>
      </c>
      <c r="G67" s="125">
        <f t="shared" si="7"/>
        <v>-8.333333333333337E-2</v>
      </c>
      <c r="H67" s="125">
        <f t="shared" si="1"/>
        <v>-0.16842105263157892</v>
      </c>
      <c r="I67" s="125">
        <f t="shared" si="2"/>
        <v>0.13684210526315788</v>
      </c>
      <c r="J67" s="125">
        <f t="shared" si="3"/>
        <v>0.16470588235294126</v>
      </c>
      <c r="K67" s="125">
        <f t="shared" si="8"/>
        <v>0.18181818181818166</v>
      </c>
      <c r="L67" s="137">
        <f t="shared" si="4"/>
        <v>0.27848101265822778</v>
      </c>
      <c r="M67" s="133" t="str">
        <f t="shared" si="9"/>
        <v>Ireland</v>
      </c>
      <c r="R67" s="125">
        <f t="shared" si="10"/>
        <v>-3.3192090395480101E-2</v>
      </c>
      <c r="S67" s="125">
        <f t="shared" si="11"/>
        <v>-0.1297198538367843</v>
      </c>
      <c r="T67" s="125">
        <f t="shared" si="12"/>
        <v>0.18106015485407978</v>
      </c>
      <c r="U67" s="125">
        <f t="shared" si="13"/>
        <v>0.21428571428571441</v>
      </c>
      <c r="V67" s="125">
        <f t="shared" si="14"/>
        <v>0.2213294375456536</v>
      </c>
      <c r="W67" s="137">
        <f t="shared" si="15"/>
        <v>0.31980405878236517</v>
      </c>
      <c r="X67" s="133" t="str">
        <f t="shared" si="16"/>
        <v>Ireland</v>
      </c>
    </row>
    <row r="68" spans="2:24">
      <c r="B68" s="133" t="str">
        <f t="shared" si="6"/>
        <v>Italy</v>
      </c>
      <c r="G68" s="125">
        <f t="shared" si="7"/>
        <v>8.6614173228346525E-2</v>
      </c>
      <c r="H68" s="125">
        <f t="shared" si="1"/>
        <v>9.0909090909090828E-2</v>
      </c>
      <c r="I68" s="125">
        <f t="shared" si="2"/>
        <v>0.10884353741496611</v>
      </c>
      <c r="J68" s="125">
        <f t="shared" si="3"/>
        <v>0.11724137931034484</v>
      </c>
      <c r="K68" s="125">
        <f t="shared" si="8"/>
        <v>0.1376811594202898</v>
      </c>
      <c r="L68" s="126">
        <f t="shared" si="4"/>
        <v>0.12179487179487181</v>
      </c>
      <c r="M68" s="133" t="str">
        <f t="shared" si="9"/>
        <v>Italy</v>
      </c>
      <c r="R68" s="125">
        <f t="shared" si="10"/>
        <v>0.10603504826164389</v>
      </c>
      <c r="S68" s="125">
        <f t="shared" si="11"/>
        <v>0.11196785844730339</v>
      </c>
      <c r="T68" s="125">
        <f t="shared" si="12"/>
        <v>0.13392962221960691</v>
      </c>
      <c r="U68" s="125">
        <f t="shared" si="13"/>
        <v>0.13425630386211296</v>
      </c>
      <c r="V68" s="125">
        <f t="shared" si="14"/>
        <v>0.16365176869307363</v>
      </c>
      <c r="W68" s="126">
        <f t="shared" si="15"/>
        <v>0.14014598540145995</v>
      </c>
      <c r="X68" s="133" t="str">
        <f t="shared" si="16"/>
        <v>Italy</v>
      </c>
    </row>
    <row r="69" spans="2:24">
      <c r="B69" s="133" t="str">
        <f t="shared" si="6"/>
        <v>Latvia</v>
      </c>
      <c r="G69" s="125">
        <f t="shared" si="7"/>
        <v>-0.27500000000000002</v>
      </c>
      <c r="H69" s="125">
        <f t="shared" si="1"/>
        <v>-0.23076923076923073</v>
      </c>
      <c r="I69" s="125">
        <f t="shared" si="2"/>
        <v>-0.11111111111111105</v>
      </c>
      <c r="J69" s="125">
        <f t="shared" si="3"/>
        <v>-9.3750000000000111E-2</v>
      </c>
      <c r="K69" s="126">
        <f t="shared" si="8"/>
        <v>-6.8965517241379226E-2</v>
      </c>
      <c r="L69" s="137">
        <f t="shared" si="4"/>
        <v>3.3333333333333437E-2</v>
      </c>
      <c r="M69" s="133" t="str">
        <f t="shared" si="9"/>
        <v>Latvia</v>
      </c>
      <c r="R69" s="125">
        <f t="shared" si="10"/>
        <v>-0.29801324503311255</v>
      </c>
      <c r="S69" s="125">
        <f t="shared" si="11"/>
        <v>-0.22448979591836726</v>
      </c>
      <c r="T69" s="125">
        <f t="shared" si="12"/>
        <v>-9.5238095238095233E-2</v>
      </c>
      <c r="U69" s="125">
        <f t="shared" si="13"/>
        <v>-7.5630252100840401E-2</v>
      </c>
      <c r="V69" s="126">
        <f t="shared" si="14"/>
        <v>-2.3584905660377409E-2</v>
      </c>
      <c r="W69" s="137">
        <f t="shared" si="15"/>
        <v>5.2631578947368363E-2</v>
      </c>
      <c r="X69" s="133" t="str">
        <f t="shared" si="16"/>
        <v>Latvia</v>
      </c>
    </row>
    <row r="70" spans="2:24">
      <c r="B70" s="133" t="str">
        <f t="shared" si="6"/>
        <v>Lithuania</v>
      </c>
      <c r="G70" s="125">
        <f t="shared" si="7"/>
        <v>-6.6666666666666763E-2</v>
      </c>
      <c r="H70" s="125">
        <f t="shared" si="1"/>
        <v>-0.24</v>
      </c>
      <c r="I70" s="125">
        <f t="shared" si="2"/>
        <v>-0.19999999999999996</v>
      </c>
      <c r="J70" s="125">
        <f t="shared" si="3"/>
        <v>0</v>
      </c>
      <c r="K70" s="126">
        <f t="shared" si="8"/>
        <v>-0.14285714285714279</v>
      </c>
      <c r="L70" s="137">
        <f t="shared" si="4"/>
        <v>-5.2631578947368363E-2</v>
      </c>
      <c r="M70" s="133" t="str">
        <f t="shared" si="9"/>
        <v>Lithuania</v>
      </c>
      <c r="R70" s="125">
        <f t="shared" si="10"/>
        <v>-8.6705202312138741E-2</v>
      </c>
      <c r="S70" s="125">
        <f t="shared" si="11"/>
        <v>-0.23076923076923084</v>
      </c>
      <c r="T70" s="125">
        <f t="shared" si="12"/>
        <v>-0.18402777777777779</v>
      </c>
      <c r="U70" s="125">
        <f t="shared" si="13"/>
        <v>4.4025157232704393E-2</v>
      </c>
      <c r="V70" s="126">
        <f t="shared" si="14"/>
        <v>-0.139240506329114</v>
      </c>
      <c r="W70" s="137">
        <f t="shared" si="15"/>
        <v>-5.0000000000000044E-2</v>
      </c>
      <c r="X70" s="133" t="str">
        <f t="shared" si="16"/>
        <v>Lithuania</v>
      </c>
    </row>
    <row r="71" spans="2:24">
      <c r="B71" s="133" t="str">
        <f t="shared" si="6"/>
        <v>Luxembourg</v>
      </c>
      <c r="G71" s="125">
        <f t="shared" si="7"/>
        <v>3.529411764705892E-2</v>
      </c>
      <c r="H71" s="125">
        <f t="shared" si="1"/>
        <v>0.18518518518518512</v>
      </c>
      <c r="I71" s="125">
        <f t="shared" si="2"/>
        <v>-7.1428571428571508E-2</v>
      </c>
      <c r="J71" s="125">
        <f t="shared" si="3"/>
        <v>-6.3829787234042534E-2</v>
      </c>
      <c r="K71" s="125">
        <f t="shared" si="8"/>
        <v>0.125</v>
      </c>
      <c r="L71" s="137">
        <f t="shared" si="4"/>
        <v>-3.1249999999999889E-2</v>
      </c>
      <c r="M71" s="133" t="str">
        <f t="shared" si="9"/>
        <v>Luxembourg</v>
      </c>
      <c r="R71" s="125">
        <f t="shared" si="10"/>
        <v>7.6142131979695327E-2</v>
      </c>
      <c r="S71" s="125">
        <f t="shared" si="11"/>
        <v>0.2432432432432432</v>
      </c>
      <c r="T71" s="125">
        <f t="shared" si="12"/>
        <v>-1.3392857142856984E-2</v>
      </c>
      <c r="U71" s="125">
        <f t="shared" si="13"/>
        <v>-2.739726027397249E-2</v>
      </c>
      <c r="V71" s="125">
        <f t="shared" si="14"/>
        <v>0.16981132075471694</v>
      </c>
      <c r="W71" s="137">
        <f t="shared" si="15"/>
        <v>1.304347826086949E-2</v>
      </c>
      <c r="X71" s="133" t="str">
        <f t="shared" si="16"/>
        <v>Luxembourg</v>
      </c>
    </row>
    <row r="72" spans="2:24">
      <c r="B72" s="133" t="str">
        <f t="shared" si="6"/>
        <v>Macedonia</v>
      </c>
      <c r="G72" s="125">
        <f t="shared" si="7"/>
        <v>0.23423423423423428</v>
      </c>
      <c r="H72" s="125">
        <f t="shared" si="1"/>
        <v>0</v>
      </c>
      <c r="I72" s="125">
        <f t="shared" si="2"/>
        <v>-7.194244604316502E-3</v>
      </c>
      <c r="J72" s="125">
        <f t="shared" si="3"/>
        <v>-4.0816326530612179E-2</v>
      </c>
      <c r="K72" s="125">
        <f t="shared" si="8"/>
        <v>-7.2992700729926918E-3</v>
      </c>
      <c r="L72" s="125">
        <f t="shared" si="4"/>
        <v>0.12587412587412583</v>
      </c>
      <c r="M72" s="133" t="str">
        <f t="shared" si="9"/>
        <v>Macedonia</v>
      </c>
      <c r="R72" s="125">
        <f t="shared" si="10"/>
        <v>0.27166666666666672</v>
      </c>
      <c r="S72" s="125">
        <f t="shared" si="11"/>
        <v>2.0434227330779153E-2</v>
      </c>
      <c r="T72" s="125">
        <f t="shared" si="12"/>
        <v>3.6649214659685736E-2</v>
      </c>
      <c r="U72" s="125">
        <f t="shared" si="13"/>
        <v>-1.1056511056511176E-2</v>
      </c>
      <c r="V72" s="125">
        <f t="shared" si="14"/>
        <v>1.1795543905635641E-2</v>
      </c>
      <c r="W72" s="125">
        <f t="shared" si="15"/>
        <v>0.14518147684605753</v>
      </c>
      <c r="X72" s="139" t="str">
        <f t="shared" si="16"/>
        <v>Macedonia</v>
      </c>
    </row>
    <row r="73" spans="2:24">
      <c r="B73" s="133" t="str">
        <f t="shared" si="6"/>
        <v>Malta</v>
      </c>
      <c r="G73" s="125">
        <f t="shared" si="7"/>
        <v>-0.10666666666666669</v>
      </c>
      <c r="H73" s="125">
        <f t="shared" si="1"/>
        <v>-0.19718309859154926</v>
      </c>
      <c r="I73" s="125">
        <f t="shared" si="2"/>
        <v>-0.28947368421052622</v>
      </c>
      <c r="J73" s="125">
        <f t="shared" si="3"/>
        <v>-0.24096385542168686</v>
      </c>
      <c r="K73" s="125">
        <f t="shared" si="8"/>
        <v>0.13432835820895517</v>
      </c>
      <c r="L73" s="137">
        <f t="shared" si="4"/>
        <v>0.35087719298245612</v>
      </c>
      <c r="M73" s="133" t="str">
        <f t="shared" si="9"/>
        <v>Malta</v>
      </c>
      <c r="R73" s="125">
        <f t="shared" si="10"/>
        <v>-7.03125E-2</v>
      </c>
      <c r="S73" s="125">
        <f t="shared" si="11"/>
        <v>-0.16000000000000003</v>
      </c>
      <c r="T73" s="125">
        <f t="shared" si="12"/>
        <v>-0.25547445255474455</v>
      </c>
      <c r="U73" s="125">
        <f t="shared" si="13"/>
        <v>-0.18918918918918926</v>
      </c>
      <c r="V73" s="125">
        <f t="shared" si="14"/>
        <v>0.22689075630252087</v>
      </c>
      <c r="W73" s="137">
        <f t="shared" si="15"/>
        <v>0.43809523809523809</v>
      </c>
      <c r="X73" s="133" t="str">
        <f t="shared" si="16"/>
        <v>Malta</v>
      </c>
    </row>
    <row r="74" spans="2:24">
      <c r="B74" s="133" t="str">
        <f t="shared" si="6"/>
        <v>Netherlands</v>
      </c>
      <c r="G74" s="125">
        <f t="shared" si="7"/>
        <v>7.6142131979695327E-2</v>
      </c>
      <c r="H74" s="125">
        <f t="shared" si="1"/>
        <v>6.3725490196078427E-2</v>
      </c>
      <c r="I74" s="125">
        <f t="shared" si="2"/>
        <v>5.6872037914691864E-2</v>
      </c>
      <c r="J74" s="125">
        <f t="shared" si="3"/>
        <v>2.3474178403755763E-2</v>
      </c>
      <c r="K74" s="125">
        <f t="shared" si="8"/>
        <v>-1.4150943396226467E-2</v>
      </c>
      <c r="L74" s="125">
        <f t="shared" si="4"/>
        <v>-1.3824884792626779E-2</v>
      </c>
      <c r="M74" s="133" t="str">
        <f t="shared" si="9"/>
        <v>Netherlands</v>
      </c>
      <c r="R74" s="125">
        <f t="shared" si="10"/>
        <v>9.76382705802461E-2</v>
      </c>
      <c r="S74" s="125">
        <f t="shared" si="11"/>
        <v>8.1239710829575484E-2</v>
      </c>
      <c r="T74" s="125">
        <f t="shared" si="12"/>
        <v>7.4412532637075701E-2</v>
      </c>
      <c r="U74" s="125">
        <f t="shared" si="13"/>
        <v>4.586343192040343E-2</v>
      </c>
      <c r="V74" s="125">
        <f t="shared" si="14"/>
        <v>9.8989482367497494E-3</v>
      </c>
      <c r="W74" s="125">
        <f t="shared" si="15"/>
        <v>4.8325168807097363E-3</v>
      </c>
      <c r="X74" s="139" t="str">
        <f t="shared" si="16"/>
        <v>Netherlands</v>
      </c>
    </row>
    <row r="75" spans="2:24">
      <c r="B75" s="133" t="str">
        <f t="shared" si="6"/>
        <v>Norway</v>
      </c>
      <c r="G75" s="125">
        <f t="shared" si="7"/>
        <v>-7.1428571428571508E-2</v>
      </c>
      <c r="H75" s="125">
        <f t="shared" si="1"/>
        <v>-2.2471910112359716E-2</v>
      </c>
      <c r="I75" s="125">
        <f t="shared" si="2"/>
        <v>-2.1052631578947323E-2</v>
      </c>
      <c r="J75" s="125">
        <f t="shared" si="3"/>
        <v>1.2195121951219745E-2</v>
      </c>
      <c r="K75" s="126">
        <f t="shared" si="8"/>
        <v>2.5641025641025772E-2</v>
      </c>
      <c r="L75" s="126">
        <f t="shared" si="4"/>
        <v>-3.4482758620689502E-2</v>
      </c>
      <c r="M75" s="133" t="str">
        <f t="shared" si="9"/>
        <v>Norway</v>
      </c>
      <c r="R75" s="125">
        <f t="shared" si="10"/>
        <v>-7.3758153537380911E-2</v>
      </c>
      <c r="S75" s="125">
        <f t="shared" si="11"/>
        <v>-1.6007532956685555E-2</v>
      </c>
      <c r="T75" s="125">
        <f t="shared" si="12"/>
        <v>-1.4582412726469318E-2</v>
      </c>
      <c r="U75" s="125">
        <f t="shared" si="13"/>
        <v>1.4358974358974486E-2</v>
      </c>
      <c r="V75" s="126">
        <f t="shared" si="14"/>
        <v>3.7378114842903543E-2</v>
      </c>
      <c r="W75" s="126">
        <f t="shared" si="15"/>
        <v>-2.3923444976076569E-2</v>
      </c>
      <c r="X75" s="139" t="str">
        <f t="shared" si="16"/>
        <v>Norway</v>
      </c>
    </row>
    <row r="76" spans="2:24">
      <c r="B76" s="133" t="str">
        <f t="shared" si="6"/>
        <v>Poland</v>
      </c>
      <c r="G76" s="125">
        <f t="shared" si="7"/>
        <v>-5.0541516245487306E-2</v>
      </c>
      <c r="H76" s="125">
        <f t="shared" si="1"/>
        <v>-5.3191489361702149E-2</v>
      </c>
      <c r="I76" s="125">
        <f t="shared" si="2"/>
        <v>-4.7619047619047672E-2</v>
      </c>
      <c r="J76" s="125">
        <f t="shared" si="3"/>
        <v>-4.49438202247191E-2</v>
      </c>
      <c r="K76" s="125">
        <f t="shared" si="8"/>
        <v>-3.802281368821292E-2</v>
      </c>
      <c r="L76" s="137">
        <f t="shared" si="4"/>
        <v>-7.1161048689138529E-2</v>
      </c>
      <c r="M76" s="133" t="str">
        <f t="shared" si="9"/>
        <v>Poland</v>
      </c>
      <c r="R76" s="125">
        <f t="shared" si="10"/>
        <v>-3.5682374981985898E-2</v>
      </c>
      <c r="S76" s="125">
        <f t="shared" si="11"/>
        <v>-2.776688147940598E-2</v>
      </c>
      <c r="T76" s="125">
        <f t="shared" si="12"/>
        <v>-3.476911583000486E-2</v>
      </c>
      <c r="U76" s="125">
        <f t="shared" si="13"/>
        <v>-4.1056661114520332E-2</v>
      </c>
      <c r="V76" s="125">
        <f t="shared" si="14"/>
        <v>-2.4688406013689157E-2</v>
      </c>
      <c r="W76" s="137">
        <f t="shared" si="15"/>
        <v>-7.207700510101156E-2</v>
      </c>
      <c r="X76" s="133" t="str">
        <f t="shared" si="16"/>
        <v>Poland</v>
      </c>
    </row>
    <row r="77" spans="2:24">
      <c r="B77" s="133" t="str">
        <f t="shared" si="6"/>
        <v>Portugal</v>
      </c>
      <c r="G77" s="125">
        <f t="shared" si="7"/>
        <v>-3.6363636363636376E-2</v>
      </c>
      <c r="H77" s="125">
        <f t="shared" si="1"/>
        <v>-2.2123893805309769E-2</v>
      </c>
      <c r="I77" s="125">
        <f t="shared" si="2"/>
        <v>4.4642857142858094E-3</v>
      </c>
      <c r="J77" s="125">
        <f t="shared" si="3"/>
        <v>0</v>
      </c>
      <c r="K77" s="125">
        <f t="shared" si="8"/>
        <v>2.3584905660377409E-2</v>
      </c>
      <c r="L77" s="125">
        <f t="shared" si="4"/>
        <v>0</v>
      </c>
      <c r="M77" s="133" t="str">
        <f t="shared" si="9"/>
        <v>Portugal</v>
      </c>
      <c r="R77" s="125">
        <f t="shared" si="10"/>
        <v>-4.9462099666131021E-3</v>
      </c>
      <c r="S77" s="125">
        <f t="shared" si="11"/>
        <v>1.6731933072267502E-2</v>
      </c>
      <c r="T77" s="125">
        <f t="shared" si="12"/>
        <v>4.9337434926644441E-2</v>
      </c>
      <c r="U77" s="125">
        <f t="shared" si="13"/>
        <v>4.6536667065438353E-2</v>
      </c>
      <c r="V77" s="125">
        <f t="shared" si="14"/>
        <v>6.6732943954268542E-2</v>
      </c>
      <c r="W77" s="125">
        <f t="shared" si="15"/>
        <v>3.3029878618114017E-2</v>
      </c>
      <c r="X77" s="139" t="str">
        <f t="shared" si="16"/>
        <v>Portugal</v>
      </c>
    </row>
    <row r="78" spans="2:24">
      <c r="B78" s="133" t="str">
        <f t="shared" si="6"/>
        <v>Romania</v>
      </c>
      <c r="G78" s="125">
        <f t="shared" si="7"/>
        <v>-0.14285714285714279</v>
      </c>
      <c r="H78" s="125">
        <f t="shared" si="1"/>
        <v>-0.14285714285714279</v>
      </c>
      <c r="I78" s="125">
        <f t="shared" si="2"/>
        <v>-0.14285714285714279</v>
      </c>
      <c r="J78" s="125">
        <f t="shared" si="3"/>
        <v>-7.6923076923076983E-2</v>
      </c>
      <c r="K78" s="125">
        <f t="shared" si="8"/>
        <v>0</v>
      </c>
      <c r="L78" s="125">
        <f t="shared" si="4"/>
        <v>-0.16666666666666663</v>
      </c>
      <c r="M78" s="133" t="str">
        <f t="shared" si="9"/>
        <v>Romania</v>
      </c>
      <c r="R78" s="125">
        <f t="shared" si="10"/>
        <v>-0.13142174432497011</v>
      </c>
      <c r="S78" s="125">
        <f t="shared" si="11"/>
        <v>-0.15922107674684982</v>
      </c>
      <c r="T78" s="125">
        <f t="shared" si="12"/>
        <v>-9.6481271282633396E-2</v>
      </c>
      <c r="U78" s="125">
        <f t="shared" si="13"/>
        <v>-4.8484848484848464E-2</v>
      </c>
      <c r="V78" s="125">
        <f t="shared" si="14"/>
        <v>2.3383768913342484E-2</v>
      </c>
      <c r="W78" s="125">
        <f t="shared" si="15"/>
        <v>-8.8555858310626734E-2</v>
      </c>
      <c r="X78" s="139" t="str">
        <f t="shared" si="16"/>
        <v>Romania</v>
      </c>
    </row>
    <row r="79" spans="2:24">
      <c r="B79" s="133" t="str">
        <f t="shared" si="6"/>
        <v>Slovakia</v>
      </c>
      <c r="G79" s="125">
        <f t="shared" si="7"/>
        <v>-8.0808080808080884E-2</v>
      </c>
      <c r="H79" s="125">
        <f t="shared" si="1"/>
        <v>-5.0000000000000044E-2</v>
      </c>
      <c r="I79" s="125">
        <f t="shared" si="2"/>
        <v>-4.0000000000000036E-2</v>
      </c>
      <c r="J79" s="125">
        <f t="shared" si="3"/>
        <v>-5.9999999999999942E-2</v>
      </c>
      <c r="K79" s="125">
        <f t="shared" si="8"/>
        <v>-3.296703296703285E-2</v>
      </c>
      <c r="L79" s="137">
        <f t="shared" si="4"/>
        <v>-0.12631578947368416</v>
      </c>
      <c r="M79" s="133" t="str">
        <f t="shared" si="9"/>
        <v>Slovakia</v>
      </c>
      <c r="R79" s="125">
        <f t="shared" si="10"/>
        <v>-6.4737616478666049E-2</v>
      </c>
      <c r="S79" s="125">
        <f t="shared" si="11"/>
        <v>-3.730272596843609E-2</v>
      </c>
      <c r="T79" s="125">
        <f t="shared" si="12"/>
        <v>-2.4170616113744048E-2</v>
      </c>
      <c r="U79" s="125">
        <f t="shared" si="13"/>
        <v>-3.6877394636015359E-2</v>
      </c>
      <c r="V79" s="125">
        <f t="shared" si="14"/>
        <v>-8.9145254326166157E-3</v>
      </c>
      <c r="W79" s="137">
        <f t="shared" si="15"/>
        <v>-0.11674118231495278</v>
      </c>
      <c r="X79" s="133" t="str">
        <f t="shared" si="16"/>
        <v>Slovakia</v>
      </c>
    </row>
    <row r="80" spans="2:24">
      <c r="B80" s="133" t="str">
        <f t="shared" si="6"/>
        <v>Slovenia</v>
      </c>
      <c r="G80" s="125">
        <f t="shared" si="7"/>
        <v>2.3952095808383422E-2</v>
      </c>
      <c r="H80" s="125">
        <f t="shared" si="1"/>
        <v>2.3255813953488413E-2</v>
      </c>
      <c r="I80" s="125">
        <f t="shared" si="2"/>
        <v>0.11111111111111094</v>
      </c>
      <c r="J80" s="125">
        <f t="shared" si="3"/>
        <v>-5.9880239520956335E-3</v>
      </c>
      <c r="K80" s="125">
        <f t="shared" si="8"/>
        <v>-3.5087719298245723E-2</v>
      </c>
      <c r="L80" s="137">
        <f t="shared" si="4"/>
        <v>-7.9545454545454697E-2</v>
      </c>
      <c r="M80" s="133" t="str">
        <f t="shared" si="9"/>
        <v>Slovenia</v>
      </c>
      <c r="R80" s="125">
        <f t="shared" si="10"/>
        <v>9.0836653386454191E-2</v>
      </c>
      <c r="S80" s="125">
        <f t="shared" si="11"/>
        <v>5.2475979305247611E-2</v>
      </c>
      <c r="T80" s="125">
        <f t="shared" si="12"/>
        <v>0.16038433111603823</v>
      </c>
      <c r="U80" s="125">
        <f t="shared" si="13"/>
        <v>3.7065052950075783E-2</v>
      </c>
      <c r="V80" s="125">
        <f t="shared" si="14"/>
        <v>-2.3374726077428853E-2</v>
      </c>
      <c r="W80" s="137">
        <f t="shared" si="15"/>
        <v>-6.1095505617977608E-2</v>
      </c>
      <c r="X80" s="133" t="str">
        <f t="shared" si="16"/>
        <v>Slovenia</v>
      </c>
    </row>
    <row r="81" spans="2:24">
      <c r="B81" s="133" t="str">
        <f t="shared" si="6"/>
        <v>Spain</v>
      </c>
      <c r="G81" s="125">
        <f t="shared" si="7"/>
        <v>2.7888446215139417E-2</v>
      </c>
      <c r="H81" s="125">
        <f t="shared" si="1"/>
        <v>4.2635658914728536E-2</v>
      </c>
      <c r="I81" s="125">
        <f t="shared" si="2"/>
        <v>1.8518518518518601E-2</v>
      </c>
      <c r="J81" s="125">
        <f t="shared" si="3"/>
        <v>1.132075471698113E-2</v>
      </c>
      <c r="K81" s="126">
        <f t="shared" si="8"/>
        <v>1.5503875968992276E-2</v>
      </c>
      <c r="L81" s="126">
        <f t="shared" si="4"/>
        <v>0</v>
      </c>
      <c r="M81" s="133" t="str">
        <f t="shared" si="9"/>
        <v>Spain</v>
      </c>
      <c r="R81" s="125">
        <f t="shared" si="10"/>
        <v>5.7331154392262995E-2</v>
      </c>
      <c r="S81" s="125">
        <f t="shared" si="11"/>
        <v>7.7222948885640186E-2</v>
      </c>
      <c r="T81" s="125">
        <f t="shared" si="12"/>
        <v>4.8945819462536955E-2</v>
      </c>
      <c r="U81" s="125">
        <f t="shared" si="13"/>
        <v>4.3686812781344342E-2</v>
      </c>
      <c r="V81" s="126">
        <f t="shared" si="14"/>
        <v>4.2491195175716312E-2</v>
      </c>
      <c r="W81" s="126">
        <f t="shared" si="15"/>
        <v>3.5379267653921298E-2</v>
      </c>
      <c r="X81" s="139" t="str">
        <f t="shared" si="16"/>
        <v>Spain</v>
      </c>
    </row>
    <row r="82" spans="2:24">
      <c r="B82" s="133" t="str">
        <f t="shared" si="6"/>
        <v>Sweden</v>
      </c>
      <c r="G82" s="125">
        <f t="shared" si="7"/>
        <v>1.3157894736842257E-2</v>
      </c>
      <c r="H82" s="125">
        <f t="shared" si="1"/>
        <v>-1.2121212121212088E-2</v>
      </c>
      <c r="I82" s="125">
        <f t="shared" si="2"/>
        <v>5.8479532163742132E-3</v>
      </c>
      <c r="J82" s="125">
        <f t="shared" si="3"/>
        <v>-6.3694267515923553E-3</v>
      </c>
      <c r="K82" s="125">
        <f t="shared" si="8"/>
        <v>-3.2467532467532423E-2</v>
      </c>
      <c r="L82" s="137">
        <f t="shared" si="4"/>
        <v>-3.6809815950920366E-2</v>
      </c>
      <c r="M82" s="133" t="str">
        <f t="shared" si="9"/>
        <v>Sweden</v>
      </c>
      <c r="R82" s="125">
        <f t="shared" si="10"/>
        <v>3.5290443472829613E-2</v>
      </c>
      <c r="S82" s="125">
        <f t="shared" si="11"/>
        <v>6.4192017862128026E-3</v>
      </c>
      <c r="T82" s="125">
        <f t="shared" si="12"/>
        <v>3.165486843862686E-2</v>
      </c>
      <c r="U82" s="125">
        <f t="shared" si="13"/>
        <v>2.0679468242245092E-2</v>
      </c>
      <c r="V82" s="125">
        <f t="shared" si="14"/>
        <v>-1.1161387631975828E-2</v>
      </c>
      <c r="W82" s="137">
        <f t="shared" si="15"/>
        <v>-1.760953965612877E-2</v>
      </c>
      <c r="X82" s="133" t="str">
        <f t="shared" si="16"/>
        <v>Sweden</v>
      </c>
    </row>
    <row r="83" spans="2:24">
      <c r="B83" s="133" t="str">
        <f t="shared" si="6"/>
        <v>Switzerland</v>
      </c>
      <c r="G83" s="125">
        <f t="shared" si="7"/>
        <v>-2.2388059701492602E-2</v>
      </c>
      <c r="H83" s="125">
        <f t="shared" si="1"/>
        <v>-7.4626865671642006E-3</v>
      </c>
      <c r="I83" s="125">
        <f t="shared" si="2"/>
        <v>4.6511627906976605E-2</v>
      </c>
      <c r="J83" s="125">
        <f t="shared" si="3"/>
        <v>0</v>
      </c>
      <c r="K83" s="125">
        <f t="shared" si="8"/>
        <v>0</v>
      </c>
      <c r="L83" s="137">
        <f t="shared" si="4"/>
        <v>0</v>
      </c>
      <c r="M83" s="133" t="str">
        <f t="shared" si="9"/>
        <v>Switzerland</v>
      </c>
      <c r="R83" s="125">
        <f t="shared" si="10"/>
        <v>-1.2782694198623434E-2</v>
      </c>
      <c r="S83" s="125">
        <f t="shared" si="11"/>
        <v>5.1060487038492308E-3</v>
      </c>
      <c r="T83" s="125">
        <f t="shared" si="12"/>
        <v>6.067415730337089E-2</v>
      </c>
      <c r="U83" s="125">
        <f t="shared" si="13"/>
        <v>-1.536098310291778E-3</v>
      </c>
      <c r="V83" s="125">
        <f t="shared" si="14"/>
        <v>1.3944223107569265E-3</v>
      </c>
      <c r="W83" s="137">
        <f t="shared" si="15"/>
        <v>3.5169988276670949E-3</v>
      </c>
      <c r="X83" s="133" t="str">
        <f t="shared" si="16"/>
        <v>Switzerland</v>
      </c>
    </row>
    <row r="84" spans="2:24">
      <c r="B84" s="133" t="str">
        <f t="shared" si="6"/>
        <v>Turkey</v>
      </c>
      <c r="G84" s="125">
        <f t="shared" si="7"/>
        <v>-7.7586206896551713E-2</v>
      </c>
      <c r="H84" s="125">
        <f t="shared" si="1"/>
        <v>-7.4324324324324453E-2</v>
      </c>
      <c r="I84" s="125">
        <f t="shared" si="2"/>
        <v>5.8823529411764719E-2</v>
      </c>
      <c r="J84" s="125">
        <f t="shared" si="3"/>
        <v>8.59375E-2</v>
      </c>
      <c r="K84" s="125">
        <f t="shared" si="8"/>
        <v>5.6074766355140415E-2</v>
      </c>
      <c r="L84" s="137">
        <f t="shared" si="4"/>
        <v>-7.2992700729927029E-2</v>
      </c>
      <c r="M84" s="133" t="str">
        <f t="shared" si="9"/>
        <v>Turkey</v>
      </c>
      <c r="R84" s="125">
        <f t="shared" si="10"/>
        <v>-6.4231738035264496E-2</v>
      </c>
      <c r="S84" s="125">
        <f t="shared" si="11"/>
        <v>-5.9877859285223933E-2</v>
      </c>
      <c r="T84" s="125">
        <f t="shared" si="12"/>
        <v>0.11188358932902198</v>
      </c>
      <c r="U84" s="125">
        <f t="shared" si="13"/>
        <v>0.14586785638410893</v>
      </c>
      <c r="V84" s="125">
        <f t="shared" si="14"/>
        <v>0.11212340822031264</v>
      </c>
      <c r="W84" s="137">
        <f t="shared" si="15"/>
        <v>-4.0513530135301346E-2</v>
      </c>
      <c r="X84" s="133" t="str">
        <f t="shared" si="16"/>
        <v>Turkey</v>
      </c>
    </row>
    <row r="85" spans="2:24">
      <c r="B85" s="133" t="str">
        <f t="shared" si="6"/>
        <v>United Kingdom</v>
      </c>
      <c r="G85" s="125">
        <f t="shared" si="7"/>
        <v>-5.0847457627118731E-2</v>
      </c>
      <c r="H85" s="125">
        <f t="shared" si="1"/>
        <v>-6.6666666666666763E-2</v>
      </c>
      <c r="I85" s="125">
        <f t="shared" si="2"/>
        <v>-3.3333333333333326E-2</v>
      </c>
      <c r="J85" s="125">
        <f t="shared" si="3"/>
        <v>-6.6666666666666763E-2</v>
      </c>
      <c r="K85" s="125">
        <f t="shared" si="8"/>
        <v>-1.7857142857142794E-2</v>
      </c>
      <c r="L85" s="137">
        <f t="shared" si="4"/>
        <v>-3.5714285714285587E-2</v>
      </c>
      <c r="M85" s="133" t="str">
        <f t="shared" si="9"/>
        <v>United Kingdom</v>
      </c>
      <c r="R85" s="125">
        <f t="shared" si="10"/>
        <v>-4.0147669589294055E-2</v>
      </c>
      <c r="S85" s="125">
        <f t="shared" si="11"/>
        <v>-5.0887802367473034E-2</v>
      </c>
      <c r="T85" s="125">
        <f t="shared" si="12"/>
        <v>-1.9129541661317195E-2</v>
      </c>
      <c r="U85" s="125">
        <f t="shared" si="13"/>
        <v>-5.2014934981331362E-2</v>
      </c>
      <c r="V85" s="125">
        <f t="shared" si="14"/>
        <v>7.6236263736262355E-3</v>
      </c>
      <c r="W85" s="137">
        <f t="shared" si="15"/>
        <v>-2.1283806683386364E-2</v>
      </c>
      <c r="X85" s="133" t="str">
        <f t="shared" si="16"/>
        <v>United Kingdom</v>
      </c>
    </row>
  </sheetData>
  <sortState ref="B10:PC42">
    <sortCondition ref="B10:B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2EAF0"/>
  </sheetPr>
  <dimension ref="A1:PC85"/>
  <sheetViews>
    <sheetView workbookViewId="0">
      <selection activeCell="A12" sqref="A12"/>
    </sheetView>
  </sheetViews>
  <sheetFormatPr defaultRowHeight="15"/>
  <sheetData>
    <row r="1" spans="1:419">
      <c r="A1" s="269"/>
      <c r="B1" s="278" t="s">
        <v>0</v>
      </c>
      <c r="C1" s="278" t="s">
        <v>59</v>
      </c>
      <c r="D1" s="269"/>
      <c r="E1" s="269"/>
      <c r="F1" s="269"/>
      <c r="G1" s="269"/>
      <c r="H1" s="269"/>
      <c r="I1" s="269"/>
      <c r="J1" s="269"/>
      <c r="K1" s="269" t="s">
        <v>60</v>
      </c>
      <c r="L1" s="269"/>
      <c r="M1" s="278" t="s">
        <v>385</v>
      </c>
      <c r="N1" s="269"/>
      <c r="O1" s="269"/>
      <c r="P1" s="269"/>
      <c r="Q1" s="269"/>
      <c r="R1" s="269"/>
      <c r="S1" s="269"/>
      <c r="T1" s="269"/>
      <c r="U1" s="269"/>
      <c r="V1" s="269"/>
      <c r="W1" s="269"/>
      <c r="X1" s="278" t="s">
        <v>326</v>
      </c>
      <c r="Y1" s="269"/>
      <c r="Z1" s="269"/>
      <c r="AA1" s="269"/>
      <c r="AB1" s="269"/>
      <c r="AC1" s="269"/>
      <c r="AD1" s="269"/>
      <c r="AE1" s="269"/>
      <c r="AF1" s="269"/>
      <c r="AG1" s="269"/>
      <c r="AH1" s="269"/>
      <c r="AI1" s="278" t="s">
        <v>61</v>
      </c>
      <c r="AJ1" s="269"/>
      <c r="AK1" s="269"/>
      <c r="AL1" s="269"/>
      <c r="AM1" s="269"/>
      <c r="AN1" s="269"/>
      <c r="AO1" s="269"/>
      <c r="AP1" s="269"/>
      <c r="AQ1" s="269"/>
      <c r="AR1" s="269"/>
      <c r="AS1" s="269"/>
      <c r="AT1" s="278" t="s">
        <v>62</v>
      </c>
      <c r="AU1" s="269"/>
      <c r="AV1" s="269"/>
      <c r="AW1" s="269"/>
      <c r="AX1" s="269"/>
      <c r="AY1" s="269"/>
      <c r="AZ1" s="269"/>
      <c r="BA1" s="269"/>
      <c r="BB1" s="269"/>
      <c r="BC1" s="269"/>
      <c r="BD1" s="269"/>
      <c r="BE1" s="278" t="s">
        <v>63</v>
      </c>
      <c r="BF1" s="269"/>
      <c r="BG1" s="269"/>
      <c r="BH1" s="269"/>
      <c r="BI1" s="269"/>
      <c r="BJ1" s="269"/>
      <c r="BK1" s="269"/>
      <c r="BL1" s="269"/>
      <c r="BM1" s="269"/>
      <c r="BN1" s="269"/>
      <c r="BO1" s="269"/>
      <c r="BP1" s="278" t="s">
        <v>109</v>
      </c>
      <c r="BQ1" s="269"/>
      <c r="BR1" s="269"/>
      <c r="BS1" s="269"/>
      <c r="BT1" s="269"/>
      <c r="BU1" s="269"/>
      <c r="BV1" s="269"/>
      <c r="BW1" s="269"/>
      <c r="BX1" s="269"/>
      <c r="BY1" s="269"/>
      <c r="BZ1" s="271"/>
      <c r="CA1" s="278" t="s">
        <v>110</v>
      </c>
      <c r="CB1" s="269"/>
      <c r="CC1" s="269"/>
      <c r="CD1" s="269"/>
      <c r="CE1" s="269"/>
      <c r="CF1" s="269"/>
      <c r="CG1" s="269"/>
      <c r="CH1" s="269"/>
      <c r="CI1" s="269"/>
      <c r="CJ1" s="269"/>
      <c r="CK1" s="269"/>
      <c r="CL1" s="278" t="s">
        <v>64</v>
      </c>
      <c r="CM1" s="269"/>
      <c r="CN1" s="269"/>
      <c r="CO1" s="269"/>
      <c r="CP1" s="269"/>
      <c r="CQ1" s="269"/>
      <c r="CR1" s="269"/>
      <c r="CS1" s="269"/>
      <c r="CT1" s="269"/>
      <c r="CU1" s="269"/>
      <c r="CV1" s="269"/>
      <c r="CW1" s="278" t="s">
        <v>65</v>
      </c>
      <c r="CX1" s="269"/>
      <c r="CY1" s="269"/>
      <c r="CZ1" s="269"/>
      <c r="DA1" s="269"/>
      <c r="DB1" s="269"/>
      <c r="DC1" s="269"/>
      <c r="DD1" s="269"/>
      <c r="DE1" s="269"/>
      <c r="DF1" s="269"/>
      <c r="DG1" s="269"/>
      <c r="DH1" s="278" t="s">
        <v>66</v>
      </c>
      <c r="DI1" s="269"/>
      <c r="DJ1" s="269"/>
      <c r="DK1" s="269"/>
      <c r="DL1" s="269"/>
      <c r="DM1" s="269"/>
      <c r="DN1" s="269"/>
      <c r="DO1" s="269"/>
      <c r="DP1" s="269"/>
      <c r="DQ1" s="269"/>
      <c r="DR1" s="269"/>
      <c r="DS1" s="278" t="s">
        <v>67</v>
      </c>
      <c r="DT1" s="269"/>
      <c r="DU1" s="269"/>
      <c r="DV1" s="269"/>
      <c r="DW1" s="269"/>
      <c r="DX1" s="269"/>
      <c r="DY1" s="269"/>
      <c r="DZ1" s="269"/>
      <c r="EA1" s="269"/>
      <c r="EB1" s="269"/>
      <c r="EC1" s="277"/>
      <c r="ED1" s="278" t="s">
        <v>327</v>
      </c>
      <c r="EE1" s="269"/>
      <c r="EF1" s="269"/>
      <c r="EG1" s="269"/>
      <c r="EH1" s="269"/>
      <c r="EI1" s="269"/>
      <c r="EJ1" s="269"/>
      <c r="EK1" s="269"/>
      <c r="EL1" s="269"/>
      <c r="EM1" s="269"/>
      <c r="EN1" s="269"/>
      <c r="EO1" s="278" t="s">
        <v>68</v>
      </c>
      <c r="EP1" s="269"/>
      <c r="EQ1" s="269"/>
      <c r="ER1" s="269"/>
      <c r="ES1" s="269"/>
      <c r="ET1" s="269"/>
      <c r="EU1" s="269"/>
      <c r="EV1" s="269"/>
      <c r="EW1" s="269"/>
      <c r="EX1" s="269"/>
      <c r="EY1" s="269"/>
      <c r="EZ1" s="278" t="s">
        <v>69</v>
      </c>
      <c r="FA1" s="269"/>
      <c r="FB1" s="269"/>
      <c r="FC1" s="269"/>
      <c r="FD1" s="269"/>
      <c r="FE1" s="269"/>
      <c r="FF1" s="269"/>
      <c r="FG1" s="269"/>
      <c r="FH1" s="269"/>
      <c r="FI1" s="269"/>
      <c r="FJ1" s="269"/>
      <c r="FK1" s="278" t="s">
        <v>70</v>
      </c>
      <c r="FL1" s="269"/>
      <c r="FM1" s="269"/>
      <c r="FN1" s="269"/>
      <c r="FO1" s="269"/>
      <c r="FP1" s="269"/>
      <c r="FQ1" s="269"/>
      <c r="FR1" s="269"/>
      <c r="FS1" s="269"/>
      <c r="FT1" s="269"/>
      <c r="FU1" s="269"/>
      <c r="FV1" s="278" t="s">
        <v>71</v>
      </c>
      <c r="FW1" s="269"/>
      <c r="FX1" s="269"/>
      <c r="FY1" s="269"/>
      <c r="FZ1" s="269"/>
      <c r="GA1" s="269"/>
      <c r="GB1" s="269"/>
      <c r="GC1" s="269"/>
      <c r="GD1" s="269"/>
      <c r="GE1" s="269"/>
      <c r="GF1" s="269"/>
      <c r="GG1" s="278" t="s">
        <v>72</v>
      </c>
      <c r="GH1" s="269"/>
      <c r="GI1" s="269"/>
      <c r="GJ1" s="269"/>
      <c r="GK1" s="269"/>
      <c r="GL1" s="269"/>
      <c r="GM1" s="269"/>
      <c r="GN1" s="269"/>
      <c r="GO1" s="269"/>
      <c r="GP1" s="269"/>
      <c r="GQ1" s="269"/>
      <c r="GR1" s="278" t="s">
        <v>73</v>
      </c>
      <c r="GS1" s="269"/>
      <c r="GT1" s="269"/>
      <c r="GU1" s="269"/>
      <c r="GV1" s="269"/>
      <c r="GW1" s="269"/>
      <c r="GX1" s="269"/>
      <c r="GY1" s="269"/>
      <c r="GZ1" s="269"/>
      <c r="HA1" s="269"/>
      <c r="HB1" s="269"/>
      <c r="HC1" s="278" t="s">
        <v>74</v>
      </c>
      <c r="HD1" s="269"/>
      <c r="HE1" s="269"/>
      <c r="HF1" s="269"/>
      <c r="HG1" s="269"/>
      <c r="HH1" s="269"/>
      <c r="HI1" s="269"/>
      <c r="HJ1" s="269"/>
      <c r="HK1" s="269"/>
      <c r="HL1" s="269"/>
      <c r="HM1" s="269"/>
      <c r="HN1" s="278" t="s">
        <v>75</v>
      </c>
      <c r="HO1" s="269"/>
      <c r="HP1" s="269"/>
      <c r="HQ1" s="269"/>
      <c r="HR1" s="269"/>
      <c r="HS1" s="269"/>
      <c r="HT1" s="269"/>
      <c r="HU1" s="269"/>
      <c r="HV1" s="269"/>
      <c r="HW1" s="269"/>
      <c r="HX1" s="269"/>
      <c r="HY1" s="278" t="s">
        <v>76</v>
      </c>
      <c r="HZ1" s="269"/>
      <c r="IA1" s="269"/>
      <c r="IB1" s="269"/>
      <c r="IC1" s="269"/>
      <c r="ID1" s="269"/>
      <c r="IE1" s="269"/>
      <c r="IF1" s="269"/>
      <c r="IG1" s="269"/>
      <c r="IH1" s="269"/>
      <c r="II1" s="269"/>
      <c r="IJ1" s="278" t="s">
        <v>77</v>
      </c>
      <c r="IK1" s="269"/>
      <c r="IL1" s="269"/>
      <c r="IM1" s="269"/>
      <c r="IN1" s="269"/>
      <c r="IO1" s="269"/>
      <c r="IP1" s="269"/>
      <c r="IQ1" s="269"/>
      <c r="IR1" s="269"/>
      <c r="IS1" s="269"/>
      <c r="IT1" s="277"/>
      <c r="IU1" s="278" t="s">
        <v>561</v>
      </c>
      <c r="IV1" s="269"/>
      <c r="IW1" s="269"/>
      <c r="IX1" s="269"/>
      <c r="IY1" s="269"/>
      <c r="IZ1" s="269"/>
      <c r="JA1" s="269"/>
      <c r="JB1" s="269"/>
      <c r="JC1" s="269"/>
      <c r="JD1" s="269"/>
      <c r="JE1" s="269"/>
      <c r="JF1" s="278" t="s">
        <v>78</v>
      </c>
      <c r="JG1" s="269"/>
      <c r="JH1" s="269"/>
      <c r="JI1" s="269"/>
      <c r="JJ1" s="269"/>
      <c r="JK1" s="269"/>
      <c r="JL1" s="269"/>
      <c r="JM1" s="269"/>
      <c r="JN1" s="269"/>
      <c r="JO1" s="269"/>
      <c r="JP1" s="269"/>
      <c r="JQ1" s="278" t="s">
        <v>79</v>
      </c>
      <c r="JR1" s="269"/>
      <c r="JS1" s="269"/>
      <c r="JT1" s="269"/>
      <c r="JU1" s="269"/>
      <c r="JV1" s="269"/>
      <c r="JW1" s="269"/>
      <c r="JX1" s="269"/>
      <c r="JY1" s="269"/>
      <c r="JZ1" s="269"/>
      <c r="KA1" s="269"/>
      <c r="KB1" s="278" t="s">
        <v>80</v>
      </c>
      <c r="KC1" s="269"/>
      <c r="KD1" s="269"/>
      <c r="KE1" s="269"/>
      <c r="KF1" s="269"/>
      <c r="KG1" s="269"/>
      <c r="KH1" s="269"/>
      <c r="KI1" s="269"/>
      <c r="KJ1" s="269"/>
      <c r="KK1" s="269"/>
      <c r="KL1" s="269"/>
      <c r="KM1" s="278" t="s">
        <v>81</v>
      </c>
      <c r="KN1" s="269"/>
      <c r="KO1" s="269"/>
      <c r="KP1" s="269"/>
      <c r="KQ1" s="269"/>
      <c r="KR1" s="269"/>
      <c r="KS1" s="269"/>
      <c r="KT1" s="269"/>
      <c r="KU1" s="269"/>
      <c r="KV1" s="269"/>
      <c r="KW1" s="269"/>
      <c r="KX1" s="278" t="s">
        <v>82</v>
      </c>
      <c r="KY1" s="269"/>
      <c r="KZ1" s="269"/>
      <c r="LA1" s="269"/>
      <c r="LB1" s="269"/>
      <c r="LC1" s="269"/>
      <c r="LD1" s="269"/>
      <c r="LE1" s="269"/>
      <c r="LF1" s="269"/>
      <c r="LG1" s="269"/>
      <c r="LH1" s="269"/>
      <c r="LI1" s="278" t="s">
        <v>83</v>
      </c>
      <c r="LJ1" s="269"/>
      <c r="LK1" s="269"/>
      <c r="LL1" s="269"/>
      <c r="LM1" s="269"/>
      <c r="LN1" s="269"/>
      <c r="LO1" s="269"/>
      <c r="LP1" s="269"/>
      <c r="LQ1" s="269"/>
      <c r="LR1" s="269"/>
      <c r="LS1" s="269"/>
      <c r="LT1" s="278" t="s">
        <v>84</v>
      </c>
      <c r="LU1" s="269"/>
      <c r="LV1" s="269"/>
      <c r="LW1" s="269"/>
      <c r="LX1" s="269"/>
      <c r="LY1" s="269"/>
      <c r="LZ1" s="269"/>
      <c r="MA1" s="269"/>
      <c r="MB1" s="269"/>
      <c r="MC1" s="269"/>
      <c r="MD1" s="269"/>
      <c r="ME1" s="278" t="s">
        <v>85</v>
      </c>
      <c r="MF1" s="269"/>
      <c r="MG1" s="269"/>
      <c r="MH1" s="269"/>
      <c r="MI1" s="269"/>
      <c r="MJ1" s="269"/>
      <c r="MK1" s="269"/>
      <c r="ML1" s="269"/>
      <c r="MM1" s="269"/>
      <c r="MN1" s="269"/>
      <c r="MO1" s="269"/>
      <c r="MP1" s="278" t="s">
        <v>86</v>
      </c>
      <c r="MQ1" s="269"/>
      <c r="MR1" s="269"/>
      <c r="MS1" s="269"/>
      <c r="MT1" s="269"/>
      <c r="MU1" s="269"/>
      <c r="MV1" s="269"/>
      <c r="MW1" s="269"/>
      <c r="MX1" s="269"/>
      <c r="MY1" s="269"/>
      <c r="MZ1" s="269"/>
      <c r="NA1" s="278" t="s">
        <v>87</v>
      </c>
      <c r="NB1" s="269"/>
      <c r="NC1" s="269"/>
      <c r="ND1" s="269"/>
      <c r="NE1" s="269"/>
      <c r="NF1" s="269"/>
      <c r="NG1" s="269"/>
      <c r="NH1" s="269"/>
      <c r="NI1" s="269"/>
      <c r="NJ1" s="269"/>
      <c r="NK1" s="269"/>
      <c r="NL1" s="278" t="s">
        <v>88</v>
      </c>
      <c r="NM1" s="269"/>
      <c r="NN1" s="269"/>
      <c r="NO1" s="269"/>
      <c r="NP1" s="269"/>
      <c r="NQ1" s="269"/>
      <c r="NR1" s="269"/>
      <c r="NS1" s="269"/>
      <c r="NT1" s="269"/>
      <c r="NU1" s="269"/>
      <c r="NV1" s="269"/>
      <c r="NW1" s="278" t="s">
        <v>89</v>
      </c>
      <c r="NX1" s="269"/>
      <c r="NY1" s="269"/>
      <c r="NZ1" s="269"/>
      <c r="OA1" s="269"/>
      <c r="OB1" s="269"/>
      <c r="OC1" s="269"/>
      <c r="OD1" s="269"/>
      <c r="OE1" s="269"/>
      <c r="OF1" s="269"/>
      <c r="OG1" s="269"/>
      <c r="OH1" s="295" t="s">
        <v>414</v>
      </c>
      <c r="OI1" s="269"/>
      <c r="OJ1" s="269"/>
      <c r="OK1" s="269"/>
      <c r="OL1" s="269"/>
      <c r="OM1" s="269"/>
      <c r="ON1" s="269"/>
      <c r="OO1" s="269"/>
      <c r="OP1" s="269"/>
      <c r="OQ1" s="269"/>
      <c r="OR1" s="269"/>
      <c r="OS1" s="277" t="s">
        <v>340</v>
      </c>
      <c r="OT1" s="277"/>
      <c r="OU1" s="277"/>
      <c r="OV1" s="277"/>
      <c r="OW1" s="277"/>
      <c r="OX1" s="277" t="s">
        <v>415</v>
      </c>
      <c r="OY1" s="277"/>
      <c r="OZ1" s="277"/>
      <c r="PA1" s="277"/>
      <c r="PB1" s="277"/>
      <c r="PC1" s="277"/>
    </row>
    <row r="2" spans="1:419">
      <c r="A2" s="269">
        <v>1</v>
      </c>
      <c r="B2" s="269">
        <v>2</v>
      </c>
      <c r="C2" s="269">
        <v>3</v>
      </c>
      <c r="D2" s="269">
        <v>4</v>
      </c>
      <c r="E2" s="269">
        <v>5</v>
      </c>
      <c r="F2" s="269">
        <v>6</v>
      </c>
      <c r="G2" s="269">
        <v>7</v>
      </c>
      <c r="H2" s="269">
        <v>8</v>
      </c>
      <c r="I2" s="269">
        <v>9</v>
      </c>
      <c r="J2" s="269">
        <v>10</v>
      </c>
      <c r="K2" s="269">
        <v>11</v>
      </c>
      <c r="L2" s="269">
        <v>12</v>
      </c>
      <c r="M2" s="269">
        <v>13</v>
      </c>
      <c r="N2" s="269">
        <v>14</v>
      </c>
      <c r="O2" s="269">
        <v>15</v>
      </c>
      <c r="P2" s="269">
        <v>16</v>
      </c>
      <c r="Q2" s="269">
        <v>17</v>
      </c>
      <c r="R2" s="269">
        <v>18</v>
      </c>
      <c r="S2" s="269">
        <v>19</v>
      </c>
      <c r="T2" s="269">
        <v>20</v>
      </c>
      <c r="U2" s="269">
        <v>21</v>
      </c>
      <c r="V2" s="269">
        <v>22</v>
      </c>
      <c r="W2" s="269">
        <v>23</v>
      </c>
      <c r="X2" s="269">
        <v>24</v>
      </c>
      <c r="Y2" s="269">
        <v>25</v>
      </c>
      <c r="Z2" s="269">
        <v>26</v>
      </c>
      <c r="AA2" s="269">
        <v>27</v>
      </c>
      <c r="AB2" s="269">
        <v>28</v>
      </c>
      <c r="AC2" s="269">
        <v>29</v>
      </c>
      <c r="AD2" s="269">
        <v>30</v>
      </c>
      <c r="AE2" s="269">
        <v>31</v>
      </c>
      <c r="AF2" s="269">
        <v>32</v>
      </c>
      <c r="AG2" s="269">
        <v>33</v>
      </c>
      <c r="AH2" s="269">
        <v>34</v>
      </c>
      <c r="AI2" s="269">
        <v>35</v>
      </c>
      <c r="AJ2" s="269">
        <v>36</v>
      </c>
      <c r="AK2" s="269">
        <v>37</v>
      </c>
      <c r="AL2" s="269">
        <v>38</v>
      </c>
      <c r="AM2" s="269">
        <v>39</v>
      </c>
      <c r="AN2" s="269">
        <v>40</v>
      </c>
      <c r="AO2" s="269">
        <v>41</v>
      </c>
      <c r="AP2" s="269">
        <v>42</v>
      </c>
      <c r="AQ2" s="269">
        <v>43</v>
      </c>
      <c r="AR2" s="269">
        <v>44</v>
      </c>
      <c r="AS2" s="269">
        <v>45</v>
      </c>
      <c r="AT2" s="269">
        <v>46</v>
      </c>
      <c r="AU2" s="269">
        <v>47</v>
      </c>
      <c r="AV2" s="269">
        <v>48</v>
      </c>
      <c r="AW2" s="269">
        <v>49</v>
      </c>
      <c r="AX2" s="269">
        <v>50</v>
      </c>
      <c r="AY2" s="269">
        <v>51</v>
      </c>
      <c r="AZ2" s="269">
        <v>52</v>
      </c>
      <c r="BA2" s="269">
        <v>53</v>
      </c>
      <c r="BB2" s="269">
        <v>54</v>
      </c>
      <c r="BC2" s="269">
        <v>55</v>
      </c>
      <c r="BD2" s="269">
        <v>56</v>
      </c>
      <c r="BE2" s="269">
        <v>57</v>
      </c>
      <c r="BF2" s="269">
        <v>58</v>
      </c>
      <c r="BG2" s="269">
        <v>59</v>
      </c>
      <c r="BH2" s="269">
        <v>60</v>
      </c>
      <c r="BI2" s="269">
        <v>61</v>
      </c>
      <c r="BJ2" s="269">
        <v>62</v>
      </c>
      <c r="BK2" s="269">
        <v>63</v>
      </c>
      <c r="BL2" s="269">
        <v>64</v>
      </c>
      <c r="BM2" s="269">
        <v>65</v>
      </c>
      <c r="BN2" s="269">
        <v>66</v>
      </c>
      <c r="BO2" s="269">
        <v>67</v>
      </c>
      <c r="BP2" s="269">
        <v>68</v>
      </c>
      <c r="BQ2" s="269">
        <v>69</v>
      </c>
      <c r="BR2" s="269">
        <v>70</v>
      </c>
      <c r="BS2" s="269">
        <v>71</v>
      </c>
      <c r="BT2" s="269">
        <v>72</v>
      </c>
      <c r="BU2" s="269">
        <v>73</v>
      </c>
      <c r="BV2" s="269">
        <v>74</v>
      </c>
      <c r="BW2" s="269">
        <v>75</v>
      </c>
      <c r="BX2" s="269">
        <v>76</v>
      </c>
      <c r="BY2" s="269">
        <v>77</v>
      </c>
      <c r="BZ2" s="269">
        <v>78</v>
      </c>
      <c r="CA2" s="269">
        <v>79</v>
      </c>
      <c r="CB2" s="269">
        <v>80</v>
      </c>
      <c r="CC2" s="269">
        <v>81</v>
      </c>
      <c r="CD2" s="269">
        <v>82</v>
      </c>
      <c r="CE2" s="269">
        <v>83</v>
      </c>
      <c r="CF2" s="269">
        <v>84</v>
      </c>
      <c r="CG2" s="269">
        <v>85</v>
      </c>
      <c r="CH2" s="269">
        <v>86</v>
      </c>
      <c r="CI2" s="269">
        <v>87</v>
      </c>
      <c r="CJ2" s="269">
        <v>88</v>
      </c>
      <c r="CK2" s="269">
        <v>89</v>
      </c>
      <c r="CL2" s="269">
        <v>90</v>
      </c>
      <c r="CM2" s="269">
        <v>91</v>
      </c>
      <c r="CN2" s="269">
        <v>92</v>
      </c>
      <c r="CO2" s="269">
        <v>93</v>
      </c>
      <c r="CP2" s="269">
        <v>94</v>
      </c>
      <c r="CQ2" s="269">
        <v>95</v>
      </c>
      <c r="CR2" s="269">
        <v>96</v>
      </c>
      <c r="CS2" s="269">
        <v>97</v>
      </c>
      <c r="CT2" s="269">
        <v>98</v>
      </c>
      <c r="CU2" s="269">
        <v>99</v>
      </c>
      <c r="CV2" s="269">
        <v>100</v>
      </c>
      <c r="CW2" s="269">
        <v>101</v>
      </c>
      <c r="CX2" s="269">
        <v>102</v>
      </c>
      <c r="CY2" s="269">
        <v>103</v>
      </c>
      <c r="CZ2" s="269">
        <v>104</v>
      </c>
      <c r="DA2" s="269">
        <v>105</v>
      </c>
      <c r="DB2" s="269">
        <v>106</v>
      </c>
      <c r="DC2" s="269">
        <v>107</v>
      </c>
      <c r="DD2" s="269">
        <v>108</v>
      </c>
      <c r="DE2" s="269">
        <v>109</v>
      </c>
      <c r="DF2" s="269">
        <v>110</v>
      </c>
      <c r="DG2" s="269">
        <v>111</v>
      </c>
      <c r="DH2" s="269">
        <v>112</v>
      </c>
      <c r="DI2" s="269">
        <v>113</v>
      </c>
      <c r="DJ2" s="269">
        <v>114</v>
      </c>
      <c r="DK2" s="269">
        <v>115</v>
      </c>
      <c r="DL2" s="269">
        <v>116</v>
      </c>
      <c r="DM2" s="269">
        <v>117</v>
      </c>
      <c r="DN2" s="269">
        <v>118</v>
      </c>
      <c r="DO2" s="269">
        <v>119</v>
      </c>
      <c r="DP2" s="269">
        <v>120</v>
      </c>
      <c r="DQ2" s="269">
        <v>121</v>
      </c>
      <c r="DR2" s="269">
        <v>122</v>
      </c>
      <c r="DS2" s="269">
        <v>123</v>
      </c>
      <c r="DT2" s="269">
        <v>124</v>
      </c>
      <c r="DU2" s="269">
        <v>125</v>
      </c>
      <c r="DV2" s="269">
        <v>126</v>
      </c>
      <c r="DW2" s="269">
        <v>127</v>
      </c>
      <c r="DX2" s="269">
        <v>128</v>
      </c>
      <c r="DY2" s="269">
        <v>129</v>
      </c>
      <c r="DZ2" s="269">
        <v>130</v>
      </c>
      <c r="EA2" s="269">
        <v>131</v>
      </c>
      <c r="EB2" s="269">
        <v>132</v>
      </c>
      <c r="EC2" s="269">
        <v>133</v>
      </c>
      <c r="ED2" s="269">
        <v>134</v>
      </c>
      <c r="EE2" s="269">
        <v>135</v>
      </c>
      <c r="EF2" s="269">
        <v>136</v>
      </c>
      <c r="EG2" s="269">
        <v>137</v>
      </c>
      <c r="EH2" s="269">
        <v>138</v>
      </c>
      <c r="EI2" s="269">
        <v>139</v>
      </c>
      <c r="EJ2" s="269">
        <v>140</v>
      </c>
      <c r="EK2" s="269">
        <v>141</v>
      </c>
      <c r="EL2" s="269">
        <v>142</v>
      </c>
      <c r="EM2" s="269">
        <v>143</v>
      </c>
      <c r="EN2" s="269">
        <v>144</v>
      </c>
      <c r="EO2" s="269">
        <v>145</v>
      </c>
      <c r="EP2" s="269">
        <v>146</v>
      </c>
      <c r="EQ2" s="269">
        <v>147</v>
      </c>
      <c r="ER2" s="269">
        <v>148</v>
      </c>
      <c r="ES2" s="269">
        <v>149</v>
      </c>
      <c r="ET2" s="269">
        <v>150</v>
      </c>
      <c r="EU2" s="269">
        <v>151</v>
      </c>
      <c r="EV2" s="269">
        <v>152</v>
      </c>
      <c r="EW2" s="269">
        <v>153</v>
      </c>
      <c r="EX2" s="269">
        <v>154</v>
      </c>
      <c r="EY2" s="269">
        <v>155</v>
      </c>
      <c r="EZ2" s="269">
        <v>156</v>
      </c>
      <c r="FA2" s="269">
        <v>157</v>
      </c>
      <c r="FB2" s="269">
        <v>158</v>
      </c>
      <c r="FC2" s="269">
        <v>159</v>
      </c>
      <c r="FD2" s="269">
        <v>160</v>
      </c>
      <c r="FE2" s="269">
        <v>161</v>
      </c>
      <c r="FF2" s="269">
        <v>162</v>
      </c>
      <c r="FG2" s="269">
        <v>163</v>
      </c>
      <c r="FH2" s="269">
        <v>164</v>
      </c>
      <c r="FI2" s="269">
        <v>165</v>
      </c>
      <c r="FJ2" s="269">
        <v>166</v>
      </c>
      <c r="FK2" s="269">
        <v>167</v>
      </c>
      <c r="FL2" s="269">
        <v>168</v>
      </c>
      <c r="FM2" s="269">
        <v>169</v>
      </c>
      <c r="FN2" s="269">
        <v>170</v>
      </c>
      <c r="FO2" s="269">
        <v>171</v>
      </c>
      <c r="FP2" s="269">
        <v>172</v>
      </c>
      <c r="FQ2" s="269">
        <v>173</v>
      </c>
      <c r="FR2" s="269">
        <v>174</v>
      </c>
      <c r="FS2" s="269">
        <v>175</v>
      </c>
      <c r="FT2" s="269">
        <v>176</v>
      </c>
      <c r="FU2" s="269">
        <v>177</v>
      </c>
      <c r="FV2" s="269">
        <v>178</v>
      </c>
      <c r="FW2" s="269">
        <v>179</v>
      </c>
      <c r="FX2" s="269">
        <v>180</v>
      </c>
      <c r="FY2" s="269">
        <v>181</v>
      </c>
      <c r="FZ2" s="269">
        <v>182</v>
      </c>
      <c r="GA2" s="269">
        <v>183</v>
      </c>
      <c r="GB2" s="269">
        <v>184</v>
      </c>
      <c r="GC2" s="269">
        <v>185</v>
      </c>
      <c r="GD2" s="269">
        <v>186</v>
      </c>
      <c r="GE2" s="269">
        <v>187</v>
      </c>
      <c r="GF2" s="269">
        <v>188</v>
      </c>
      <c r="GG2" s="269">
        <v>189</v>
      </c>
      <c r="GH2" s="269">
        <v>190</v>
      </c>
      <c r="GI2" s="269">
        <v>191</v>
      </c>
      <c r="GJ2" s="269">
        <v>192</v>
      </c>
      <c r="GK2" s="269">
        <v>193</v>
      </c>
      <c r="GL2" s="269">
        <v>194</v>
      </c>
      <c r="GM2" s="269">
        <v>195</v>
      </c>
      <c r="GN2" s="269">
        <v>196</v>
      </c>
      <c r="GO2" s="269">
        <v>197</v>
      </c>
      <c r="GP2" s="269">
        <v>198</v>
      </c>
      <c r="GQ2" s="269">
        <v>199</v>
      </c>
      <c r="GR2" s="269">
        <v>200</v>
      </c>
      <c r="GS2" s="269">
        <v>201</v>
      </c>
      <c r="GT2" s="269">
        <v>202</v>
      </c>
      <c r="GU2" s="269">
        <v>203</v>
      </c>
      <c r="GV2" s="269">
        <v>204</v>
      </c>
      <c r="GW2" s="269">
        <v>205</v>
      </c>
      <c r="GX2" s="269">
        <v>206</v>
      </c>
      <c r="GY2" s="269">
        <v>207</v>
      </c>
      <c r="GZ2" s="269">
        <v>208</v>
      </c>
      <c r="HA2" s="269">
        <v>209</v>
      </c>
      <c r="HB2" s="269">
        <v>210</v>
      </c>
      <c r="HC2" s="269">
        <v>211</v>
      </c>
      <c r="HD2" s="269">
        <v>212</v>
      </c>
      <c r="HE2" s="269">
        <v>213</v>
      </c>
      <c r="HF2" s="269">
        <v>214</v>
      </c>
      <c r="HG2" s="269">
        <v>215</v>
      </c>
      <c r="HH2" s="269">
        <v>216</v>
      </c>
      <c r="HI2" s="269">
        <v>217</v>
      </c>
      <c r="HJ2" s="269">
        <v>218</v>
      </c>
      <c r="HK2" s="269">
        <v>219</v>
      </c>
      <c r="HL2" s="269">
        <v>220</v>
      </c>
      <c r="HM2" s="269">
        <v>221</v>
      </c>
      <c r="HN2" s="269">
        <v>222</v>
      </c>
      <c r="HO2" s="269">
        <v>223</v>
      </c>
      <c r="HP2" s="269">
        <v>224</v>
      </c>
      <c r="HQ2" s="269">
        <v>225</v>
      </c>
      <c r="HR2" s="269">
        <v>226</v>
      </c>
      <c r="HS2" s="269">
        <v>227</v>
      </c>
      <c r="HT2" s="269">
        <v>228</v>
      </c>
      <c r="HU2" s="269">
        <v>229</v>
      </c>
      <c r="HV2" s="269">
        <v>230</v>
      </c>
      <c r="HW2" s="269">
        <v>231</v>
      </c>
      <c r="HX2" s="269">
        <v>232</v>
      </c>
      <c r="HY2" s="269">
        <v>233</v>
      </c>
      <c r="HZ2" s="269">
        <v>234</v>
      </c>
      <c r="IA2" s="269">
        <v>235</v>
      </c>
      <c r="IB2" s="269">
        <v>236</v>
      </c>
      <c r="IC2" s="269">
        <v>237</v>
      </c>
      <c r="ID2" s="269">
        <v>238</v>
      </c>
      <c r="IE2" s="269">
        <v>239</v>
      </c>
      <c r="IF2" s="269">
        <v>240</v>
      </c>
      <c r="IG2" s="269">
        <v>241</v>
      </c>
      <c r="IH2" s="269">
        <v>242</v>
      </c>
      <c r="II2" s="269">
        <v>243</v>
      </c>
      <c r="IJ2" s="269">
        <v>244</v>
      </c>
      <c r="IK2" s="269">
        <v>245</v>
      </c>
      <c r="IL2" s="269">
        <v>246</v>
      </c>
      <c r="IM2" s="269">
        <v>247</v>
      </c>
      <c r="IN2" s="269">
        <v>248</v>
      </c>
      <c r="IO2" s="269">
        <v>249</v>
      </c>
      <c r="IP2" s="269">
        <v>250</v>
      </c>
      <c r="IQ2" s="269">
        <v>251</v>
      </c>
      <c r="IR2" s="269">
        <v>252</v>
      </c>
      <c r="IS2" s="269">
        <v>253</v>
      </c>
      <c r="IT2" s="269">
        <v>254</v>
      </c>
      <c r="IU2" s="269">
        <v>255</v>
      </c>
      <c r="IV2" s="269">
        <v>256</v>
      </c>
      <c r="IW2" s="269">
        <v>257</v>
      </c>
      <c r="IX2" s="269">
        <v>258</v>
      </c>
      <c r="IY2" s="269">
        <v>259</v>
      </c>
      <c r="IZ2" s="269">
        <v>260</v>
      </c>
      <c r="JA2" s="269">
        <v>261</v>
      </c>
      <c r="JB2" s="269">
        <v>262</v>
      </c>
      <c r="JC2" s="269">
        <v>263</v>
      </c>
      <c r="JD2" s="269">
        <v>264</v>
      </c>
      <c r="JE2" s="269">
        <v>265</v>
      </c>
      <c r="JF2" s="269">
        <v>266</v>
      </c>
      <c r="JG2" s="269">
        <v>267</v>
      </c>
      <c r="JH2" s="269">
        <v>268</v>
      </c>
      <c r="JI2" s="269">
        <v>269</v>
      </c>
      <c r="JJ2" s="269">
        <v>270</v>
      </c>
      <c r="JK2" s="269">
        <v>271</v>
      </c>
      <c r="JL2" s="269">
        <v>272</v>
      </c>
      <c r="JM2" s="269">
        <v>273</v>
      </c>
      <c r="JN2" s="269">
        <v>274</v>
      </c>
      <c r="JO2" s="269">
        <v>275</v>
      </c>
      <c r="JP2" s="269">
        <v>276</v>
      </c>
      <c r="JQ2" s="269">
        <v>277</v>
      </c>
      <c r="JR2" s="269">
        <v>278</v>
      </c>
      <c r="JS2" s="269">
        <v>279</v>
      </c>
      <c r="JT2" s="269">
        <v>280</v>
      </c>
      <c r="JU2" s="269">
        <v>281</v>
      </c>
      <c r="JV2" s="269">
        <v>282</v>
      </c>
      <c r="JW2" s="269">
        <v>283</v>
      </c>
      <c r="JX2" s="269">
        <v>284</v>
      </c>
      <c r="JY2" s="269">
        <v>285</v>
      </c>
      <c r="JZ2" s="269">
        <v>286</v>
      </c>
      <c r="KA2" s="269">
        <v>287</v>
      </c>
      <c r="KB2" s="269">
        <v>288</v>
      </c>
      <c r="KC2" s="269">
        <v>289</v>
      </c>
      <c r="KD2" s="269">
        <v>290</v>
      </c>
      <c r="KE2" s="269">
        <v>291</v>
      </c>
      <c r="KF2" s="269">
        <v>292</v>
      </c>
      <c r="KG2" s="269">
        <v>293</v>
      </c>
      <c r="KH2" s="269">
        <v>294</v>
      </c>
      <c r="KI2" s="269">
        <v>295</v>
      </c>
      <c r="KJ2" s="269">
        <v>296</v>
      </c>
      <c r="KK2" s="269">
        <v>297</v>
      </c>
      <c r="KL2" s="269">
        <v>298</v>
      </c>
      <c r="KM2" s="269">
        <v>299</v>
      </c>
      <c r="KN2" s="269">
        <v>300</v>
      </c>
      <c r="KO2" s="269">
        <v>301</v>
      </c>
      <c r="KP2" s="269">
        <v>302</v>
      </c>
      <c r="KQ2" s="269">
        <v>303</v>
      </c>
      <c r="KR2" s="269">
        <v>304</v>
      </c>
      <c r="KS2" s="269">
        <v>305</v>
      </c>
      <c r="KT2" s="269">
        <v>306</v>
      </c>
      <c r="KU2" s="269">
        <v>307</v>
      </c>
      <c r="KV2" s="269">
        <v>308</v>
      </c>
      <c r="KW2" s="269">
        <v>309</v>
      </c>
      <c r="KX2" s="269">
        <v>310</v>
      </c>
      <c r="KY2" s="269">
        <v>311</v>
      </c>
      <c r="KZ2" s="269">
        <v>312</v>
      </c>
      <c r="LA2" s="269">
        <v>313</v>
      </c>
      <c r="LB2" s="269">
        <v>314</v>
      </c>
      <c r="LC2" s="269">
        <v>315</v>
      </c>
      <c r="LD2" s="269">
        <v>316</v>
      </c>
      <c r="LE2" s="269">
        <v>317</v>
      </c>
      <c r="LF2" s="269">
        <v>318</v>
      </c>
      <c r="LG2" s="269">
        <v>319</v>
      </c>
      <c r="LH2" s="269">
        <v>320</v>
      </c>
      <c r="LI2" s="269">
        <v>321</v>
      </c>
      <c r="LJ2" s="269">
        <v>322</v>
      </c>
      <c r="LK2" s="269">
        <v>323</v>
      </c>
      <c r="LL2" s="269">
        <v>324</v>
      </c>
      <c r="LM2" s="269">
        <v>325</v>
      </c>
      <c r="LN2" s="269">
        <v>326</v>
      </c>
      <c r="LO2" s="269">
        <v>327</v>
      </c>
      <c r="LP2" s="269">
        <v>328</v>
      </c>
      <c r="LQ2" s="269">
        <v>329</v>
      </c>
      <c r="LR2" s="269">
        <v>330</v>
      </c>
      <c r="LS2" s="269">
        <v>331</v>
      </c>
      <c r="LT2" s="269">
        <v>332</v>
      </c>
      <c r="LU2" s="269">
        <v>333</v>
      </c>
      <c r="LV2" s="269">
        <v>334</v>
      </c>
      <c r="LW2" s="269">
        <v>335</v>
      </c>
      <c r="LX2" s="269">
        <v>336</v>
      </c>
      <c r="LY2" s="269">
        <v>337</v>
      </c>
      <c r="LZ2" s="269">
        <v>338</v>
      </c>
      <c r="MA2" s="269">
        <v>339</v>
      </c>
      <c r="MB2" s="269">
        <v>340</v>
      </c>
      <c r="MC2" s="269">
        <v>341</v>
      </c>
      <c r="MD2" s="269">
        <v>342</v>
      </c>
      <c r="ME2" s="269">
        <v>343</v>
      </c>
      <c r="MF2" s="269">
        <v>344</v>
      </c>
      <c r="MG2" s="269">
        <v>345</v>
      </c>
      <c r="MH2" s="269">
        <v>346</v>
      </c>
      <c r="MI2" s="269">
        <v>347</v>
      </c>
      <c r="MJ2" s="269">
        <v>348</v>
      </c>
      <c r="MK2" s="269">
        <v>349</v>
      </c>
      <c r="ML2" s="269">
        <v>350</v>
      </c>
      <c r="MM2" s="269">
        <v>351</v>
      </c>
      <c r="MN2" s="269">
        <v>352</v>
      </c>
      <c r="MO2" s="269">
        <v>353</v>
      </c>
      <c r="MP2" s="269">
        <v>354</v>
      </c>
      <c r="MQ2" s="269">
        <v>355</v>
      </c>
      <c r="MR2" s="269">
        <v>356</v>
      </c>
      <c r="MS2" s="269">
        <v>357</v>
      </c>
      <c r="MT2" s="269">
        <v>358</v>
      </c>
      <c r="MU2" s="269">
        <v>359</v>
      </c>
      <c r="MV2" s="269">
        <v>360</v>
      </c>
      <c r="MW2" s="269">
        <v>361</v>
      </c>
      <c r="MX2" s="269">
        <v>362</v>
      </c>
      <c r="MY2" s="269">
        <v>363</v>
      </c>
      <c r="MZ2" s="269">
        <v>364</v>
      </c>
      <c r="NA2" s="269">
        <v>365</v>
      </c>
      <c r="NB2" s="269">
        <v>366</v>
      </c>
      <c r="NC2" s="269">
        <v>367</v>
      </c>
      <c r="ND2" s="269">
        <v>368</v>
      </c>
      <c r="NE2" s="269">
        <v>369</v>
      </c>
      <c r="NF2" s="269">
        <v>370</v>
      </c>
      <c r="NG2" s="269">
        <v>371</v>
      </c>
      <c r="NH2" s="269">
        <v>372</v>
      </c>
      <c r="NI2" s="269">
        <v>373</v>
      </c>
      <c r="NJ2" s="269">
        <v>374</v>
      </c>
      <c r="NK2" s="269">
        <v>375</v>
      </c>
      <c r="NL2" s="269">
        <v>376</v>
      </c>
      <c r="NM2" s="269">
        <v>377</v>
      </c>
      <c r="NN2" s="269">
        <v>378</v>
      </c>
      <c r="NO2" s="269">
        <v>379</v>
      </c>
      <c r="NP2" s="269">
        <v>380</v>
      </c>
      <c r="NQ2" s="269">
        <v>381</v>
      </c>
      <c r="NR2" s="269">
        <v>382</v>
      </c>
      <c r="NS2" s="269">
        <v>383</v>
      </c>
      <c r="NT2" s="269">
        <v>384</v>
      </c>
      <c r="NU2" s="269">
        <v>385</v>
      </c>
      <c r="NV2" s="269">
        <v>386</v>
      </c>
      <c r="NW2" s="269">
        <v>387</v>
      </c>
      <c r="NX2" s="269">
        <v>388</v>
      </c>
      <c r="NY2" s="269">
        <v>389</v>
      </c>
      <c r="NZ2" s="269">
        <v>390</v>
      </c>
      <c r="OA2" s="269">
        <v>391</v>
      </c>
      <c r="OB2" s="269">
        <v>392</v>
      </c>
      <c r="OC2" s="269">
        <v>393</v>
      </c>
      <c r="OD2" s="269">
        <v>394</v>
      </c>
      <c r="OE2" s="269">
        <v>395</v>
      </c>
      <c r="OF2" s="269">
        <v>396</v>
      </c>
      <c r="OG2" s="269">
        <v>397</v>
      </c>
      <c r="OH2" s="276">
        <v>398</v>
      </c>
      <c r="OI2" s="276">
        <v>399</v>
      </c>
      <c r="OJ2" s="276">
        <v>400</v>
      </c>
      <c r="OK2" s="276">
        <v>401</v>
      </c>
      <c r="OL2" s="276">
        <v>402</v>
      </c>
      <c r="OM2" s="276">
        <v>403</v>
      </c>
      <c r="ON2" s="276">
        <v>404</v>
      </c>
      <c r="OO2" s="276">
        <v>405</v>
      </c>
      <c r="OP2" s="276">
        <v>406</v>
      </c>
      <c r="OQ2" s="276">
        <v>407</v>
      </c>
      <c r="OR2" s="276">
        <v>408</v>
      </c>
      <c r="OS2" s="269">
        <v>409</v>
      </c>
      <c r="OT2" s="269">
        <v>410</v>
      </c>
      <c r="OU2" s="269">
        <v>411</v>
      </c>
      <c r="OV2" s="269">
        <v>412</v>
      </c>
      <c r="OW2" s="269">
        <v>413</v>
      </c>
      <c r="OX2" s="269">
        <v>414</v>
      </c>
      <c r="OY2" s="269">
        <v>415</v>
      </c>
      <c r="OZ2" s="269">
        <v>416</v>
      </c>
      <c r="PA2" s="269">
        <v>417</v>
      </c>
      <c r="PB2" s="269">
        <v>418</v>
      </c>
      <c r="PC2" s="269">
        <v>419</v>
      </c>
    </row>
    <row r="3" spans="1:419">
      <c r="A3" s="269"/>
      <c r="B3" s="299" t="s">
        <v>1</v>
      </c>
      <c r="C3" s="285" t="s">
        <v>8</v>
      </c>
      <c r="D3" s="285" t="s">
        <v>9</v>
      </c>
      <c r="E3" s="285" t="s">
        <v>10</v>
      </c>
      <c r="F3" s="285" t="s">
        <v>58</v>
      </c>
      <c r="G3" s="285" t="s">
        <v>325</v>
      </c>
      <c r="H3" s="285" t="s">
        <v>384</v>
      </c>
      <c r="I3" s="285" t="s">
        <v>409</v>
      </c>
      <c r="J3" s="285" t="s">
        <v>436</v>
      </c>
      <c r="K3" s="285" t="s">
        <v>445</v>
      </c>
      <c r="L3" s="285" t="s">
        <v>545</v>
      </c>
      <c r="M3" s="299" t="s">
        <v>1</v>
      </c>
      <c r="N3" s="285" t="s">
        <v>8</v>
      </c>
      <c r="O3" s="285" t="s">
        <v>9</v>
      </c>
      <c r="P3" s="285" t="s">
        <v>10</v>
      </c>
      <c r="Q3" s="285" t="s">
        <v>58</v>
      </c>
      <c r="R3" s="285" t="s">
        <v>325</v>
      </c>
      <c r="S3" s="285" t="s">
        <v>384</v>
      </c>
      <c r="T3" s="285" t="s">
        <v>409</v>
      </c>
      <c r="U3" s="285" t="s">
        <v>436</v>
      </c>
      <c r="V3" s="285" t="s">
        <v>445</v>
      </c>
      <c r="W3" s="285" t="s">
        <v>545</v>
      </c>
      <c r="X3" s="299" t="s">
        <v>1</v>
      </c>
      <c r="Y3" s="285" t="s">
        <v>8</v>
      </c>
      <c r="Z3" s="285" t="s">
        <v>9</v>
      </c>
      <c r="AA3" s="285" t="s">
        <v>10</v>
      </c>
      <c r="AB3" s="285" t="s">
        <v>58</v>
      </c>
      <c r="AC3" s="285" t="s">
        <v>325</v>
      </c>
      <c r="AD3" s="285" t="s">
        <v>384</v>
      </c>
      <c r="AE3" s="285" t="s">
        <v>409</v>
      </c>
      <c r="AF3" s="285" t="s">
        <v>436</v>
      </c>
      <c r="AG3" s="285" t="s">
        <v>445</v>
      </c>
      <c r="AH3" s="285" t="s">
        <v>545</v>
      </c>
      <c r="AI3" s="293" t="s">
        <v>1</v>
      </c>
      <c r="AJ3" s="279" t="s">
        <v>8</v>
      </c>
      <c r="AK3" s="279" t="s">
        <v>9</v>
      </c>
      <c r="AL3" s="279" t="s">
        <v>10</v>
      </c>
      <c r="AM3" s="279" t="s">
        <v>58</v>
      </c>
      <c r="AN3" s="279" t="s">
        <v>325</v>
      </c>
      <c r="AO3" s="279" t="s">
        <v>384</v>
      </c>
      <c r="AP3" s="279" t="s">
        <v>409</v>
      </c>
      <c r="AQ3" s="279" t="s">
        <v>436</v>
      </c>
      <c r="AR3" s="279" t="s">
        <v>445</v>
      </c>
      <c r="AS3" s="279" t="s">
        <v>545</v>
      </c>
      <c r="AT3" s="300" t="s">
        <v>1</v>
      </c>
      <c r="AU3" s="279" t="s">
        <v>8</v>
      </c>
      <c r="AV3" s="279" t="s">
        <v>9</v>
      </c>
      <c r="AW3" s="279" t="s">
        <v>10</v>
      </c>
      <c r="AX3" s="279" t="s">
        <v>58</v>
      </c>
      <c r="AY3" s="279" t="s">
        <v>325</v>
      </c>
      <c r="AZ3" s="279" t="s">
        <v>384</v>
      </c>
      <c r="BA3" s="279" t="s">
        <v>409</v>
      </c>
      <c r="BB3" s="279" t="s">
        <v>436</v>
      </c>
      <c r="BC3" s="279" t="s">
        <v>445</v>
      </c>
      <c r="BD3" s="279" t="s">
        <v>545</v>
      </c>
      <c r="BE3" s="300" t="s">
        <v>1</v>
      </c>
      <c r="BF3" s="279" t="s">
        <v>8</v>
      </c>
      <c r="BG3" s="279" t="s">
        <v>9</v>
      </c>
      <c r="BH3" s="279" t="s">
        <v>10</v>
      </c>
      <c r="BI3" s="279" t="s">
        <v>58</v>
      </c>
      <c r="BJ3" s="279" t="s">
        <v>325</v>
      </c>
      <c r="BK3" s="279" t="s">
        <v>384</v>
      </c>
      <c r="BL3" s="279" t="s">
        <v>409</v>
      </c>
      <c r="BM3" s="279" t="s">
        <v>436</v>
      </c>
      <c r="BN3" s="279" t="s">
        <v>445</v>
      </c>
      <c r="BO3" s="279" t="s">
        <v>545</v>
      </c>
      <c r="BP3" s="301" t="s">
        <v>1</v>
      </c>
      <c r="BQ3" s="282" t="s">
        <v>8</v>
      </c>
      <c r="BR3" s="282" t="s">
        <v>9</v>
      </c>
      <c r="BS3" s="282" t="s">
        <v>10</v>
      </c>
      <c r="BT3" s="282" t="s">
        <v>58</v>
      </c>
      <c r="BU3" s="282" t="s">
        <v>325</v>
      </c>
      <c r="BV3" s="282" t="s">
        <v>384</v>
      </c>
      <c r="BW3" s="282" t="s">
        <v>409</v>
      </c>
      <c r="BX3" s="282" t="s">
        <v>436</v>
      </c>
      <c r="BY3" s="282" t="s">
        <v>445</v>
      </c>
      <c r="BZ3" s="282" t="s">
        <v>545</v>
      </c>
      <c r="CA3" s="301" t="s">
        <v>1</v>
      </c>
      <c r="CB3" s="282" t="s">
        <v>8</v>
      </c>
      <c r="CC3" s="282" t="s">
        <v>9</v>
      </c>
      <c r="CD3" s="282" t="s">
        <v>10</v>
      </c>
      <c r="CE3" s="282" t="s">
        <v>58</v>
      </c>
      <c r="CF3" s="282" t="s">
        <v>325</v>
      </c>
      <c r="CG3" s="282" t="s">
        <v>384</v>
      </c>
      <c r="CH3" s="282" t="s">
        <v>409</v>
      </c>
      <c r="CI3" s="282" t="s">
        <v>436</v>
      </c>
      <c r="CJ3" s="282" t="s">
        <v>445</v>
      </c>
      <c r="CK3" s="282" t="s">
        <v>545</v>
      </c>
      <c r="CL3" s="299" t="s">
        <v>1</v>
      </c>
      <c r="CM3" s="285" t="s">
        <v>8</v>
      </c>
      <c r="CN3" s="285" t="s">
        <v>9</v>
      </c>
      <c r="CO3" s="285" t="s">
        <v>10</v>
      </c>
      <c r="CP3" s="285" t="s">
        <v>58</v>
      </c>
      <c r="CQ3" s="285" t="s">
        <v>325</v>
      </c>
      <c r="CR3" s="285" t="s">
        <v>384</v>
      </c>
      <c r="CS3" s="285" t="s">
        <v>409</v>
      </c>
      <c r="CT3" s="285" t="s">
        <v>436</v>
      </c>
      <c r="CU3" s="285" t="s">
        <v>445</v>
      </c>
      <c r="CV3" s="285" t="s">
        <v>545</v>
      </c>
      <c r="CW3" s="299" t="s">
        <v>1</v>
      </c>
      <c r="CX3" s="285" t="s">
        <v>8</v>
      </c>
      <c r="CY3" s="285" t="s">
        <v>9</v>
      </c>
      <c r="CZ3" s="285" t="s">
        <v>10</v>
      </c>
      <c r="DA3" s="285" t="s">
        <v>58</v>
      </c>
      <c r="DB3" s="285" t="s">
        <v>325</v>
      </c>
      <c r="DC3" s="285" t="s">
        <v>384</v>
      </c>
      <c r="DD3" s="285" t="s">
        <v>409</v>
      </c>
      <c r="DE3" s="285" t="s">
        <v>436</v>
      </c>
      <c r="DF3" s="285" t="s">
        <v>445</v>
      </c>
      <c r="DG3" s="285" t="s">
        <v>545</v>
      </c>
      <c r="DH3" s="299" t="s">
        <v>1</v>
      </c>
      <c r="DI3" s="285" t="s">
        <v>8</v>
      </c>
      <c r="DJ3" s="285" t="s">
        <v>9</v>
      </c>
      <c r="DK3" s="285" t="s">
        <v>10</v>
      </c>
      <c r="DL3" s="285" t="s">
        <v>58</v>
      </c>
      <c r="DM3" s="285" t="s">
        <v>325</v>
      </c>
      <c r="DN3" s="285" t="s">
        <v>384</v>
      </c>
      <c r="DO3" s="285" t="s">
        <v>409</v>
      </c>
      <c r="DP3" s="285" t="s">
        <v>436</v>
      </c>
      <c r="DQ3" s="285" t="s">
        <v>445</v>
      </c>
      <c r="DR3" s="285" t="s">
        <v>545</v>
      </c>
      <c r="DS3" s="299" t="s">
        <v>1</v>
      </c>
      <c r="DT3" s="285" t="s">
        <v>8</v>
      </c>
      <c r="DU3" s="285" t="s">
        <v>9</v>
      </c>
      <c r="DV3" s="285" t="s">
        <v>10</v>
      </c>
      <c r="DW3" s="285" t="s">
        <v>58</v>
      </c>
      <c r="DX3" s="285" t="s">
        <v>325</v>
      </c>
      <c r="DY3" s="285" t="s">
        <v>384</v>
      </c>
      <c r="DZ3" s="285" t="s">
        <v>409</v>
      </c>
      <c r="EA3" s="285" t="s">
        <v>436</v>
      </c>
      <c r="EB3" s="285" t="s">
        <v>445</v>
      </c>
      <c r="EC3" s="285" t="s">
        <v>545</v>
      </c>
      <c r="ED3" s="300" t="s">
        <v>1</v>
      </c>
      <c r="EE3" s="279" t="s">
        <v>8</v>
      </c>
      <c r="EF3" s="279" t="s">
        <v>9</v>
      </c>
      <c r="EG3" s="279" t="s">
        <v>10</v>
      </c>
      <c r="EH3" s="279" t="s">
        <v>58</v>
      </c>
      <c r="EI3" s="279" t="s">
        <v>325</v>
      </c>
      <c r="EJ3" s="279" t="s">
        <v>384</v>
      </c>
      <c r="EK3" s="279" t="s">
        <v>409</v>
      </c>
      <c r="EL3" s="279" t="s">
        <v>436</v>
      </c>
      <c r="EM3" s="279" t="s">
        <v>445</v>
      </c>
      <c r="EN3" s="279" t="s">
        <v>545</v>
      </c>
      <c r="EO3" s="300" t="s">
        <v>1</v>
      </c>
      <c r="EP3" s="279" t="s">
        <v>8</v>
      </c>
      <c r="EQ3" s="279" t="s">
        <v>9</v>
      </c>
      <c r="ER3" s="279" t="s">
        <v>10</v>
      </c>
      <c r="ES3" s="279" t="s">
        <v>58</v>
      </c>
      <c r="ET3" s="279" t="s">
        <v>325</v>
      </c>
      <c r="EU3" s="279" t="s">
        <v>384</v>
      </c>
      <c r="EV3" s="279" t="s">
        <v>409</v>
      </c>
      <c r="EW3" s="279" t="s">
        <v>436</v>
      </c>
      <c r="EX3" s="279" t="s">
        <v>445</v>
      </c>
      <c r="EY3" s="279" t="s">
        <v>545</v>
      </c>
      <c r="EZ3" s="300" t="s">
        <v>1</v>
      </c>
      <c r="FA3" s="279" t="s">
        <v>8</v>
      </c>
      <c r="FB3" s="279" t="s">
        <v>9</v>
      </c>
      <c r="FC3" s="279" t="s">
        <v>10</v>
      </c>
      <c r="FD3" s="279" t="s">
        <v>58</v>
      </c>
      <c r="FE3" s="279" t="s">
        <v>325</v>
      </c>
      <c r="FF3" s="279" t="s">
        <v>384</v>
      </c>
      <c r="FG3" s="279" t="s">
        <v>409</v>
      </c>
      <c r="FH3" s="279" t="s">
        <v>436</v>
      </c>
      <c r="FI3" s="279" t="s">
        <v>445</v>
      </c>
      <c r="FJ3" s="279" t="s">
        <v>545</v>
      </c>
      <c r="FK3" s="300" t="s">
        <v>1</v>
      </c>
      <c r="FL3" s="279" t="s">
        <v>8</v>
      </c>
      <c r="FM3" s="279" t="s">
        <v>9</v>
      </c>
      <c r="FN3" s="279" t="s">
        <v>10</v>
      </c>
      <c r="FO3" s="279" t="s">
        <v>58</v>
      </c>
      <c r="FP3" s="279" t="s">
        <v>325</v>
      </c>
      <c r="FQ3" s="279" t="s">
        <v>384</v>
      </c>
      <c r="FR3" s="279" t="s">
        <v>409</v>
      </c>
      <c r="FS3" s="279" t="s">
        <v>436</v>
      </c>
      <c r="FT3" s="279" t="s">
        <v>445</v>
      </c>
      <c r="FU3" s="279" t="s">
        <v>545</v>
      </c>
      <c r="FV3" s="300" t="s">
        <v>1</v>
      </c>
      <c r="FW3" s="279" t="s">
        <v>8</v>
      </c>
      <c r="FX3" s="279" t="s">
        <v>9</v>
      </c>
      <c r="FY3" s="279" t="s">
        <v>10</v>
      </c>
      <c r="FZ3" s="279" t="s">
        <v>58</v>
      </c>
      <c r="GA3" s="279" t="s">
        <v>325</v>
      </c>
      <c r="GB3" s="279" t="s">
        <v>384</v>
      </c>
      <c r="GC3" s="279" t="s">
        <v>409</v>
      </c>
      <c r="GD3" s="279" t="s">
        <v>436</v>
      </c>
      <c r="GE3" s="279" t="s">
        <v>445</v>
      </c>
      <c r="GF3" s="279" t="s">
        <v>545</v>
      </c>
      <c r="GG3" s="300" t="s">
        <v>1</v>
      </c>
      <c r="GH3" s="279" t="s">
        <v>8</v>
      </c>
      <c r="GI3" s="279" t="s">
        <v>9</v>
      </c>
      <c r="GJ3" s="279" t="s">
        <v>10</v>
      </c>
      <c r="GK3" s="279" t="s">
        <v>58</v>
      </c>
      <c r="GL3" s="279" t="s">
        <v>325</v>
      </c>
      <c r="GM3" s="279" t="s">
        <v>384</v>
      </c>
      <c r="GN3" s="279" t="s">
        <v>409</v>
      </c>
      <c r="GO3" s="279" t="s">
        <v>436</v>
      </c>
      <c r="GP3" s="279" t="s">
        <v>445</v>
      </c>
      <c r="GQ3" s="279" t="s">
        <v>545</v>
      </c>
      <c r="GR3" s="300" t="s">
        <v>1</v>
      </c>
      <c r="GS3" s="279" t="s">
        <v>8</v>
      </c>
      <c r="GT3" s="279" t="s">
        <v>9</v>
      </c>
      <c r="GU3" s="279" t="s">
        <v>10</v>
      </c>
      <c r="GV3" s="279" t="s">
        <v>58</v>
      </c>
      <c r="GW3" s="279" t="s">
        <v>325</v>
      </c>
      <c r="GX3" s="279" t="s">
        <v>384</v>
      </c>
      <c r="GY3" s="279" t="s">
        <v>409</v>
      </c>
      <c r="GZ3" s="279" t="s">
        <v>436</v>
      </c>
      <c r="HA3" s="279" t="s">
        <v>445</v>
      </c>
      <c r="HB3" s="279" t="s">
        <v>545</v>
      </c>
      <c r="HC3" s="300" t="s">
        <v>1</v>
      </c>
      <c r="HD3" s="279" t="s">
        <v>8</v>
      </c>
      <c r="HE3" s="279" t="s">
        <v>9</v>
      </c>
      <c r="HF3" s="279" t="s">
        <v>10</v>
      </c>
      <c r="HG3" s="279" t="s">
        <v>58</v>
      </c>
      <c r="HH3" s="279" t="s">
        <v>325</v>
      </c>
      <c r="HI3" s="279" t="s">
        <v>384</v>
      </c>
      <c r="HJ3" s="279" t="s">
        <v>409</v>
      </c>
      <c r="HK3" s="279" t="s">
        <v>436</v>
      </c>
      <c r="HL3" s="279" t="s">
        <v>445</v>
      </c>
      <c r="HM3" s="279" t="s">
        <v>545</v>
      </c>
      <c r="HN3" s="300" t="s">
        <v>1</v>
      </c>
      <c r="HO3" s="279" t="s">
        <v>8</v>
      </c>
      <c r="HP3" s="279" t="s">
        <v>9</v>
      </c>
      <c r="HQ3" s="279" t="s">
        <v>10</v>
      </c>
      <c r="HR3" s="279" t="s">
        <v>58</v>
      </c>
      <c r="HS3" s="279" t="s">
        <v>325</v>
      </c>
      <c r="HT3" s="279" t="s">
        <v>384</v>
      </c>
      <c r="HU3" s="279" t="s">
        <v>409</v>
      </c>
      <c r="HV3" s="279" t="s">
        <v>436</v>
      </c>
      <c r="HW3" s="279" t="s">
        <v>445</v>
      </c>
      <c r="HX3" s="279" t="s">
        <v>545</v>
      </c>
      <c r="HY3" s="300" t="s">
        <v>1</v>
      </c>
      <c r="HZ3" s="279" t="s">
        <v>8</v>
      </c>
      <c r="IA3" s="279" t="s">
        <v>9</v>
      </c>
      <c r="IB3" s="279" t="s">
        <v>10</v>
      </c>
      <c r="IC3" s="279" t="s">
        <v>58</v>
      </c>
      <c r="ID3" s="279" t="s">
        <v>325</v>
      </c>
      <c r="IE3" s="279" t="s">
        <v>384</v>
      </c>
      <c r="IF3" s="279" t="s">
        <v>409</v>
      </c>
      <c r="IG3" s="279" t="s">
        <v>436</v>
      </c>
      <c r="IH3" s="279" t="s">
        <v>445</v>
      </c>
      <c r="II3" s="279" t="s">
        <v>545</v>
      </c>
      <c r="IJ3" s="300" t="s">
        <v>1</v>
      </c>
      <c r="IK3" s="279" t="s">
        <v>8</v>
      </c>
      <c r="IL3" s="279" t="s">
        <v>9</v>
      </c>
      <c r="IM3" s="279" t="s">
        <v>10</v>
      </c>
      <c r="IN3" s="279" t="s">
        <v>58</v>
      </c>
      <c r="IO3" s="279" t="s">
        <v>325</v>
      </c>
      <c r="IP3" s="279" t="s">
        <v>384</v>
      </c>
      <c r="IQ3" s="279" t="s">
        <v>409</v>
      </c>
      <c r="IR3" s="279" t="s">
        <v>436</v>
      </c>
      <c r="IS3" s="279" t="s">
        <v>445</v>
      </c>
      <c r="IT3" s="279" t="s">
        <v>545</v>
      </c>
      <c r="IU3" s="300" t="s">
        <v>1</v>
      </c>
      <c r="IV3" s="279" t="s">
        <v>8</v>
      </c>
      <c r="IW3" s="279" t="s">
        <v>9</v>
      </c>
      <c r="IX3" s="279" t="s">
        <v>10</v>
      </c>
      <c r="IY3" s="279" t="s">
        <v>58</v>
      </c>
      <c r="IZ3" s="279" t="s">
        <v>325</v>
      </c>
      <c r="JA3" s="279" t="s">
        <v>384</v>
      </c>
      <c r="JB3" s="279" t="s">
        <v>409</v>
      </c>
      <c r="JC3" s="279" t="s">
        <v>436</v>
      </c>
      <c r="JD3" s="279" t="s">
        <v>445</v>
      </c>
      <c r="JE3" s="279" t="s">
        <v>545</v>
      </c>
      <c r="JF3" s="300" t="s">
        <v>1</v>
      </c>
      <c r="JG3" s="279" t="s">
        <v>8</v>
      </c>
      <c r="JH3" s="279" t="s">
        <v>9</v>
      </c>
      <c r="JI3" s="279" t="s">
        <v>10</v>
      </c>
      <c r="JJ3" s="279" t="s">
        <v>58</v>
      </c>
      <c r="JK3" s="279" t="s">
        <v>325</v>
      </c>
      <c r="JL3" s="279" t="s">
        <v>384</v>
      </c>
      <c r="JM3" s="279" t="s">
        <v>409</v>
      </c>
      <c r="JN3" s="279" t="s">
        <v>436</v>
      </c>
      <c r="JO3" s="279" t="s">
        <v>445</v>
      </c>
      <c r="JP3" s="279" t="s">
        <v>545</v>
      </c>
      <c r="JQ3" s="300" t="s">
        <v>1</v>
      </c>
      <c r="JR3" s="279" t="s">
        <v>8</v>
      </c>
      <c r="JS3" s="279" t="s">
        <v>9</v>
      </c>
      <c r="JT3" s="279" t="s">
        <v>10</v>
      </c>
      <c r="JU3" s="279" t="s">
        <v>58</v>
      </c>
      <c r="JV3" s="279" t="s">
        <v>325</v>
      </c>
      <c r="JW3" s="279" t="s">
        <v>384</v>
      </c>
      <c r="JX3" s="279" t="s">
        <v>409</v>
      </c>
      <c r="JY3" s="279" t="s">
        <v>436</v>
      </c>
      <c r="JZ3" s="279" t="s">
        <v>445</v>
      </c>
      <c r="KA3" s="279" t="s">
        <v>545</v>
      </c>
      <c r="KB3" s="300" t="s">
        <v>1</v>
      </c>
      <c r="KC3" s="279" t="s">
        <v>8</v>
      </c>
      <c r="KD3" s="279" t="s">
        <v>9</v>
      </c>
      <c r="KE3" s="279" t="s">
        <v>10</v>
      </c>
      <c r="KF3" s="279" t="s">
        <v>58</v>
      </c>
      <c r="KG3" s="279" t="s">
        <v>325</v>
      </c>
      <c r="KH3" s="279" t="s">
        <v>384</v>
      </c>
      <c r="KI3" s="279" t="s">
        <v>409</v>
      </c>
      <c r="KJ3" s="279" t="s">
        <v>436</v>
      </c>
      <c r="KK3" s="279" t="s">
        <v>445</v>
      </c>
      <c r="KL3" s="279" t="s">
        <v>545</v>
      </c>
      <c r="KM3" s="302" t="s">
        <v>1</v>
      </c>
      <c r="KN3" s="279" t="s">
        <v>8</v>
      </c>
      <c r="KO3" s="279" t="s">
        <v>9</v>
      </c>
      <c r="KP3" s="279" t="s">
        <v>10</v>
      </c>
      <c r="KQ3" s="279" t="s">
        <v>58</v>
      </c>
      <c r="KR3" s="279" t="s">
        <v>325</v>
      </c>
      <c r="KS3" s="279" t="s">
        <v>384</v>
      </c>
      <c r="KT3" s="279" t="s">
        <v>409</v>
      </c>
      <c r="KU3" s="279" t="s">
        <v>436</v>
      </c>
      <c r="KV3" s="279" t="s">
        <v>445</v>
      </c>
      <c r="KW3" s="279" t="s">
        <v>545</v>
      </c>
      <c r="KX3" s="300" t="s">
        <v>1</v>
      </c>
      <c r="KY3" s="279" t="s">
        <v>8</v>
      </c>
      <c r="KZ3" s="279" t="s">
        <v>9</v>
      </c>
      <c r="LA3" s="279" t="s">
        <v>10</v>
      </c>
      <c r="LB3" s="279" t="s">
        <v>58</v>
      </c>
      <c r="LC3" s="279" t="s">
        <v>325</v>
      </c>
      <c r="LD3" s="279" t="s">
        <v>384</v>
      </c>
      <c r="LE3" s="279" t="s">
        <v>409</v>
      </c>
      <c r="LF3" s="279" t="s">
        <v>436</v>
      </c>
      <c r="LG3" s="279" t="s">
        <v>445</v>
      </c>
      <c r="LH3" s="279" t="s">
        <v>545</v>
      </c>
      <c r="LI3" s="300" t="s">
        <v>1</v>
      </c>
      <c r="LJ3" s="279" t="s">
        <v>8</v>
      </c>
      <c r="LK3" s="279" t="s">
        <v>9</v>
      </c>
      <c r="LL3" s="279" t="s">
        <v>10</v>
      </c>
      <c r="LM3" s="279" t="s">
        <v>58</v>
      </c>
      <c r="LN3" s="279" t="s">
        <v>325</v>
      </c>
      <c r="LO3" s="279" t="s">
        <v>384</v>
      </c>
      <c r="LP3" s="279" t="s">
        <v>409</v>
      </c>
      <c r="LQ3" s="279" t="s">
        <v>436</v>
      </c>
      <c r="LR3" s="279" t="s">
        <v>445</v>
      </c>
      <c r="LS3" s="279" t="s">
        <v>545</v>
      </c>
      <c r="LT3" s="300" t="s">
        <v>1</v>
      </c>
      <c r="LU3" s="279" t="s">
        <v>8</v>
      </c>
      <c r="LV3" s="279" t="s">
        <v>9</v>
      </c>
      <c r="LW3" s="279" t="s">
        <v>10</v>
      </c>
      <c r="LX3" s="279" t="s">
        <v>58</v>
      </c>
      <c r="LY3" s="279" t="s">
        <v>325</v>
      </c>
      <c r="LZ3" s="279" t="s">
        <v>384</v>
      </c>
      <c r="MA3" s="279" t="s">
        <v>409</v>
      </c>
      <c r="MB3" s="279" t="s">
        <v>436</v>
      </c>
      <c r="MC3" s="279" t="s">
        <v>445</v>
      </c>
      <c r="MD3" s="279" t="s">
        <v>545</v>
      </c>
      <c r="ME3" s="300" t="s">
        <v>1</v>
      </c>
      <c r="MF3" s="279" t="s">
        <v>8</v>
      </c>
      <c r="MG3" s="279" t="s">
        <v>9</v>
      </c>
      <c r="MH3" s="279" t="s">
        <v>10</v>
      </c>
      <c r="MI3" s="279" t="s">
        <v>58</v>
      </c>
      <c r="MJ3" s="279" t="s">
        <v>325</v>
      </c>
      <c r="MK3" s="279" t="s">
        <v>384</v>
      </c>
      <c r="ML3" s="279" t="s">
        <v>409</v>
      </c>
      <c r="MM3" s="279" t="s">
        <v>436</v>
      </c>
      <c r="MN3" s="279" t="s">
        <v>445</v>
      </c>
      <c r="MO3" s="279" t="s">
        <v>545</v>
      </c>
      <c r="MP3" s="300" t="s">
        <v>1</v>
      </c>
      <c r="MQ3" s="279" t="s">
        <v>8</v>
      </c>
      <c r="MR3" s="279" t="s">
        <v>9</v>
      </c>
      <c r="MS3" s="279" t="s">
        <v>10</v>
      </c>
      <c r="MT3" s="279" t="s">
        <v>58</v>
      </c>
      <c r="MU3" s="279" t="s">
        <v>325</v>
      </c>
      <c r="MV3" s="279" t="s">
        <v>384</v>
      </c>
      <c r="MW3" s="279" t="s">
        <v>409</v>
      </c>
      <c r="MX3" s="279" t="s">
        <v>436</v>
      </c>
      <c r="MY3" s="279" t="s">
        <v>445</v>
      </c>
      <c r="MZ3" s="279" t="s">
        <v>545</v>
      </c>
      <c r="NA3" s="300" t="s">
        <v>1</v>
      </c>
      <c r="NB3" s="279" t="s">
        <v>8</v>
      </c>
      <c r="NC3" s="279" t="s">
        <v>9</v>
      </c>
      <c r="ND3" s="279" t="s">
        <v>10</v>
      </c>
      <c r="NE3" s="279" t="s">
        <v>58</v>
      </c>
      <c r="NF3" s="279" t="s">
        <v>325</v>
      </c>
      <c r="NG3" s="279" t="s">
        <v>384</v>
      </c>
      <c r="NH3" s="279" t="s">
        <v>409</v>
      </c>
      <c r="NI3" s="279" t="s">
        <v>436</v>
      </c>
      <c r="NJ3" s="279" t="s">
        <v>445</v>
      </c>
      <c r="NK3" s="279" t="s">
        <v>545</v>
      </c>
      <c r="NL3" s="300" t="s">
        <v>1</v>
      </c>
      <c r="NM3" s="279" t="s">
        <v>8</v>
      </c>
      <c r="NN3" s="279" t="s">
        <v>9</v>
      </c>
      <c r="NO3" s="279" t="s">
        <v>10</v>
      </c>
      <c r="NP3" s="279" t="s">
        <v>58</v>
      </c>
      <c r="NQ3" s="279" t="s">
        <v>325</v>
      </c>
      <c r="NR3" s="279" t="s">
        <v>384</v>
      </c>
      <c r="NS3" s="279" t="s">
        <v>409</v>
      </c>
      <c r="NT3" s="279" t="s">
        <v>436</v>
      </c>
      <c r="NU3" s="279" t="s">
        <v>445</v>
      </c>
      <c r="NV3" s="279" t="s">
        <v>545</v>
      </c>
      <c r="NW3" s="300" t="s">
        <v>1</v>
      </c>
      <c r="NX3" s="279" t="s">
        <v>8</v>
      </c>
      <c r="NY3" s="279" t="s">
        <v>9</v>
      </c>
      <c r="NZ3" s="279" t="s">
        <v>10</v>
      </c>
      <c r="OA3" s="279" t="s">
        <v>58</v>
      </c>
      <c r="OB3" s="279" t="s">
        <v>325</v>
      </c>
      <c r="OC3" s="279" t="s">
        <v>384</v>
      </c>
      <c r="OD3" s="279" t="s">
        <v>409</v>
      </c>
      <c r="OE3" s="279" t="s">
        <v>436</v>
      </c>
      <c r="OF3" s="279" t="s">
        <v>445</v>
      </c>
      <c r="OG3" s="279" t="s">
        <v>545</v>
      </c>
      <c r="OH3" s="296" t="s">
        <v>1</v>
      </c>
      <c r="OI3" s="296" t="s">
        <v>6</v>
      </c>
      <c r="OJ3" s="296" t="s">
        <v>7</v>
      </c>
      <c r="OK3" s="296" t="s">
        <v>8</v>
      </c>
      <c r="OL3" s="296" t="s">
        <v>9</v>
      </c>
      <c r="OM3" s="296" t="s">
        <v>10</v>
      </c>
      <c r="ON3" s="296" t="s">
        <v>58</v>
      </c>
      <c r="OO3" s="296" t="s">
        <v>325</v>
      </c>
      <c r="OP3" s="296" t="s">
        <v>384</v>
      </c>
      <c r="OQ3" s="296" t="s">
        <v>409</v>
      </c>
      <c r="OR3" s="296" t="s">
        <v>436</v>
      </c>
      <c r="OS3" s="294" t="s">
        <v>1</v>
      </c>
      <c r="OT3" s="279" t="s">
        <v>8</v>
      </c>
      <c r="OU3" s="279" t="s">
        <v>9</v>
      </c>
      <c r="OV3" s="279" t="s">
        <v>10</v>
      </c>
      <c r="OW3" s="279" t="s">
        <v>58</v>
      </c>
      <c r="OX3" s="279" t="s">
        <v>325</v>
      </c>
      <c r="OY3" s="279" t="s">
        <v>384</v>
      </c>
      <c r="OZ3" s="279" t="s">
        <v>409</v>
      </c>
      <c r="PA3" s="279" t="s">
        <v>436</v>
      </c>
      <c r="PB3" s="279" t="s">
        <v>445</v>
      </c>
      <c r="PC3" s="279" t="s">
        <v>545</v>
      </c>
    </row>
    <row r="4" spans="1:419">
      <c r="A4" s="269"/>
      <c r="B4" s="285" t="s">
        <v>11</v>
      </c>
      <c r="C4" s="286">
        <v>13.5</v>
      </c>
      <c r="D4" s="286">
        <v>14.2</v>
      </c>
      <c r="E4" s="286">
        <v>14.6</v>
      </c>
      <c r="F4" s="286">
        <v>14.1</v>
      </c>
      <c r="G4" s="286">
        <v>13.7</v>
      </c>
      <c r="H4" s="286">
        <v>14.4</v>
      </c>
      <c r="I4" s="286">
        <v>14.6</v>
      </c>
      <c r="J4" s="286">
        <v>14.2</v>
      </c>
      <c r="K4" s="286">
        <v>13.8</v>
      </c>
      <c r="L4" s="286">
        <v>14.4</v>
      </c>
      <c r="M4" s="285" t="s">
        <v>11</v>
      </c>
      <c r="N4" s="286">
        <v>24365.9</v>
      </c>
      <c r="O4" s="286">
        <v>25845.9</v>
      </c>
      <c r="P4" s="286">
        <v>26860.6</v>
      </c>
      <c r="Q4" s="286">
        <v>26044.9</v>
      </c>
      <c r="R4" s="286">
        <v>25159.9</v>
      </c>
      <c r="S4" s="286">
        <v>26625.8</v>
      </c>
      <c r="T4" s="286">
        <v>27241.7</v>
      </c>
      <c r="U4" s="286">
        <v>26651.1</v>
      </c>
      <c r="V4" s="286">
        <v>25663.599999999999</v>
      </c>
      <c r="W4" s="286">
        <v>27263.1</v>
      </c>
      <c r="X4" s="285" t="s">
        <v>11</v>
      </c>
      <c r="Y4" s="286">
        <v>1196.7</v>
      </c>
      <c r="Z4" s="286">
        <v>1269.4000000000001</v>
      </c>
      <c r="AA4" s="286">
        <v>1378.8</v>
      </c>
      <c r="AB4" s="286">
        <v>1238.9000000000001</v>
      </c>
      <c r="AC4" s="286">
        <v>1192.5</v>
      </c>
      <c r="AD4" s="286">
        <v>1314.6</v>
      </c>
      <c r="AE4" s="286">
        <v>1330.3</v>
      </c>
      <c r="AF4" s="286">
        <v>1266.3</v>
      </c>
      <c r="AG4" s="286">
        <v>1240.5</v>
      </c>
      <c r="AH4" s="286">
        <v>1323.1</v>
      </c>
      <c r="AI4" s="279" t="s">
        <v>11</v>
      </c>
      <c r="AJ4" s="280">
        <v>2381.8000000000002</v>
      </c>
      <c r="AK4" s="280">
        <v>2812.9</v>
      </c>
      <c r="AL4" s="280">
        <v>3782.8</v>
      </c>
      <c r="AM4" s="280">
        <v>2939.7</v>
      </c>
      <c r="AN4" s="280">
        <v>2507</v>
      </c>
      <c r="AO4" s="280">
        <v>2824.6</v>
      </c>
      <c r="AP4" s="280">
        <v>3717.1</v>
      </c>
      <c r="AQ4" s="280">
        <v>2990.3</v>
      </c>
      <c r="AR4" s="280">
        <v>2537.6999999999998</v>
      </c>
      <c r="AS4" s="280">
        <v>2901</v>
      </c>
      <c r="AT4" s="279" t="s">
        <v>11</v>
      </c>
      <c r="AU4" s="280">
        <v>3457.4</v>
      </c>
      <c r="AV4" s="280">
        <v>4061.6</v>
      </c>
      <c r="AW4" s="280">
        <v>4304.8999999999996</v>
      </c>
      <c r="AX4" s="280">
        <v>3890.1</v>
      </c>
      <c r="AY4" s="280">
        <v>3538.4</v>
      </c>
      <c r="AZ4" s="280">
        <v>4071.5</v>
      </c>
      <c r="BA4" s="280">
        <v>4230.6000000000004</v>
      </c>
      <c r="BB4" s="280">
        <v>3767.2</v>
      </c>
      <c r="BC4" s="280">
        <v>3506.1</v>
      </c>
      <c r="BD4" s="280">
        <v>4122.8</v>
      </c>
      <c r="BE4" s="279" t="s">
        <v>11</v>
      </c>
      <c r="BF4" s="280">
        <v>6234</v>
      </c>
      <c r="BG4" s="280">
        <v>6473.4</v>
      </c>
      <c r="BH4" s="280">
        <v>6194.1</v>
      </c>
      <c r="BI4" s="280">
        <v>6418.3</v>
      </c>
      <c r="BJ4" s="280">
        <v>6483.3</v>
      </c>
      <c r="BK4" s="280">
        <v>6689.1</v>
      </c>
      <c r="BL4" s="280">
        <v>6341.1</v>
      </c>
      <c r="BM4" s="280">
        <v>6640</v>
      </c>
      <c r="BN4" s="280">
        <v>6635.7</v>
      </c>
      <c r="BO4" s="280">
        <v>7012.6</v>
      </c>
      <c r="BP4" s="282" t="s">
        <v>11</v>
      </c>
      <c r="BQ4" s="283">
        <v>2714</v>
      </c>
      <c r="BR4" s="283">
        <v>2753</v>
      </c>
      <c r="BS4" s="283">
        <v>2783.1</v>
      </c>
      <c r="BT4" s="283">
        <v>2742.4</v>
      </c>
      <c r="BU4" s="283">
        <v>2822.7</v>
      </c>
      <c r="BV4" s="283">
        <v>2879.1000000000004</v>
      </c>
      <c r="BW4" s="283">
        <v>2858.6</v>
      </c>
      <c r="BX4" s="283">
        <v>2921.2</v>
      </c>
      <c r="BY4" s="283">
        <v>2905.5</v>
      </c>
      <c r="BZ4" s="283">
        <v>2981.9</v>
      </c>
      <c r="CA4" s="282" t="s">
        <v>11</v>
      </c>
      <c r="CB4" s="283">
        <v>4249.5</v>
      </c>
      <c r="CC4" s="283">
        <v>4124</v>
      </c>
      <c r="CD4" s="283">
        <v>4151</v>
      </c>
      <c r="CE4" s="283">
        <v>4369.6000000000004</v>
      </c>
      <c r="CF4" s="283">
        <v>4268.8</v>
      </c>
      <c r="CG4" s="283">
        <v>4174</v>
      </c>
      <c r="CH4" s="283">
        <v>4153.3</v>
      </c>
      <c r="CI4" s="283">
        <v>4343.8999999999996</v>
      </c>
      <c r="CJ4" s="283">
        <v>4195.2</v>
      </c>
      <c r="CK4" s="283">
        <v>4140.1000000000004</v>
      </c>
      <c r="CL4" s="285" t="s">
        <v>11</v>
      </c>
      <c r="CM4" s="286">
        <v>6160.3</v>
      </c>
      <c r="CN4" s="286">
        <v>6633.7</v>
      </c>
      <c r="CO4" s="286">
        <v>7040.6</v>
      </c>
      <c r="CP4" s="286">
        <v>6778.9</v>
      </c>
      <c r="CQ4" s="286">
        <v>6347</v>
      </c>
      <c r="CR4" s="286">
        <v>6826.4</v>
      </c>
      <c r="CS4" s="286">
        <v>7024.5</v>
      </c>
      <c r="CT4" s="286">
        <v>6934.1</v>
      </c>
      <c r="CU4" s="286">
        <v>6549.9</v>
      </c>
      <c r="CV4" s="286">
        <v>7130.2</v>
      </c>
      <c r="CW4" s="285" t="s">
        <v>11</v>
      </c>
      <c r="CX4" s="286">
        <v>11246.7</v>
      </c>
      <c r="CY4" s="286">
        <v>11908.6</v>
      </c>
      <c r="CZ4" s="286">
        <v>12477.9</v>
      </c>
      <c r="DA4" s="286">
        <v>11843.6</v>
      </c>
      <c r="DB4" s="286">
        <v>11501.6</v>
      </c>
      <c r="DC4" s="286">
        <v>12256.9</v>
      </c>
      <c r="DD4" s="286">
        <v>12651.7</v>
      </c>
      <c r="DE4" s="286">
        <v>12153.1</v>
      </c>
      <c r="DF4" s="286">
        <v>11627.7</v>
      </c>
      <c r="DG4" s="286">
        <v>12323.2</v>
      </c>
      <c r="DH4" s="285" t="s">
        <v>11</v>
      </c>
      <c r="DI4" s="286">
        <v>6895.2</v>
      </c>
      <c r="DJ4" s="286">
        <v>7246.8</v>
      </c>
      <c r="DK4" s="286">
        <v>7275.9</v>
      </c>
      <c r="DL4" s="286">
        <v>7368.1</v>
      </c>
      <c r="DM4" s="286">
        <v>7241.6</v>
      </c>
      <c r="DN4" s="286">
        <v>7464.9</v>
      </c>
      <c r="DO4" s="286">
        <v>7493.7</v>
      </c>
      <c r="DP4" s="286">
        <v>7488</v>
      </c>
      <c r="DQ4" s="286">
        <v>7402.2</v>
      </c>
      <c r="DR4" s="286">
        <v>7736.5</v>
      </c>
      <c r="DS4" s="285" t="s">
        <v>11</v>
      </c>
      <c r="DT4" s="286">
        <v>63.8</v>
      </c>
      <c r="DU4" s="286">
        <v>56.8</v>
      </c>
      <c r="DV4" s="286">
        <v>66.2</v>
      </c>
      <c r="DW4" s="286">
        <v>54.3</v>
      </c>
      <c r="DX4" s="286">
        <v>69.7</v>
      </c>
      <c r="DY4" s="286">
        <v>77.599999999999994</v>
      </c>
      <c r="DZ4" s="286">
        <v>71.7</v>
      </c>
      <c r="EA4" s="286">
        <v>75.8</v>
      </c>
      <c r="EB4" s="286">
        <v>83.7</v>
      </c>
      <c r="EC4" s="286">
        <v>73.3</v>
      </c>
      <c r="ED4" s="279" t="s">
        <v>11</v>
      </c>
      <c r="EE4" s="280">
        <v>319.89999999999998</v>
      </c>
      <c r="EF4" s="280">
        <v>329.7</v>
      </c>
      <c r="EG4" s="280">
        <v>324.39999999999998</v>
      </c>
      <c r="EH4" s="280">
        <v>331.8</v>
      </c>
      <c r="EI4" s="280">
        <v>329.5</v>
      </c>
      <c r="EJ4" s="280">
        <v>343.9</v>
      </c>
      <c r="EK4" s="280">
        <v>368.3</v>
      </c>
      <c r="EL4" s="280">
        <v>358.3</v>
      </c>
      <c r="EM4" s="280">
        <v>327.5</v>
      </c>
      <c r="EN4" s="280">
        <v>322.60000000000002</v>
      </c>
      <c r="EO4" s="279" t="s">
        <v>11</v>
      </c>
      <c r="EP4" s="280">
        <v>3891.4</v>
      </c>
      <c r="EQ4" s="280">
        <v>3928.3</v>
      </c>
      <c r="ER4" s="280">
        <v>3713.6</v>
      </c>
      <c r="ES4" s="280">
        <v>3983.4</v>
      </c>
      <c r="ET4" s="280">
        <v>4061.1</v>
      </c>
      <c r="EU4" s="280">
        <v>4131.1000000000004</v>
      </c>
      <c r="EV4" s="280">
        <v>3849.1</v>
      </c>
      <c r="EW4" s="280">
        <v>4108.7</v>
      </c>
      <c r="EX4" s="280">
        <v>4110.1000000000004</v>
      </c>
      <c r="EY4" s="280">
        <v>4246.2</v>
      </c>
      <c r="EZ4" s="279" t="s">
        <v>11</v>
      </c>
      <c r="FA4" s="280">
        <v>3276.6</v>
      </c>
      <c r="FB4" s="280">
        <v>3325.5</v>
      </c>
      <c r="FC4" s="280">
        <v>3381.7</v>
      </c>
      <c r="FD4" s="280">
        <v>3362.3</v>
      </c>
      <c r="FE4" s="280">
        <v>3330.4</v>
      </c>
      <c r="FF4" s="280">
        <v>3464.2</v>
      </c>
      <c r="FG4" s="280">
        <v>3414</v>
      </c>
      <c r="FH4" s="280">
        <v>3402.4</v>
      </c>
      <c r="FI4" s="280">
        <v>3396</v>
      </c>
      <c r="FJ4" s="280">
        <v>3492.4</v>
      </c>
      <c r="FK4" s="279" t="s">
        <v>11</v>
      </c>
      <c r="FL4" s="280">
        <v>2386.6999999999998</v>
      </c>
      <c r="FM4" s="280">
        <v>2515.9</v>
      </c>
      <c r="FN4" s="280">
        <v>2586</v>
      </c>
      <c r="FO4" s="280">
        <v>2539.1999999999998</v>
      </c>
      <c r="FP4" s="280">
        <v>2430.9</v>
      </c>
      <c r="FQ4" s="280">
        <v>2487.9</v>
      </c>
      <c r="FR4" s="280">
        <v>2641.1</v>
      </c>
      <c r="FS4" s="280">
        <v>2578.1999999999998</v>
      </c>
      <c r="FT4" s="280">
        <v>2513.1999999999998</v>
      </c>
      <c r="FU4" s="280">
        <v>2656.8</v>
      </c>
      <c r="FV4" s="279" t="s">
        <v>11</v>
      </c>
      <c r="FW4" s="280">
        <v>5021.6000000000004</v>
      </c>
      <c r="FX4" s="280">
        <v>5500.2</v>
      </c>
      <c r="FY4" s="280">
        <v>6018.3</v>
      </c>
      <c r="FZ4" s="280">
        <v>5516.8</v>
      </c>
      <c r="GA4" s="280">
        <v>5235.3999999999996</v>
      </c>
      <c r="GB4" s="280">
        <v>5754</v>
      </c>
      <c r="GC4" s="280">
        <v>6103.5</v>
      </c>
      <c r="GD4" s="280">
        <v>5658.2</v>
      </c>
      <c r="GE4" s="280">
        <v>5381.4</v>
      </c>
      <c r="GF4" s="280">
        <v>5822.9</v>
      </c>
      <c r="GG4" s="279" t="s">
        <v>11</v>
      </c>
      <c r="GH4" s="280">
        <v>375.3</v>
      </c>
      <c r="GI4" s="280">
        <v>454.7</v>
      </c>
      <c r="GJ4" s="280">
        <v>505.2</v>
      </c>
      <c r="GK4" s="280">
        <v>418</v>
      </c>
      <c r="GL4" s="280">
        <v>385.2</v>
      </c>
      <c r="GM4" s="280">
        <v>461.8</v>
      </c>
      <c r="GN4" s="280">
        <v>470.5</v>
      </c>
      <c r="GO4" s="280">
        <v>391.4</v>
      </c>
      <c r="GP4" s="280">
        <v>397</v>
      </c>
      <c r="GQ4" s="280">
        <v>470.1</v>
      </c>
      <c r="GR4" s="279" t="s">
        <v>11</v>
      </c>
      <c r="GS4" s="280">
        <v>2979.5</v>
      </c>
      <c r="GT4" s="280">
        <v>3117.7</v>
      </c>
      <c r="GU4" s="280">
        <v>3180.8</v>
      </c>
      <c r="GV4" s="280">
        <v>3209.4</v>
      </c>
      <c r="GW4" s="280">
        <v>3048.8</v>
      </c>
      <c r="GX4" s="280">
        <v>3170.4</v>
      </c>
      <c r="GY4" s="280">
        <v>3254.7</v>
      </c>
      <c r="GZ4" s="280">
        <v>3244.6</v>
      </c>
      <c r="HA4" s="280">
        <v>3009.8</v>
      </c>
      <c r="HB4" s="280">
        <v>3228.9</v>
      </c>
      <c r="HC4" s="279" t="s">
        <v>11</v>
      </c>
      <c r="HD4" s="280">
        <v>1929.2</v>
      </c>
      <c r="HE4" s="280">
        <v>2062.6999999999998</v>
      </c>
      <c r="HF4" s="280">
        <v>2095.1</v>
      </c>
      <c r="HG4" s="280">
        <v>2010.8</v>
      </c>
      <c r="HH4" s="280">
        <v>1940.2</v>
      </c>
      <c r="HI4" s="280">
        <v>2073.9</v>
      </c>
      <c r="HJ4" s="280">
        <v>2160.5</v>
      </c>
      <c r="HK4" s="280">
        <v>2117</v>
      </c>
      <c r="HL4" s="280">
        <v>1967.8</v>
      </c>
      <c r="HM4" s="280">
        <v>2160.4</v>
      </c>
      <c r="HN4" s="279" t="s">
        <v>11</v>
      </c>
      <c r="HO4" s="280">
        <v>3911.8</v>
      </c>
      <c r="HP4" s="280">
        <v>4339.7</v>
      </c>
      <c r="HQ4" s="280">
        <v>4781.8</v>
      </c>
      <c r="HR4" s="280">
        <v>4414.8</v>
      </c>
      <c r="HS4" s="280">
        <v>4111.3</v>
      </c>
      <c r="HT4" s="280">
        <v>4473.8999999999996</v>
      </c>
      <c r="HU4" s="280">
        <v>4726.5</v>
      </c>
      <c r="HV4" s="280">
        <v>4507.3999999999996</v>
      </c>
      <c r="HW4" s="280">
        <v>4273.6000000000004</v>
      </c>
      <c r="HX4" s="280">
        <v>4580.2</v>
      </c>
      <c r="HY4" s="279" t="s">
        <v>11</v>
      </c>
      <c r="HZ4" s="280">
        <v>216.7</v>
      </c>
      <c r="IA4" s="280">
        <v>206.8</v>
      </c>
      <c r="IB4" s="280">
        <v>215.4</v>
      </c>
      <c r="IC4" s="280">
        <v>205.2</v>
      </c>
      <c r="ID4" s="280">
        <v>195.7</v>
      </c>
      <c r="IE4" s="280">
        <v>185.9</v>
      </c>
      <c r="IF4" s="280">
        <v>174.3</v>
      </c>
      <c r="IG4" s="280">
        <v>209.8</v>
      </c>
      <c r="IH4" s="280">
        <v>203.9</v>
      </c>
      <c r="II4" s="280">
        <v>207.9</v>
      </c>
      <c r="IJ4" s="279" t="s">
        <v>11</v>
      </c>
      <c r="IK4" s="280">
        <v>57.4</v>
      </c>
      <c r="IL4" s="280">
        <v>64.7</v>
      </c>
      <c r="IM4" s="280">
        <v>58.3</v>
      </c>
      <c r="IN4" s="280">
        <v>53.1</v>
      </c>
      <c r="IO4" s="280">
        <v>91.2</v>
      </c>
      <c r="IP4" s="280">
        <v>78.900000000000006</v>
      </c>
      <c r="IQ4" s="280">
        <v>79</v>
      </c>
      <c r="IR4" s="280">
        <v>75.099999999999994</v>
      </c>
      <c r="IS4" s="280">
        <v>83.2</v>
      </c>
      <c r="IT4" s="280">
        <v>74.7</v>
      </c>
      <c r="IU4" s="279" t="s">
        <v>11</v>
      </c>
      <c r="IV4" s="280">
        <v>772.2</v>
      </c>
      <c r="IW4" s="280">
        <v>937.3</v>
      </c>
      <c r="IX4" s="280">
        <v>1019.8</v>
      </c>
      <c r="IY4" s="280">
        <v>992.4</v>
      </c>
      <c r="IZ4" s="280">
        <v>867.8</v>
      </c>
      <c r="JA4" s="280">
        <v>974.9</v>
      </c>
      <c r="JB4" s="280">
        <v>1015.9</v>
      </c>
      <c r="JC4" s="280">
        <v>954.5</v>
      </c>
      <c r="JD4" s="280">
        <v>875.6</v>
      </c>
      <c r="JE4" s="280">
        <v>1016.5</v>
      </c>
      <c r="JF4" s="279" t="s">
        <v>11</v>
      </c>
      <c r="JG4" s="280">
        <v>3683.1</v>
      </c>
      <c r="JH4" s="280">
        <v>3787.6</v>
      </c>
      <c r="JI4" s="280">
        <v>3924.8</v>
      </c>
      <c r="JJ4" s="280">
        <v>3802.9</v>
      </c>
      <c r="JK4" s="280">
        <v>3659.8</v>
      </c>
      <c r="JL4" s="280">
        <v>3862.1</v>
      </c>
      <c r="JM4" s="280">
        <v>4004.3</v>
      </c>
      <c r="JN4" s="280">
        <v>3927.2</v>
      </c>
      <c r="JO4" s="280">
        <v>3789.9</v>
      </c>
      <c r="JP4" s="280">
        <v>3938.9</v>
      </c>
      <c r="JQ4" s="279" t="s">
        <v>11</v>
      </c>
      <c r="JR4" s="280">
        <v>1563.2</v>
      </c>
      <c r="JS4" s="280">
        <v>1707.1</v>
      </c>
      <c r="JT4" s="280">
        <v>1785</v>
      </c>
      <c r="JU4" s="280">
        <v>1716</v>
      </c>
      <c r="JV4" s="280">
        <v>1571.4</v>
      </c>
      <c r="JW4" s="280">
        <v>1726.7</v>
      </c>
      <c r="JX4" s="280">
        <v>1756.8</v>
      </c>
      <c r="JY4" s="280">
        <v>1713.6</v>
      </c>
      <c r="JZ4" s="280">
        <v>1602</v>
      </c>
      <c r="KA4" s="280">
        <v>1744.7</v>
      </c>
      <c r="KB4" s="279" t="s">
        <v>11</v>
      </c>
      <c r="KC4" s="280">
        <v>3170.5</v>
      </c>
      <c r="KD4" s="280">
        <v>3330.2</v>
      </c>
      <c r="KE4" s="280">
        <v>3548.1</v>
      </c>
      <c r="KF4" s="280">
        <v>3501.9</v>
      </c>
      <c r="KG4" s="280">
        <v>3362.9</v>
      </c>
      <c r="KH4" s="280">
        <v>3424.7</v>
      </c>
      <c r="KI4" s="280">
        <v>3572.6</v>
      </c>
      <c r="KJ4" s="280">
        <v>3624.6</v>
      </c>
      <c r="KK4" s="280">
        <v>3412.8</v>
      </c>
      <c r="KL4" s="280">
        <v>3451.9</v>
      </c>
      <c r="KM4" s="279" t="s">
        <v>11</v>
      </c>
      <c r="KN4" s="280">
        <v>1020.3</v>
      </c>
      <c r="KO4" s="280">
        <v>1056.8</v>
      </c>
      <c r="KP4" s="280">
        <v>1122.5</v>
      </c>
      <c r="KQ4" s="280">
        <v>1141.0999999999999</v>
      </c>
      <c r="KR4" s="280">
        <v>1148.5999999999999</v>
      </c>
      <c r="KS4" s="280">
        <v>1148.9000000000001</v>
      </c>
      <c r="KT4" s="280">
        <v>1190.3</v>
      </c>
      <c r="KU4" s="280">
        <v>1203.0999999999999</v>
      </c>
      <c r="KV4" s="280">
        <v>1120.3</v>
      </c>
      <c r="KW4" s="280">
        <v>1188.8</v>
      </c>
      <c r="KX4" s="279" t="s">
        <v>11</v>
      </c>
      <c r="KY4" s="280">
        <v>1628.7</v>
      </c>
      <c r="KZ4" s="280">
        <v>2058.8000000000002</v>
      </c>
      <c r="LA4" s="280">
        <v>2437.8000000000002</v>
      </c>
      <c r="LB4" s="280">
        <v>1851.2</v>
      </c>
      <c r="LC4" s="280">
        <v>1759.8</v>
      </c>
      <c r="LD4" s="280">
        <v>2227.1999999999998</v>
      </c>
      <c r="LE4" s="280">
        <v>2529.6999999999998</v>
      </c>
      <c r="LF4" s="280">
        <v>1944.9</v>
      </c>
      <c r="LG4" s="280">
        <v>1784.3</v>
      </c>
      <c r="LH4" s="280">
        <v>2295.6</v>
      </c>
      <c r="LI4" s="279" t="s">
        <v>11</v>
      </c>
      <c r="LJ4" s="280">
        <v>549.29999999999995</v>
      </c>
      <c r="LK4" s="280">
        <v>531.4</v>
      </c>
      <c r="LL4" s="280">
        <v>551.6</v>
      </c>
      <c r="LM4" s="280">
        <v>533.5</v>
      </c>
      <c r="LN4" s="280">
        <v>540.9</v>
      </c>
      <c r="LO4" s="280">
        <v>574.1</v>
      </c>
      <c r="LP4" s="280">
        <v>565.70000000000005</v>
      </c>
      <c r="LQ4" s="280">
        <v>569.20000000000005</v>
      </c>
      <c r="LR4" s="280">
        <v>572.29999999999995</v>
      </c>
      <c r="LS4" s="280">
        <v>598.29999999999995</v>
      </c>
      <c r="LT4" s="279" t="s">
        <v>11</v>
      </c>
      <c r="LU4" s="280">
        <v>359.3</v>
      </c>
      <c r="LV4" s="280">
        <v>382.5</v>
      </c>
      <c r="LW4" s="280">
        <v>408.1</v>
      </c>
      <c r="LX4" s="280">
        <v>387.9</v>
      </c>
      <c r="LY4" s="280">
        <v>358.8</v>
      </c>
      <c r="LZ4" s="280">
        <v>399.5</v>
      </c>
      <c r="MA4" s="280">
        <v>420.7</v>
      </c>
      <c r="MB4" s="280">
        <v>383.8</v>
      </c>
      <c r="MC4" s="280">
        <v>367.7</v>
      </c>
      <c r="MD4" s="280">
        <v>408.6</v>
      </c>
      <c r="ME4" s="279" t="s">
        <v>11</v>
      </c>
      <c r="MF4" s="280">
        <v>872.5</v>
      </c>
      <c r="MG4" s="280">
        <v>930.5</v>
      </c>
      <c r="MH4" s="280">
        <v>914.1</v>
      </c>
      <c r="MI4" s="280">
        <v>914.5</v>
      </c>
      <c r="MJ4" s="280">
        <v>907.1</v>
      </c>
      <c r="MK4" s="280">
        <v>955.2</v>
      </c>
      <c r="ML4" s="280">
        <v>969.5</v>
      </c>
      <c r="MM4" s="280">
        <v>980.5</v>
      </c>
      <c r="MN4" s="280">
        <v>904.6</v>
      </c>
      <c r="MO4" s="280">
        <v>969.7</v>
      </c>
      <c r="MP4" s="279" t="s">
        <v>11</v>
      </c>
      <c r="MQ4" s="280">
        <v>1347.5</v>
      </c>
      <c r="MR4" s="280">
        <v>1438.4</v>
      </c>
      <c r="MS4" s="280">
        <v>1591.1</v>
      </c>
      <c r="MT4" s="280">
        <v>1467.5</v>
      </c>
      <c r="MU4" s="280">
        <v>1377.7</v>
      </c>
      <c r="MV4" s="280">
        <v>1479.3</v>
      </c>
      <c r="MW4" s="280">
        <v>1579.7</v>
      </c>
      <c r="MX4" s="280">
        <v>1488.3</v>
      </c>
      <c r="MY4" s="280">
        <v>1421.1</v>
      </c>
      <c r="MZ4" s="280">
        <v>1527.3</v>
      </c>
      <c r="NA4" s="279" t="s">
        <v>11</v>
      </c>
      <c r="NB4" s="280">
        <v>1627.1</v>
      </c>
      <c r="NC4" s="280">
        <v>1692.2</v>
      </c>
      <c r="ND4" s="280">
        <v>1740.3</v>
      </c>
      <c r="NE4" s="280">
        <v>1695.4</v>
      </c>
      <c r="NF4" s="280">
        <v>1618.1</v>
      </c>
      <c r="NG4" s="280">
        <v>1681.1</v>
      </c>
      <c r="NH4" s="280">
        <v>1732</v>
      </c>
      <c r="NI4" s="280">
        <v>1709.7</v>
      </c>
      <c r="NJ4" s="280">
        <v>1665.1</v>
      </c>
      <c r="NK4" s="280">
        <v>1707.4</v>
      </c>
      <c r="NL4" s="279" t="s">
        <v>11</v>
      </c>
      <c r="NM4" s="280">
        <v>2602.1999999999998</v>
      </c>
      <c r="NN4" s="280">
        <v>2600.1</v>
      </c>
      <c r="NO4" s="280">
        <v>2158.4</v>
      </c>
      <c r="NP4" s="280">
        <v>2555.4</v>
      </c>
      <c r="NQ4" s="280">
        <v>2644.5</v>
      </c>
      <c r="NR4" s="280">
        <v>2621.9</v>
      </c>
      <c r="NS4" s="280">
        <v>2153.4</v>
      </c>
      <c r="NT4" s="280">
        <v>2555.6</v>
      </c>
      <c r="NU4" s="280">
        <v>2629.5</v>
      </c>
      <c r="NV4" s="280">
        <v>2664.7</v>
      </c>
      <c r="NW4" s="279" t="s">
        <v>11</v>
      </c>
      <c r="NX4" s="280">
        <v>2795.5</v>
      </c>
      <c r="NY4" s="280">
        <v>2871</v>
      </c>
      <c r="NZ4" s="280">
        <v>3060.6</v>
      </c>
      <c r="OA4" s="280">
        <v>3013.3</v>
      </c>
      <c r="OB4" s="280">
        <v>2986.3</v>
      </c>
      <c r="OC4" s="280">
        <v>3068.3</v>
      </c>
      <c r="OD4" s="280">
        <v>3124.2</v>
      </c>
      <c r="OE4" s="280">
        <v>3096.3</v>
      </c>
      <c r="OF4" s="280">
        <v>3037.9</v>
      </c>
      <c r="OG4" s="280">
        <v>3110.8</v>
      </c>
      <c r="OH4" s="296" t="s">
        <v>11</v>
      </c>
      <c r="OI4" s="297">
        <v>9.8000000000000007</v>
      </c>
      <c r="OJ4" s="297">
        <v>10</v>
      </c>
      <c r="OK4" s="297">
        <v>10.199999999999999</v>
      </c>
      <c r="OL4" s="297">
        <v>9.5</v>
      </c>
      <c r="OM4" s="297">
        <v>9</v>
      </c>
      <c r="ON4" s="297">
        <v>9.1</v>
      </c>
      <c r="OO4" s="297">
        <v>9.1999999999999993</v>
      </c>
      <c r="OP4" s="297">
        <v>8.6</v>
      </c>
      <c r="OQ4" s="297">
        <v>8.1999999999999993</v>
      </c>
      <c r="OR4" s="297">
        <v>8.1999999999999993</v>
      </c>
      <c r="OS4" s="279" t="s">
        <v>11</v>
      </c>
      <c r="OT4" s="280">
        <v>0.7</v>
      </c>
      <c r="OU4" s="280">
        <v>0.4</v>
      </c>
      <c r="OV4" s="280">
        <v>0.5</v>
      </c>
      <c r="OW4" s="280">
        <v>0.5</v>
      </c>
      <c r="OX4" s="280">
        <v>0.4</v>
      </c>
      <c r="OY4" s="280">
        <v>0.4</v>
      </c>
      <c r="OZ4" s="280">
        <v>0.4</v>
      </c>
      <c r="PA4" s="280">
        <v>0.7</v>
      </c>
      <c r="PB4" s="280">
        <v>0.6</v>
      </c>
      <c r="PC4" s="280">
        <v>0.7</v>
      </c>
    </row>
    <row r="5" spans="1:419">
      <c r="A5" s="269"/>
      <c r="B5" s="285" t="s">
        <v>12</v>
      </c>
      <c r="C5" s="286">
        <v>13.5</v>
      </c>
      <c r="D5" s="286">
        <v>14.2</v>
      </c>
      <c r="E5" s="286">
        <v>14.5</v>
      </c>
      <c r="F5" s="286">
        <v>14.1</v>
      </c>
      <c r="G5" s="286">
        <v>13.7</v>
      </c>
      <c r="H5" s="286">
        <v>14.3</v>
      </c>
      <c r="I5" s="286">
        <v>14.5</v>
      </c>
      <c r="J5" s="286">
        <v>14.2</v>
      </c>
      <c r="K5" s="286">
        <v>13.7</v>
      </c>
      <c r="L5" s="286">
        <v>14.4</v>
      </c>
      <c r="M5" s="285" t="s">
        <v>12</v>
      </c>
      <c r="N5" s="286">
        <v>24136.2</v>
      </c>
      <c r="O5" s="286">
        <v>25584.7</v>
      </c>
      <c r="P5" s="286">
        <v>26558.7</v>
      </c>
      <c r="Q5" s="286">
        <v>25763.7</v>
      </c>
      <c r="R5" s="286">
        <v>24893.4</v>
      </c>
      <c r="S5" s="286">
        <v>26305.8</v>
      </c>
      <c r="T5" s="286">
        <v>26903.599999999999</v>
      </c>
      <c r="U5" s="286">
        <v>26369.1</v>
      </c>
      <c r="V5" s="286">
        <v>25410.9</v>
      </c>
      <c r="W5" s="286">
        <v>26958.1</v>
      </c>
      <c r="X5" s="285" t="s">
        <v>12</v>
      </c>
      <c r="Y5" s="286">
        <v>1194.3</v>
      </c>
      <c r="Z5" s="286">
        <v>1263.8</v>
      </c>
      <c r="AA5" s="286">
        <v>1372.2</v>
      </c>
      <c r="AB5" s="286">
        <v>1232.8</v>
      </c>
      <c r="AC5" s="286">
        <v>1182.5</v>
      </c>
      <c r="AD5" s="286">
        <v>1299.4000000000001</v>
      </c>
      <c r="AE5" s="286">
        <v>1310.7</v>
      </c>
      <c r="AF5" s="286">
        <v>1254</v>
      </c>
      <c r="AG5" s="286">
        <v>1230.3</v>
      </c>
      <c r="AH5" s="286">
        <v>1311.1</v>
      </c>
      <c r="AI5" s="279" t="s">
        <v>12</v>
      </c>
      <c r="AJ5" s="280">
        <v>2309.1</v>
      </c>
      <c r="AK5" s="280">
        <v>2741</v>
      </c>
      <c r="AL5" s="280">
        <v>3682</v>
      </c>
      <c r="AM5" s="280">
        <v>2847.4</v>
      </c>
      <c r="AN5" s="280">
        <v>2419.9</v>
      </c>
      <c r="AO5" s="280">
        <v>2731.2</v>
      </c>
      <c r="AP5" s="280">
        <v>3597.8</v>
      </c>
      <c r="AQ5" s="280">
        <v>2890</v>
      </c>
      <c r="AR5" s="280">
        <v>2458.1</v>
      </c>
      <c r="AS5" s="280">
        <v>2805.4</v>
      </c>
      <c r="AT5" s="279" t="s">
        <v>12</v>
      </c>
      <c r="AU5" s="280">
        <v>3403.8</v>
      </c>
      <c r="AV5" s="280">
        <v>3991.1</v>
      </c>
      <c r="AW5" s="280">
        <v>4226.6000000000004</v>
      </c>
      <c r="AX5" s="280">
        <v>3824.7</v>
      </c>
      <c r="AY5" s="280">
        <v>3492</v>
      </c>
      <c r="AZ5" s="280">
        <v>3996.4</v>
      </c>
      <c r="BA5" s="280">
        <v>4147.2</v>
      </c>
      <c r="BB5" s="280">
        <v>3707.9</v>
      </c>
      <c r="BC5" s="280">
        <v>3447.7</v>
      </c>
      <c r="BD5" s="280">
        <v>4047.7</v>
      </c>
      <c r="BE5" s="279" t="s">
        <v>12</v>
      </c>
      <c r="BF5" s="280">
        <v>6187.6</v>
      </c>
      <c r="BG5" s="280">
        <v>6424.4</v>
      </c>
      <c r="BH5" s="280">
        <v>6144</v>
      </c>
      <c r="BI5" s="280">
        <v>6359.1</v>
      </c>
      <c r="BJ5" s="280">
        <v>6421.5</v>
      </c>
      <c r="BK5" s="280">
        <v>6621.5</v>
      </c>
      <c r="BL5" s="280">
        <v>6287.8</v>
      </c>
      <c r="BM5" s="280">
        <v>6585</v>
      </c>
      <c r="BN5" s="280">
        <v>6581</v>
      </c>
      <c r="BO5" s="280">
        <v>6951.4</v>
      </c>
      <c r="BP5" s="282" t="s">
        <v>12</v>
      </c>
      <c r="BQ5" s="283">
        <v>2706</v>
      </c>
      <c r="BR5" s="283">
        <v>2741.5</v>
      </c>
      <c r="BS5" s="283">
        <v>2770.6</v>
      </c>
      <c r="BT5" s="283">
        <v>2729.9</v>
      </c>
      <c r="BU5" s="283">
        <v>2817.3</v>
      </c>
      <c r="BV5" s="283">
        <v>2863.5</v>
      </c>
      <c r="BW5" s="283">
        <v>2844.6</v>
      </c>
      <c r="BX5" s="283">
        <v>2909.3</v>
      </c>
      <c r="BY5" s="283">
        <v>2895.8999999999996</v>
      </c>
      <c r="BZ5" s="283">
        <v>2972.9</v>
      </c>
      <c r="CA5" s="282" t="s">
        <v>12</v>
      </c>
      <c r="CB5" s="283">
        <v>4203.6000000000004</v>
      </c>
      <c r="CC5" s="283">
        <v>4073.3</v>
      </c>
      <c r="CD5" s="283">
        <v>4101.3</v>
      </c>
      <c r="CE5" s="283">
        <v>4328.1000000000004</v>
      </c>
      <c r="CF5" s="283">
        <v>4220.7000000000007</v>
      </c>
      <c r="CG5" s="283">
        <v>4126.1000000000004</v>
      </c>
      <c r="CH5" s="283">
        <v>4111.1000000000004</v>
      </c>
      <c r="CI5" s="283">
        <v>4302.8</v>
      </c>
      <c r="CJ5" s="283">
        <v>4158.8999999999996</v>
      </c>
      <c r="CK5" s="283">
        <v>4097.2</v>
      </c>
      <c r="CL5" s="285" t="s">
        <v>12</v>
      </c>
      <c r="CM5" s="286">
        <v>6141.6</v>
      </c>
      <c r="CN5" s="286">
        <v>6609</v>
      </c>
      <c r="CO5" s="286">
        <v>7006.3</v>
      </c>
      <c r="CP5" s="286">
        <v>6752.8</v>
      </c>
      <c r="CQ5" s="286">
        <v>6323.6</v>
      </c>
      <c r="CR5" s="286">
        <v>6792.8</v>
      </c>
      <c r="CS5" s="286">
        <v>6989.1</v>
      </c>
      <c r="CT5" s="286">
        <v>6905.4</v>
      </c>
      <c r="CU5" s="286">
        <v>6526.6</v>
      </c>
      <c r="CV5" s="286">
        <v>7097.6</v>
      </c>
      <c r="CW5" s="285" t="s">
        <v>12</v>
      </c>
      <c r="CX5" s="286">
        <v>11095.9</v>
      </c>
      <c r="CY5" s="286">
        <v>11735.6</v>
      </c>
      <c r="CZ5" s="286">
        <v>12275.1</v>
      </c>
      <c r="DA5" s="286">
        <v>11655.8</v>
      </c>
      <c r="DB5" s="286">
        <v>11319.7</v>
      </c>
      <c r="DC5" s="286">
        <v>12046.8</v>
      </c>
      <c r="DD5" s="286">
        <v>12418.6</v>
      </c>
      <c r="DE5" s="286">
        <v>11965.3</v>
      </c>
      <c r="DF5" s="286">
        <v>11451.3</v>
      </c>
      <c r="DG5" s="286">
        <v>12116.1</v>
      </c>
      <c r="DH5" s="285" t="s">
        <v>12</v>
      </c>
      <c r="DI5" s="286">
        <v>6835</v>
      </c>
      <c r="DJ5" s="286">
        <v>7183.2</v>
      </c>
      <c r="DK5" s="286">
        <v>7211.1</v>
      </c>
      <c r="DL5" s="286">
        <v>7300.8</v>
      </c>
      <c r="DM5" s="286">
        <v>7180.3</v>
      </c>
      <c r="DN5" s="286">
        <v>7388.5</v>
      </c>
      <c r="DO5" s="286">
        <v>7424.2</v>
      </c>
      <c r="DP5" s="286">
        <v>7422.8</v>
      </c>
      <c r="DQ5" s="286">
        <v>7349.3</v>
      </c>
      <c r="DR5" s="286">
        <v>7671</v>
      </c>
      <c r="DS5" s="285" t="s">
        <v>12</v>
      </c>
      <c r="DT5" s="286">
        <v>63.8</v>
      </c>
      <c r="DU5" s="286">
        <v>56.8</v>
      </c>
      <c r="DV5" s="286">
        <v>66.2</v>
      </c>
      <c r="DW5" s="286">
        <v>54.3</v>
      </c>
      <c r="DX5" s="286">
        <v>69.7</v>
      </c>
      <c r="DY5" s="286">
        <v>77.599999999999994</v>
      </c>
      <c r="DZ5" s="286">
        <v>71.7</v>
      </c>
      <c r="EA5" s="286">
        <v>75.8</v>
      </c>
      <c r="EB5" s="286">
        <v>83.7</v>
      </c>
      <c r="EC5" s="286">
        <v>73.3</v>
      </c>
      <c r="ED5" s="279" t="s">
        <v>12</v>
      </c>
      <c r="EE5" s="280">
        <v>318.39999999999998</v>
      </c>
      <c r="EF5" s="280">
        <v>327.8</v>
      </c>
      <c r="EG5" s="280">
        <v>324</v>
      </c>
      <c r="EH5" s="280">
        <v>330.7</v>
      </c>
      <c r="EI5" s="280">
        <v>326.10000000000002</v>
      </c>
      <c r="EJ5" s="280">
        <v>343.4</v>
      </c>
      <c r="EK5" s="280">
        <v>367.4</v>
      </c>
      <c r="EL5" s="280">
        <v>357.9</v>
      </c>
      <c r="EM5" s="280">
        <v>327.3</v>
      </c>
      <c r="EN5" s="280">
        <v>322.10000000000002</v>
      </c>
      <c r="EO5" s="279" t="s">
        <v>12</v>
      </c>
      <c r="EP5" s="280">
        <v>3858</v>
      </c>
      <c r="EQ5" s="280">
        <v>3891.6</v>
      </c>
      <c r="ER5" s="280">
        <v>3682.2</v>
      </c>
      <c r="ES5" s="280">
        <v>3946</v>
      </c>
      <c r="ET5" s="280">
        <v>4022</v>
      </c>
      <c r="EU5" s="280">
        <v>4086.2</v>
      </c>
      <c r="EV5" s="280">
        <v>3814.3</v>
      </c>
      <c r="EW5" s="280">
        <v>4068.6</v>
      </c>
      <c r="EX5" s="280">
        <v>4081.4</v>
      </c>
      <c r="EY5" s="280">
        <v>4211</v>
      </c>
      <c r="EZ5" s="279" t="s">
        <v>12</v>
      </c>
      <c r="FA5" s="280">
        <v>3245.1</v>
      </c>
      <c r="FB5" s="280">
        <v>3295.3</v>
      </c>
      <c r="FC5" s="280">
        <v>3351.1</v>
      </c>
      <c r="FD5" s="280">
        <v>3330.8</v>
      </c>
      <c r="FE5" s="280">
        <v>3304.6</v>
      </c>
      <c r="FF5" s="280">
        <v>3431</v>
      </c>
      <c r="FG5" s="280">
        <v>3376.3</v>
      </c>
      <c r="FH5" s="280">
        <v>3377.3</v>
      </c>
      <c r="FI5" s="280">
        <v>3368.2</v>
      </c>
      <c r="FJ5" s="280">
        <v>3455.7</v>
      </c>
      <c r="FK5" s="279" t="s">
        <v>12</v>
      </c>
      <c r="FL5" s="280">
        <v>2362.8000000000002</v>
      </c>
      <c r="FM5" s="280">
        <v>2490.9</v>
      </c>
      <c r="FN5" s="280">
        <v>2557</v>
      </c>
      <c r="FO5" s="280">
        <v>2509.3000000000002</v>
      </c>
      <c r="FP5" s="280">
        <v>2409.6</v>
      </c>
      <c r="FQ5" s="280">
        <v>2458.9</v>
      </c>
      <c r="FR5" s="280">
        <v>2613.4</v>
      </c>
      <c r="FS5" s="280">
        <v>2553.1999999999998</v>
      </c>
      <c r="FT5" s="280">
        <v>2484.4</v>
      </c>
      <c r="FU5" s="280">
        <v>2633.2</v>
      </c>
      <c r="FV5" s="279" t="s">
        <v>12</v>
      </c>
      <c r="FW5" s="280">
        <v>4962.5</v>
      </c>
      <c r="FX5" s="280">
        <v>5438.4</v>
      </c>
      <c r="FY5" s="280">
        <v>5934.9</v>
      </c>
      <c r="FZ5" s="280">
        <v>5450.4</v>
      </c>
      <c r="GA5" s="280">
        <v>5166</v>
      </c>
      <c r="GB5" s="280">
        <v>5672.2</v>
      </c>
      <c r="GC5" s="280">
        <v>6013.3</v>
      </c>
      <c r="GD5" s="280">
        <v>5588.6</v>
      </c>
      <c r="GE5" s="280">
        <v>5317.9</v>
      </c>
      <c r="GF5" s="280">
        <v>5737.6</v>
      </c>
      <c r="GG5" s="279" t="s">
        <v>12</v>
      </c>
      <c r="GH5" s="280">
        <v>374.1</v>
      </c>
      <c r="GI5" s="280">
        <v>451</v>
      </c>
      <c r="GJ5" s="280">
        <v>502.9</v>
      </c>
      <c r="GK5" s="280">
        <v>417.3</v>
      </c>
      <c r="GL5" s="280">
        <v>383.9</v>
      </c>
      <c r="GM5" s="280">
        <v>460.3</v>
      </c>
      <c r="GN5" s="280">
        <v>469.4</v>
      </c>
      <c r="GO5" s="280">
        <v>391.2</v>
      </c>
      <c r="GP5" s="280">
        <v>396.5</v>
      </c>
      <c r="GQ5" s="280">
        <v>468.9</v>
      </c>
      <c r="GR5" s="279" t="s">
        <v>12</v>
      </c>
      <c r="GS5" s="280">
        <v>2950.1</v>
      </c>
      <c r="GT5" s="280">
        <v>3088.6</v>
      </c>
      <c r="GU5" s="280">
        <v>3146</v>
      </c>
      <c r="GV5" s="280">
        <v>3169.7</v>
      </c>
      <c r="GW5" s="280">
        <v>3005.9</v>
      </c>
      <c r="GX5" s="280">
        <v>3129.3</v>
      </c>
      <c r="GY5" s="280">
        <v>3208.7</v>
      </c>
      <c r="GZ5" s="280">
        <v>3204</v>
      </c>
      <c r="HA5" s="280">
        <v>2979</v>
      </c>
      <c r="HB5" s="280">
        <v>3191.8</v>
      </c>
      <c r="HC5" s="279" t="s">
        <v>12</v>
      </c>
      <c r="HD5" s="280">
        <v>1905.4</v>
      </c>
      <c r="HE5" s="280">
        <v>2032.3</v>
      </c>
      <c r="HF5" s="280">
        <v>2062.5</v>
      </c>
      <c r="HG5" s="280">
        <v>1978.2</v>
      </c>
      <c r="HH5" s="280">
        <v>1910.9</v>
      </c>
      <c r="HI5" s="280">
        <v>2035.6</v>
      </c>
      <c r="HJ5" s="280">
        <v>2122.5</v>
      </c>
      <c r="HK5" s="280">
        <v>2083.6999999999998</v>
      </c>
      <c r="HL5" s="280">
        <v>1931.7</v>
      </c>
      <c r="HM5" s="280">
        <v>2124.4</v>
      </c>
      <c r="HN5" s="279" t="s">
        <v>12</v>
      </c>
      <c r="HO5" s="280">
        <v>3888.3</v>
      </c>
      <c r="HP5" s="280">
        <v>4301.6000000000004</v>
      </c>
      <c r="HQ5" s="280">
        <v>4730.2</v>
      </c>
      <c r="HR5" s="280">
        <v>4375.6000000000004</v>
      </c>
      <c r="HS5" s="280">
        <v>4079.3</v>
      </c>
      <c r="HT5" s="280">
        <v>4429.3</v>
      </c>
      <c r="HU5" s="280">
        <v>4669.8999999999996</v>
      </c>
      <c r="HV5" s="280">
        <v>4460.7</v>
      </c>
      <c r="HW5" s="280">
        <v>4240.5</v>
      </c>
      <c r="HX5" s="280">
        <v>4533.5</v>
      </c>
      <c r="HY5" s="279" t="s">
        <v>12</v>
      </c>
      <c r="HZ5" s="280">
        <v>215.1</v>
      </c>
      <c r="IA5" s="280">
        <v>203.5</v>
      </c>
      <c r="IB5" s="280">
        <v>211.3</v>
      </c>
      <c r="IC5" s="280">
        <v>202.7</v>
      </c>
      <c r="ID5" s="280">
        <v>193.8</v>
      </c>
      <c r="IE5" s="280">
        <v>183.1</v>
      </c>
      <c r="IF5" s="280">
        <v>171.6</v>
      </c>
      <c r="IG5" s="280">
        <v>209.2</v>
      </c>
      <c r="IH5" s="280">
        <v>202.8</v>
      </c>
      <c r="II5" s="280">
        <v>205.6</v>
      </c>
      <c r="IJ5" s="279" t="s">
        <v>12</v>
      </c>
      <c r="IK5" s="280">
        <v>56.5</v>
      </c>
      <c r="IL5" s="280">
        <v>63.6</v>
      </c>
      <c r="IM5" s="280">
        <v>56.7</v>
      </c>
      <c r="IN5" s="280">
        <v>52.8</v>
      </c>
      <c r="IO5" s="280">
        <v>91.2</v>
      </c>
      <c r="IP5" s="280">
        <v>76.400000000000006</v>
      </c>
      <c r="IQ5" s="280">
        <v>76.8</v>
      </c>
      <c r="IR5" s="280">
        <v>74.8</v>
      </c>
      <c r="IS5" s="280">
        <v>81.099999999999994</v>
      </c>
      <c r="IT5" s="280">
        <v>74.3</v>
      </c>
      <c r="IU5" s="279" t="s">
        <v>12</v>
      </c>
      <c r="IV5" s="280">
        <v>766.4</v>
      </c>
      <c r="IW5" s="280">
        <v>921.9</v>
      </c>
      <c r="IX5" s="280">
        <v>1005.8</v>
      </c>
      <c r="IY5" s="280">
        <v>983.9</v>
      </c>
      <c r="IZ5" s="280">
        <v>858.8</v>
      </c>
      <c r="JA5" s="280">
        <v>965.7</v>
      </c>
      <c r="JB5" s="280">
        <v>1004.9</v>
      </c>
      <c r="JC5" s="280">
        <v>944.3</v>
      </c>
      <c r="JD5" s="280">
        <v>871.3</v>
      </c>
      <c r="JE5" s="280">
        <v>1008</v>
      </c>
      <c r="JF5" s="279" t="s">
        <v>12</v>
      </c>
      <c r="JG5" s="280">
        <v>3642.7</v>
      </c>
      <c r="JH5" s="280">
        <v>3745.6</v>
      </c>
      <c r="JI5" s="280">
        <v>3882.1</v>
      </c>
      <c r="JJ5" s="280">
        <v>3748.6</v>
      </c>
      <c r="JK5" s="280">
        <v>3609.7</v>
      </c>
      <c r="JL5" s="280">
        <v>3805.5</v>
      </c>
      <c r="JM5" s="280">
        <v>3947.1</v>
      </c>
      <c r="JN5" s="280">
        <v>3877.4</v>
      </c>
      <c r="JO5" s="280">
        <v>3738.3</v>
      </c>
      <c r="JP5" s="280">
        <v>3884.1</v>
      </c>
      <c r="JQ5" s="279" t="s">
        <v>12</v>
      </c>
      <c r="JR5" s="280">
        <v>1544.9</v>
      </c>
      <c r="JS5" s="280">
        <v>1687.2</v>
      </c>
      <c r="JT5" s="280">
        <v>1759.4</v>
      </c>
      <c r="JU5" s="280">
        <v>1689.2</v>
      </c>
      <c r="JV5" s="280">
        <v>1543.8</v>
      </c>
      <c r="JW5" s="280">
        <v>1700.8</v>
      </c>
      <c r="JX5" s="280">
        <v>1730.7</v>
      </c>
      <c r="JY5" s="280">
        <v>1686.1</v>
      </c>
      <c r="JZ5" s="280">
        <v>1577.6</v>
      </c>
      <c r="KA5" s="280">
        <v>1720.3</v>
      </c>
      <c r="KB5" s="279" t="s">
        <v>12</v>
      </c>
      <c r="KC5" s="280">
        <v>3128.5</v>
      </c>
      <c r="KD5" s="280">
        <v>3291.1</v>
      </c>
      <c r="KE5" s="280">
        <v>3505.8</v>
      </c>
      <c r="KF5" s="280">
        <v>3459.4</v>
      </c>
      <c r="KG5" s="280">
        <v>3317.3</v>
      </c>
      <c r="KH5" s="280">
        <v>3376.3</v>
      </c>
      <c r="KI5" s="280">
        <v>3535.9</v>
      </c>
      <c r="KJ5" s="280">
        <v>3585</v>
      </c>
      <c r="KK5" s="280">
        <v>3378.1</v>
      </c>
      <c r="KL5" s="280">
        <v>3412.1</v>
      </c>
      <c r="KM5" s="279" t="s">
        <v>12</v>
      </c>
      <c r="KN5" s="280">
        <v>1001</v>
      </c>
      <c r="KO5" s="280">
        <v>1040.4000000000001</v>
      </c>
      <c r="KP5" s="280">
        <v>1102.2</v>
      </c>
      <c r="KQ5" s="280">
        <v>1120.4000000000001</v>
      </c>
      <c r="KR5" s="280">
        <v>1133.5</v>
      </c>
      <c r="KS5" s="280">
        <v>1130.4000000000001</v>
      </c>
      <c r="KT5" s="280">
        <v>1166.9000000000001</v>
      </c>
      <c r="KU5" s="280">
        <v>1187.4000000000001</v>
      </c>
      <c r="KV5" s="280">
        <v>1103.5999999999999</v>
      </c>
      <c r="KW5" s="280">
        <v>1169.5</v>
      </c>
      <c r="KX5" s="279" t="s">
        <v>12</v>
      </c>
      <c r="KY5" s="280">
        <v>1607.7</v>
      </c>
      <c r="KZ5" s="280">
        <v>2027.3</v>
      </c>
      <c r="LA5" s="280">
        <v>2384.4</v>
      </c>
      <c r="LB5" s="280">
        <v>1823.6</v>
      </c>
      <c r="LC5" s="280">
        <v>1733.8</v>
      </c>
      <c r="LD5" s="280">
        <v>2182.1</v>
      </c>
      <c r="LE5" s="280">
        <v>2460.4</v>
      </c>
      <c r="LF5" s="280">
        <v>1913.9</v>
      </c>
      <c r="LG5" s="280">
        <v>1758.7</v>
      </c>
      <c r="LH5" s="280">
        <v>2239.1999999999998</v>
      </c>
      <c r="LI5" s="279" t="s">
        <v>12</v>
      </c>
      <c r="LJ5" s="280">
        <v>543.20000000000005</v>
      </c>
      <c r="LK5" s="280">
        <v>521.6</v>
      </c>
      <c r="LL5" s="280">
        <v>540.79999999999995</v>
      </c>
      <c r="LM5" s="280">
        <v>527.70000000000005</v>
      </c>
      <c r="LN5" s="280">
        <v>531.70000000000005</v>
      </c>
      <c r="LO5" s="280">
        <v>562.1</v>
      </c>
      <c r="LP5" s="280">
        <v>553.6</v>
      </c>
      <c r="LQ5" s="280">
        <v>558.5</v>
      </c>
      <c r="LR5" s="280">
        <v>563.4</v>
      </c>
      <c r="LS5" s="280">
        <v>590</v>
      </c>
      <c r="LT5" s="279" t="s">
        <v>12</v>
      </c>
      <c r="LU5" s="280">
        <v>356.4</v>
      </c>
      <c r="LV5" s="280">
        <v>377.7</v>
      </c>
      <c r="LW5" s="280">
        <v>401.8</v>
      </c>
      <c r="LX5" s="280">
        <v>384</v>
      </c>
      <c r="LY5" s="280">
        <v>355.7</v>
      </c>
      <c r="LZ5" s="280">
        <v>396.2</v>
      </c>
      <c r="MA5" s="280">
        <v>417.7</v>
      </c>
      <c r="MB5" s="280">
        <v>380.4</v>
      </c>
      <c r="MC5" s="280">
        <v>363.4</v>
      </c>
      <c r="MD5" s="280">
        <v>403.1</v>
      </c>
      <c r="ME5" s="279" t="s">
        <v>12</v>
      </c>
      <c r="MF5" s="280">
        <v>864.5</v>
      </c>
      <c r="MG5" s="280">
        <v>922.2</v>
      </c>
      <c r="MH5" s="280">
        <v>905.6</v>
      </c>
      <c r="MI5" s="280">
        <v>901.3</v>
      </c>
      <c r="MJ5" s="280">
        <v>897.6</v>
      </c>
      <c r="MK5" s="280">
        <v>946.7</v>
      </c>
      <c r="ML5" s="280">
        <v>961.3</v>
      </c>
      <c r="MM5" s="280">
        <v>973.1</v>
      </c>
      <c r="MN5" s="280">
        <v>897.7</v>
      </c>
      <c r="MO5" s="280">
        <v>960.1</v>
      </c>
      <c r="MP5" s="279" t="s">
        <v>12</v>
      </c>
      <c r="MQ5" s="280">
        <v>1340.6</v>
      </c>
      <c r="MR5" s="280">
        <v>1429.1</v>
      </c>
      <c r="MS5" s="280">
        <v>1573.6</v>
      </c>
      <c r="MT5" s="280">
        <v>1459.6</v>
      </c>
      <c r="MU5" s="280">
        <v>1372.6</v>
      </c>
      <c r="MV5" s="280">
        <v>1461.6</v>
      </c>
      <c r="MW5" s="280">
        <v>1562.3</v>
      </c>
      <c r="MX5" s="280">
        <v>1472.9</v>
      </c>
      <c r="MY5" s="280">
        <v>1414.6</v>
      </c>
      <c r="MZ5" s="280">
        <v>1517.6</v>
      </c>
      <c r="NA5" s="279" t="s">
        <v>12</v>
      </c>
      <c r="NB5" s="280">
        <v>1615.6</v>
      </c>
      <c r="NC5" s="280">
        <v>1676.7</v>
      </c>
      <c r="ND5" s="280">
        <v>1725.3</v>
      </c>
      <c r="NE5" s="280">
        <v>1680</v>
      </c>
      <c r="NF5" s="280">
        <v>1606.6</v>
      </c>
      <c r="NG5" s="280">
        <v>1666.3</v>
      </c>
      <c r="NH5" s="280">
        <v>1720.3</v>
      </c>
      <c r="NI5" s="280">
        <v>1701.3</v>
      </c>
      <c r="NJ5" s="280">
        <v>1652.9</v>
      </c>
      <c r="NK5" s="280">
        <v>1697.3</v>
      </c>
      <c r="NL5" s="279" t="s">
        <v>12</v>
      </c>
      <c r="NM5" s="280">
        <v>2587.5</v>
      </c>
      <c r="NN5" s="280">
        <v>2582.1999999999998</v>
      </c>
      <c r="NO5" s="280">
        <v>2145.5</v>
      </c>
      <c r="NP5" s="280">
        <v>2535.8000000000002</v>
      </c>
      <c r="NQ5" s="280">
        <v>2621.7</v>
      </c>
      <c r="NR5" s="280">
        <v>2598.6</v>
      </c>
      <c r="NS5" s="280">
        <v>2139.1</v>
      </c>
      <c r="NT5" s="280">
        <v>2536.8000000000002</v>
      </c>
      <c r="NU5" s="280">
        <v>2613.5</v>
      </c>
      <c r="NV5" s="280">
        <v>2650.1</v>
      </c>
      <c r="NW5" s="279" t="s">
        <v>12</v>
      </c>
      <c r="NX5" s="280">
        <v>2780.4</v>
      </c>
      <c r="NY5" s="280">
        <v>2859.1</v>
      </c>
      <c r="NZ5" s="280">
        <v>3053.4</v>
      </c>
      <c r="OA5" s="280">
        <v>3003.1</v>
      </c>
      <c r="OB5" s="280">
        <v>2977</v>
      </c>
      <c r="OC5" s="280">
        <v>3057.1</v>
      </c>
      <c r="OD5" s="280">
        <v>3108.8</v>
      </c>
      <c r="OE5" s="280">
        <v>3079</v>
      </c>
      <c r="OF5" s="280">
        <v>3022.1</v>
      </c>
      <c r="OG5" s="280">
        <v>3096.2</v>
      </c>
      <c r="OH5" s="296" t="s">
        <v>12</v>
      </c>
      <c r="OI5" s="297">
        <v>9.6999999999999993</v>
      </c>
      <c r="OJ5" s="297">
        <v>9.9</v>
      </c>
      <c r="OK5" s="297">
        <v>10.1</v>
      </c>
      <c r="OL5" s="297">
        <v>9.4</v>
      </c>
      <c r="OM5" s="297">
        <v>8.9</v>
      </c>
      <c r="ON5" s="297">
        <v>9</v>
      </c>
      <c r="OO5" s="297">
        <v>9.1</v>
      </c>
      <c r="OP5" s="297">
        <v>8.5</v>
      </c>
      <c r="OQ5" s="297">
        <v>8.1999999999999993</v>
      </c>
      <c r="OR5" s="297">
        <v>8.1999999999999993</v>
      </c>
      <c r="OS5" s="288" t="s">
        <v>12</v>
      </c>
      <c r="OT5" s="280">
        <v>0.7</v>
      </c>
      <c r="OU5" s="280">
        <v>0.4</v>
      </c>
      <c r="OV5" s="280">
        <v>0.5</v>
      </c>
      <c r="OW5" s="280">
        <v>0.5</v>
      </c>
      <c r="OX5" s="280">
        <v>0.4</v>
      </c>
      <c r="OY5" s="280">
        <v>0.4</v>
      </c>
      <c r="OZ5" s="280">
        <v>0.4</v>
      </c>
      <c r="PA5" s="280">
        <v>0.6</v>
      </c>
      <c r="PB5" s="280">
        <v>0.5</v>
      </c>
      <c r="PC5" s="280">
        <v>0.6</v>
      </c>
    </row>
    <row r="6" spans="1:419">
      <c r="A6" s="269"/>
      <c r="B6" s="285" t="s">
        <v>13</v>
      </c>
      <c r="C6" s="286">
        <v>13.4</v>
      </c>
      <c r="D6" s="286">
        <v>14</v>
      </c>
      <c r="E6" s="286">
        <v>14.5</v>
      </c>
      <c r="F6" s="286">
        <v>14</v>
      </c>
      <c r="G6" s="286">
        <v>13.6</v>
      </c>
      <c r="H6" s="286">
        <v>14.3</v>
      </c>
      <c r="I6" s="286">
        <v>14.6</v>
      </c>
      <c r="J6" s="286">
        <v>14.4</v>
      </c>
      <c r="K6" s="286">
        <v>13.9</v>
      </c>
      <c r="L6" s="286">
        <v>14.6</v>
      </c>
      <c r="M6" s="285" t="s">
        <v>13</v>
      </c>
      <c r="N6" s="286">
        <v>19321.099999999999</v>
      </c>
      <c r="O6" s="286">
        <v>20505.599999999999</v>
      </c>
      <c r="P6" s="286">
        <v>21398.1</v>
      </c>
      <c r="Q6" s="286">
        <v>20698.7</v>
      </c>
      <c r="R6" s="286">
        <v>20068.2</v>
      </c>
      <c r="S6" s="286">
        <v>21244.9</v>
      </c>
      <c r="T6" s="286">
        <v>21888.7</v>
      </c>
      <c r="U6" s="286">
        <v>21536.2</v>
      </c>
      <c r="V6" s="286">
        <v>20744.099999999999</v>
      </c>
      <c r="W6" s="286">
        <v>22038.7</v>
      </c>
      <c r="X6" s="285" t="s">
        <v>13</v>
      </c>
      <c r="Y6" s="286">
        <v>1046.2</v>
      </c>
      <c r="Z6" s="286">
        <v>1125.5</v>
      </c>
      <c r="AA6" s="286">
        <v>1218.2</v>
      </c>
      <c r="AB6" s="286">
        <v>1104.5999999999999</v>
      </c>
      <c r="AC6" s="286">
        <v>1046.7</v>
      </c>
      <c r="AD6" s="286">
        <v>1167.2</v>
      </c>
      <c r="AE6" s="286">
        <v>1171.9000000000001</v>
      </c>
      <c r="AF6" s="286">
        <v>1140.9000000000001</v>
      </c>
      <c r="AG6" s="286">
        <v>1119.3</v>
      </c>
      <c r="AH6" s="286">
        <v>1190.5999999999999</v>
      </c>
      <c r="AI6" s="279" t="s">
        <v>13</v>
      </c>
      <c r="AJ6" s="280">
        <v>1603.1</v>
      </c>
      <c r="AK6" s="280">
        <v>1979.1</v>
      </c>
      <c r="AL6" s="280">
        <v>2856.1</v>
      </c>
      <c r="AM6" s="280">
        <v>2061.4</v>
      </c>
      <c r="AN6" s="280">
        <v>1753.7</v>
      </c>
      <c r="AO6" s="280">
        <v>2044.7</v>
      </c>
      <c r="AP6" s="280">
        <v>2871.9</v>
      </c>
      <c r="AQ6" s="280">
        <v>2185.5</v>
      </c>
      <c r="AR6" s="280">
        <v>1842.8</v>
      </c>
      <c r="AS6" s="280">
        <v>2191.5</v>
      </c>
      <c r="AT6" s="279" t="s">
        <v>13</v>
      </c>
      <c r="AU6" s="280">
        <v>2677.5</v>
      </c>
      <c r="AV6" s="280">
        <v>3145.3</v>
      </c>
      <c r="AW6" s="280">
        <v>3313.5</v>
      </c>
      <c r="AX6" s="280">
        <v>2998.7</v>
      </c>
      <c r="AY6" s="280">
        <v>2830.9</v>
      </c>
      <c r="AZ6" s="280">
        <v>3265.2</v>
      </c>
      <c r="BA6" s="280">
        <v>3360.5</v>
      </c>
      <c r="BB6" s="280">
        <v>2991.4</v>
      </c>
      <c r="BC6" s="280">
        <v>2852.7</v>
      </c>
      <c r="BD6" s="280">
        <v>3344.5</v>
      </c>
      <c r="BE6" s="279" t="s">
        <v>13</v>
      </c>
      <c r="BF6" s="280">
        <v>4736.2</v>
      </c>
      <c r="BG6" s="280">
        <v>4879.2</v>
      </c>
      <c r="BH6" s="280">
        <v>4606.1000000000004</v>
      </c>
      <c r="BI6" s="280">
        <v>4843.3</v>
      </c>
      <c r="BJ6" s="280">
        <v>4893.6000000000004</v>
      </c>
      <c r="BK6" s="280">
        <v>4952.5</v>
      </c>
      <c r="BL6" s="280">
        <v>4671.3</v>
      </c>
      <c r="BM6" s="280">
        <v>4979.2</v>
      </c>
      <c r="BN6" s="280">
        <v>4987.1000000000004</v>
      </c>
      <c r="BO6" s="280">
        <v>5257.5</v>
      </c>
      <c r="BP6" s="282" t="s">
        <v>13</v>
      </c>
      <c r="BQ6" s="283">
        <v>1852.1000000000001</v>
      </c>
      <c r="BR6" s="283">
        <v>1908.3</v>
      </c>
      <c r="BS6" s="283">
        <v>1983.1</v>
      </c>
      <c r="BT6" s="283">
        <v>1896.6999999999998</v>
      </c>
      <c r="BU6" s="283">
        <v>1980.2</v>
      </c>
      <c r="BV6" s="283">
        <v>1987</v>
      </c>
      <c r="BW6" s="283">
        <v>1998.5</v>
      </c>
      <c r="BX6" s="283">
        <v>2082.1999999999998</v>
      </c>
      <c r="BY6" s="283">
        <v>2020.4</v>
      </c>
      <c r="BZ6" s="283">
        <v>2044.9</v>
      </c>
      <c r="CA6" s="282" t="s">
        <v>13</v>
      </c>
      <c r="CB6" s="283">
        <v>3285.5</v>
      </c>
      <c r="CC6" s="283">
        <v>3134.4</v>
      </c>
      <c r="CD6" s="283">
        <v>3181.4</v>
      </c>
      <c r="CE6" s="283">
        <v>3367.3999999999996</v>
      </c>
      <c r="CF6" s="283">
        <v>3240.8</v>
      </c>
      <c r="CG6" s="283">
        <v>3181.5</v>
      </c>
      <c r="CH6" s="283">
        <v>3234.1</v>
      </c>
      <c r="CI6" s="283">
        <v>3451</v>
      </c>
      <c r="CJ6" s="283">
        <v>3296.6000000000004</v>
      </c>
      <c r="CK6" s="283">
        <v>3265.2</v>
      </c>
      <c r="CL6" s="285" t="s">
        <v>13</v>
      </c>
      <c r="CM6" s="286">
        <v>5554.7</v>
      </c>
      <c r="CN6" s="286">
        <v>5961.7</v>
      </c>
      <c r="CO6" s="286">
        <v>6285.2</v>
      </c>
      <c r="CP6" s="286">
        <v>6077.8</v>
      </c>
      <c r="CQ6" s="286">
        <v>5715</v>
      </c>
      <c r="CR6" s="286">
        <v>6133.1</v>
      </c>
      <c r="CS6" s="286">
        <v>6325.6</v>
      </c>
      <c r="CT6" s="286">
        <v>6277.2</v>
      </c>
      <c r="CU6" s="286">
        <v>5932.2</v>
      </c>
      <c r="CV6" s="286">
        <v>6439.9</v>
      </c>
      <c r="CW6" s="285" t="s">
        <v>13</v>
      </c>
      <c r="CX6" s="286">
        <v>7973.8</v>
      </c>
      <c r="CY6" s="286">
        <v>8475.2000000000007</v>
      </c>
      <c r="CZ6" s="286">
        <v>8972.2000000000007</v>
      </c>
      <c r="DA6" s="286">
        <v>8432.9</v>
      </c>
      <c r="DB6" s="286">
        <v>8223</v>
      </c>
      <c r="DC6" s="286">
        <v>8798.7999999999993</v>
      </c>
      <c r="DD6" s="286">
        <v>9153</v>
      </c>
      <c r="DE6" s="286">
        <v>8863.7000000000007</v>
      </c>
      <c r="DF6" s="286">
        <v>8477.7000000000007</v>
      </c>
      <c r="DG6" s="286">
        <v>9036.1</v>
      </c>
      <c r="DH6" s="285" t="s">
        <v>13</v>
      </c>
      <c r="DI6" s="286">
        <v>5728.7</v>
      </c>
      <c r="DJ6" s="286">
        <v>6012</v>
      </c>
      <c r="DK6" s="286">
        <v>6074.6</v>
      </c>
      <c r="DL6" s="286">
        <v>6133.8</v>
      </c>
      <c r="DM6" s="286">
        <v>6060.7</v>
      </c>
      <c r="DN6" s="286">
        <v>6235.6</v>
      </c>
      <c r="DO6" s="286">
        <v>6338.3</v>
      </c>
      <c r="DP6" s="286">
        <v>6319.5</v>
      </c>
      <c r="DQ6" s="286">
        <v>6250.4</v>
      </c>
      <c r="DR6" s="286">
        <v>6489.4</v>
      </c>
      <c r="DS6" s="285" t="s">
        <v>13</v>
      </c>
      <c r="DT6" s="286">
        <v>63.8</v>
      </c>
      <c r="DU6" s="286">
        <v>56.8</v>
      </c>
      <c r="DV6" s="286">
        <v>66</v>
      </c>
      <c r="DW6" s="286">
        <v>54.1</v>
      </c>
      <c r="DX6" s="286">
        <v>69.5</v>
      </c>
      <c r="DY6" s="286">
        <v>77.400000000000006</v>
      </c>
      <c r="DZ6" s="286">
        <v>71.7</v>
      </c>
      <c r="EA6" s="286">
        <v>75.8</v>
      </c>
      <c r="EB6" s="286">
        <v>83.7</v>
      </c>
      <c r="EC6" s="286">
        <v>73.3</v>
      </c>
      <c r="ED6" s="279" t="s">
        <v>13</v>
      </c>
      <c r="EE6" s="280">
        <v>234.2</v>
      </c>
      <c r="EF6" s="280">
        <v>248.1</v>
      </c>
      <c r="EG6" s="280">
        <v>240.8</v>
      </c>
      <c r="EH6" s="280">
        <v>242.8</v>
      </c>
      <c r="EI6" s="280">
        <v>242.8</v>
      </c>
      <c r="EJ6" s="280">
        <v>256.3</v>
      </c>
      <c r="EK6" s="280">
        <v>268.10000000000002</v>
      </c>
      <c r="EL6" s="280">
        <v>268</v>
      </c>
      <c r="EM6" s="280">
        <v>249.6</v>
      </c>
      <c r="EN6" s="280">
        <v>235.5</v>
      </c>
      <c r="EO6" s="279" t="s">
        <v>13</v>
      </c>
      <c r="EP6" s="280">
        <v>3317</v>
      </c>
      <c r="EQ6" s="280">
        <v>3319.2</v>
      </c>
      <c r="ER6" s="280">
        <v>3127.1</v>
      </c>
      <c r="ES6" s="280">
        <v>3363.7</v>
      </c>
      <c r="ET6" s="280">
        <v>3463.2</v>
      </c>
      <c r="EU6" s="280">
        <v>3525.1</v>
      </c>
      <c r="EV6" s="280">
        <v>3335.5</v>
      </c>
      <c r="EW6" s="280">
        <v>3573.4</v>
      </c>
      <c r="EX6" s="280">
        <v>3553.4</v>
      </c>
      <c r="EY6" s="280">
        <v>3632.8</v>
      </c>
      <c r="EZ6" s="279" t="s">
        <v>13</v>
      </c>
      <c r="FA6" s="280">
        <v>2794.7</v>
      </c>
      <c r="FB6" s="280">
        <v>2838.4</v>
      </c>
      <c r="FC6" s="280">
        <v>2902.2</v>
      </c>
      <c r="FD6" s="280">
        <v>2875.1</v>
      </c>
      <c r="FE6" s="280">
        <v>2876.7</v>
      </c>
      <c r="FF6" s="280">
        <v>2962.6</v>
      </c>
      <c r="FG6" s="280">
        <v>2885.7</v>
      </c>
      <c r="FH6" s="280">
        <v>2914.7</v>
      </c>
      <c r="FI6" s="280">
        <v>2955.1</v>
      </c>
      <c r="FJ6" s="280">
        <v>2991.1</v>
      </c>
      <c r="FK6" s="279" t="s">
        <v>13</v>
      </c>
      <c r="FL6" s="280">
        <v>1978.3</v>
      </c>
      <c r="FM6" s="280">
        <v>2105.1</v>
      </c>
      <c r="FN6" s="280">
        <v>2157</v>
      </c>
      <c r="FO6" s="280">
        <v>2113.6999999999998</v>
      </c>
      <c r="FP6" s="280">
        <v>2013.7</v>
      </c>
      <c r="FQ6" s="280">
        <v>2078.1</v>
      </c>
      <c r="FR6" s="280">
        <v>2206.1</v>
      </c>
      <c r="FS6" s="280">
        <v>2146.1</v>
      </c>
      <c r="FT6" s="280">
        <v>2069.3000000000002</v>
      </c>
      <c r="FU6" s="280">
        <v>2231.5</v>
      </c>
      <c r="FV6" s="279" t="s">
        <v>13</v>
      </c>
      <c r="FW6" s="280">
        <v>4022.5</v>
      </c>
      <c r="FX6" s="280">
        <v>4453.7</v>
      </c>
      <c r="FY6" s="280">
        <v>4889.3</v>
      </c>
      <c r="FZ6" s="280">
        <v>4441.2</v>
      </c>
      <c r="GA6" s="280">
        <v>4209.2</v>
      </c>
      <c r="GB6" s="280">
        <v>4710.3999999999996</v>
      </c>
      <c r="GC6" s="280">
        <v>5031.3999999999996</v>
      </c>
      <c r="GD6" s="280">
        <v>4601.2</v>
      </c>
      <c r="GE6" s="280">
        <v>4400.3999999999996</v>
      </c>
      <c r="GF6" s="280">
        <v>4849.6000000000004</v>
      </c>
      <c r="GG6" s="279" t="s">
        <v>13</v>
      </c>
      <c r="GH6" s="280">
        <v>321.3</v>
      </c>
      <c r="GI6" s="280">
        <v>388.8</v>
      </c>
      <c r="GJ6" s="280">
        <v>427.5</v>
      </c>
      <c r="GK6" s="280">
        <v>353.6</v>
      </c>
      <c r="GL6" s="280">
        <v>336.5</v>
      </c>
      <c r="GM6" s="280">
        <v>389.8</v>
      </c>
      <c r="GN6" s="280">
        <v>396</v>
      </c>
      <c r="GO6" s="280">
        <v>338.4</v>
      </c>
      <c r="GP6" s="280">
        <v>338</v>
      </c>
      <c r="GQ6" s="280">
        <v>392.9</v>
      </c>
      <c r="GR6" s="279" t="s">
        <v>13</v>
      </c>
      <c r="GS6" s="280">
        <v>2122</v>
      </c>
      <c r="GT6" s="280">
        <v>2234.1999999999998</v>
      </c>
      <c r="GU6" s="280">
        <v>2324</v>
      </c>
      <c r="GV6" s="280">
        <v>2364.6</v>
      </c>
      <c r="GW6" s="280">
        <v>2225.6999999999998</v>
      </c>
      <c r="GX6" s="280">
        <v>2298.3000000000002</v>
      </c>
      <c r="GY6" s="280">
        <v>2380.6</v>
      </c>
      <c r="GZ6" s="280">
        <v>2446.8000000000002</v>
      </c>
      <c r="HA6" s="280">
        <v>2241.3000000000002</v>
      </c>
      <c r="HB6" s="280">
        <v>2378.1999999999998</v>
      </c>
      <c r="HC6" s="279" t="s">
        <v>13</v>
      </c>
      <c r="HD6" s="280">
        <v>1305.0999999999999</v>
      </c>
      <c r="HE6" s="280">
        <v>1407.7</v>
      </c>
      <c r="HF6" s="280">
        <v>1452.5</v>
      </c>
      <c r="HG6" s="280">
        <v>1363.8</v>
      </c>
      <c r="HH6" s="280">
        <v>1312.4</v>
      </c>
      <c r="HI6" s="280">
        <v>1398.7</v>
      </c>
      <c r="HJ6" s="280">
        <v>1515.3</v>
      </c>
      <c r="HK6" s="280">
        <v>1476</v>
      </c>
      <c r="HL6" s="280">
        <v>1359.9</v>
      </c>
      <c r="HM6" s="280">
        <v>1533.4</v>
      </c>
      <c r="HN6" s="279" t="s">
        <v>13</v>
      </c>
      <c r="HO6" s="280">
        <v>3007.9</v>
      </c>
      <c r="HP6" s="280">
        <v>3308.2</v>
      </c>
      <c r="HQ6" s="280">
        <v>3665.1</v>
      </c>
      <c r="HR6" s="280">
        <v>3373</v>
      </c>
      <c r="HS6" s="280">
        <v>3152.2</v>
      </c>
      <c r="HT6" s="280">
        <v>3429.8</v>
      </c>
      <c r="HU6" s="280">
        <v>3672.8</v>
      </c>
      <c r="HV6" s="280">
        <v>3545.7</v>
      </c>
      <c r="HW6" s="280">
        <v>3350.2</v>
      </c>
      <c r="HX6" s="280">
        <v>3568.6</v>
      </c>
      <c r="HY6" s="279" t="s">
        <v>13</v>
      </c>
      <c r="HZ6" s="280">
        <v>177.1</v>
      </c>
      <c r="IA6" s="280">
        <v>162.1</v>
      </c>
      <c r="IB6" s="280">
        <v>169.6</v>
      </c>
      <c r="IC6" s="280">
        <v>169.4</v>
      </c>
      <c r="ID6" s="280">
        <v>155.80000000000001</v>
      </c>
      <c r="IE6" s="280">
        <v>146</v>
      </c>
      <c r="IF6" s="280">
        <v>141.30000000000001</v>
      </c>
      <c r="IG6" s="280">
        <v>173.4</v>
      </c>
      <c r="IH6" s="280">
        <v>166.4</v>
      </c>
      <c r="II6" s="280">
        <v>169.4</v>
      </c>
      <c r="IJ6" s="279" t="s">
        <v>13</v>
      </c>
      <c r="IK6" s="280">
        <v>41</v>
      </c>
      <c r="IL6" s="280">
        <v>40</v>
      </c>
      <c r="IM6" s="280">
        <v>42.8</v>
      </c>
      <c r="IN6" s="280">
        <v>37.700000000000003</v>
      </c>
      <c r="IO6" s="280">
        <v>80.099999999999994</v>
      </c>
      <c r="IP6" s="280">
        <v>50</v>
      </c>
      <c r="IQ6" s="280">
        <v>55.9</v>
      </c>
      <c r="IR6" s="280">
        <v>52.3</v>
      </c>
      <c r="IS6" s="280">
        <v>60.6</v>
      </c>
      <c r="IT6" s="280">
        <v>55.7</v>
      </c>
      <c r="IU6" s="279" t="s">
        <v>13</v>
      </c>
      <c r="IV6" s="280">
        <v>622.4</v>
      </c>
      <c r="IW6" s="280">
        <v>738.3</v>
      </c>
      <c r="IX6" s="280">
        <v>794.8</v>
      </c>
      <c r="IY6" s="280">
        <v>818.1</v>
      </c>
      <c r="IZ6" s="280">
        <v>727.7</v>
      </c>
      <c r="JA6" s="280">
        <v>781.6</v>
      </c>
      <c r="JB6" s="280">
        <v>819.9</v>
      </c>
      <c r="JC6" s="280">
        <v>807.7</v>
      </c>
      <c r="JD6" s="280">
        <v>738.8</v>
      </c>
      <c r="JE6" s="280">
        <v>803.1</v>
      </c>
      <c r="JF6" s="279" t="s">
        <v>13</v>
      </c>
      <c r="JG6" s="280">
        <v>2460.3000000000002</v>
      </c>
      <c r="JH6" s="280">
        <v>2540.4</v>
      </c>
      <c r="JI6" s="280">
        <v>2705.6</v>
      </c>
      <c r="JJ6" s="280">
        <v>2606.1999999999998</v>
      </c>
      <c r="JK6" s="280">
        <v>2444.5</v>
      </c>
      <c r="JL6" s="280">
        <v>2573.4</v>
      </c>
      <c r="JM6" s="280">
        <v>2743.7</v>
      </c>
      <c r="JN6" s="280">
        <v>2744.2</v>
      </c>
      <c r="JO6" s="280">
        <v>2617.4</v>
      </c>
      <c r="JP6" s="280">
        <v>2699</v>
      </c>
      <c r="JQ6" s="279" t="s">
        <v>13</v>
      </c>
      <c r="JR6" s="280">
        <v>1087.8</v>
      </c>
      <c r="JS6" s="280">
        <v>1195.8</v>
      </c>
      <c r="JT6" s="280">
        <v>1232.3</v>
      </c>
      <c r="JU6" s="280">
        <v>1204.4000000000001</v>
      </c>
      <c r="JV6" s="280">
        <v>1128.9000000000001</v>
      </c>
      <c r="JW6" s="280">
        <v>1243.9000000000001</v>
      </c>
      <c r="JX6" s="280">
        <v>1240.2</v>
      </c>
      <c r="JY6" s="280">
        <v>1246.2</v>
      </c>
      <c r="JZ6" s="280">
        <v>1176.4000000000001</v>
      </c>
      <c r="KA6" s="280">
        <v>1296.5999999999999</v>
      </c>
      <c r="KB6" s="279" t="s">
        <v>13</v>
      </c>
      <c r="KC6" s="280">
        <v>2356.4</v>
      </c>
      <c r="KD6" s="280">
        <v>2477</v>
      </c>
      <c r="KE6" s="280">
        <v>2689.4</v>
      </c>
      <c r="KF6" s="280">
        <v>2618.3000000000002</v>
      </c>
      <c r="KG6" s="280">
        <v>2479.6</v>
      </c>
      <c r="KH6" s="280">
        <v>2558.3000000000002</v>
      </c>
      <c r="KI6" s="280">
        <v>2756.3</v>
      </c>
      <c r="KJ6" s="280">
        <v>2775.4</v>
      </c>
      <c r="KK6" s="280">
        <v>2623.9</v>
      </c>
      <c r="KL6" s="280">
        <v>2677.1</v>
      </c>
      <c r="KM6" s="279" t="s">
        <v>13</v>
      </c>
      <c r="KN6" s="280">
        <v>766.1</v>
      </c>
      <c r="KO6" s="280">
        <v>805</v>
      </c>
      <c r="KP6" s="280">
        <v>843.1</v>
      </c>
      <c r="KQ6" s="280">
        <v>842.6</v>
      </c>
      <c r="KR6" s="280">
        <v>862.2</v>
      </c>
      <c r="KS6" s="280">
        <v>868.7</v>
      </c>
      <c r="KT6" s="280">
        <v>927.5</v>
      </c>
      <c r="KU6" s="280">
        <v>923.4</v>
      </c>
      <c r="KV6" s="280">
        <v>851.3</v>
      </c>
      <c r="KW6" s="280">
        <v>922.3</v>
      </c>
      <c r="KX6" s="279" t="s">
        <v>13</v>
      </c>
      <c r="KY6" s="280">
        <v>1387.8</v>
      </c>
      <c r="KZ6" s="280">
        <v>1751.6</v>
      </c>
      <c r="LA6" s="280">
        <v>2083.8000000000002</v>
      </c>
      <c r="LB6" s="280">
        <v>1587.8</v>
      </c>
      <c r="LC6" s="280">
        <v>1508.7</v>
      </c>
      <c r="LD6" s="280">
        <v>1908.2</v>
      </c>
      <c r="LE6" s="280">
        <v>2148.4</v>
      </c>
      <c r="LF6" s="280">
        <v>1662.2</v>
      </c>
      <c r="LG6" s="280">
        <v>1540.2</v>
      </c>
      <c r="LH6" s="280">
        <v>1986.3</v>
      </c>
      <c r="LI6" s="279" t="s">
        <v>13</v>
      </c>
      <c r="LJ6" s="280">
        <v>449</v>
      </c>
      <c r="LK6" s="280">
        <v>420.4</v>
      </c>
      <c r="LL6" s="280">
        <v>446.7</v>
      </c>
      <c r="LM6" s="280">
        <v>444.3</v>
      </c>
      <c r="LN6" s="280">
        <v>450.2</v>
      </c>
      <c r="LO6" s="280">
        <v>471.8</v>
      </c>
      <c r="LP6" s="280">
        <v>467.7</v>
      </c>
      <c r="LQ6" s="280">
        <v>475.8</v>
      </c>
      <c r="LR6" s="280">
        <v>477.6</v>
      </c>
      <c r="LS6" s="280">
        <v>500.2</v>
      </c>
      <c r="LT6" s="279" t="s">
        <v>13</v>
      </c>
      <c r="LU6" s="280">
        <v>272.89999999999998</v>
      </c>
      <c r="LV6" s="280">
        <v>277.7</v>
      </c>
      <c r="LW6" s="280">
        <v>311</v>
      </c>
      <c r="LX6" s="280">
        <v>301.60000000000002</v>
      </c>
      <c r="LY6" s="280">
        <v>279.10000000000002</v>
      </c>
      <c r="LZ6" s="280">
        <v>314.3</v>
      </c>
      <c r="MA6" s="280">
        <v>333.9</v>
      </c>
      <c r="MB6" s="280">
        <v>303.39999999999998</v>
      </c>
      <c r="MC6" s="280">
        <v>288.8</v>
      </c>
      <c r="MD6" s="280">
        <v>330.1</v>
      </c>
      <c r="ME6" s="279" t="s">
        <v>13</v>
      </c>
      <c r="MF6" s="280">
        <v>746.9</v>
      </c>
      <c r="MG6" s="280">
        <v>778.7</v>
      </c>
      <c r="MH6" s="280">
        <v>777.8</v>
      </c>
      <c r="MI6" s="280">
        <v>781.8</v>
      </c>
      <c r="MJ6" s="280">
        <v>775.9</v>
      </c>
      <c r="MK6" s="280">
        <v>826.2</v>
      </c>
      <c r="ML6" s="280">
        <v>839</v>
      </c>
      <c r="MM6" s="280">
        <v>851.2</v>
      </c>
      <c r="MN6" s="280">
        <v>780.6</v>
      </c>
      <c r="MO6" s="280">
        <v>836.1</v>
      </c>
      <c r="MP6" s="279" t="s">
        <v>13</v>
      </c>
      <c r="MQ6" s="280">
        <v>1041.0999999999999</v>
      </c>
      <c r="MR6" s="280">
        <v>1157.3</v>
      </c>
      <c r="MS6" s="280">
        <v>1255.8</v>
      </c>
      <c r="MT6" s="280">
        <v>1131.3</v>
      </c>
      <c r="MU6" s="280">
        <v>1077.9000000000001</v>
      </c>
      <c r="MV6" s="280">
        <v>1165.3</v>
      </c>
      <c r="MW6" s="280">
        <v>1259.9000000000001</v>
      </c>
      <c r="MX6" s="280">
        <v>1189.5999999999999</v>
      </c>
      <c r="MY6" s="280">
        <v>1119.5</v>
      </c>
      <c r="MZ6" s="280">
        <v>1204.5</v>
      </c>
      <c r="NA6" s="279" t="s">
        <v>13</v>
      </c>
      <c r="NB6" s="280">
        <v>1255</v>
      </c>
      <c r="NC6" s="280">
        <v>1265.4000000000001</v>
      </c>
      <c r="ND6" s="280">
        <v>1302.0999999999999</v>
      </c>
      <c r="NE6" s="280">
        <v>1267.5999999999999</v>
      </c>
      <c r="NF6" s="280">
        <v>1228.5</v>
      </c>
      <c r="NG6" s="280">
        <v>1249.7</v>
      </c>
      <c r="NH6" s="280">
        <v>1307</v>
      </c>
      <c r="NI6" s="280">
        <v>1293.2</v>
      </c>
      <c r="NJ6" s="280">
        <v>1258.9000000000001</v>
      </c>
      <c r="NK6" s="280">
        <v>1298.0999999999999</v>
      </c>
      <c r="NL6" s="279" t="s">
        <v>13</v>
      </c>
      <c r="NM6" s="280">
        <v>2310.1</v>
      </c>
      <c r="NN6" s="280">
        <v>2316.6999999999998</v>
      </c>
      <c r="NO6" s="280">
        <v>1913.2</v>
      </c>
      <c r="NP6" s="280">
        <v>2255.1999999999998</v>
      </c>
      <c r="NQ6" s="280">
        <v>2371.1</v>
      </c>
      <c r="NR6" s="280">
        <v>2344.6</v>
      </c>
      <c r="NS6" s="280">
        <v>1925.4</v>
      </c>
      <c r="NT6" s="280">
        <v>2290</v>
      </c>
      <c r="NU6" s="280">
        <v>2358.3000000000002</v>
      </c>
      <c r="NV6" s="280">
        <v>2394.5</v>
      </c>
      <c r="NW6" s="279" t="s">
        <v>13</v>
      </c>
      <c r="NX6" s="280">
        <v>2540.1999999999998</v>
      </c>
      <c r="NY6" s="280">
        <v>2624.8</v>
      </c>
      <c r="NZ6" s="280">
        <v>2815.1</v>
      </c>
      <c r="OA6" s="280">
        <v>2753.9</v>
      </c>
      <c r="OB6" s="280">
        <v>2727.1</v>
      </c>
      <c r="OC6" s="280">
        <v>2814.5</v>
      </c>
      <c r="OD6" s="280">
        <v>2874.7</v>
      </c>
      <c r="OE6" s="280">
        <v>2841.7</v>
      </c>
      <c r="OF6" s="280">
        <v>2776.2</v>
      </c>
      <c r="OG6" s="280">
        <v>2822.5</v>
      </c>
      <c r="OH6" s="296" t="s">
        <v>13</v>
      </c>
      <c r="OI6" s="297">
        <v>10.1</v>
      </c>
      <c r="OJ6" s="297">
        <v>10.4</v>
      </c>
      <c r="OK6" s="297">
        <v>10.5</v>
      </c>
      <c r="OL6" s="297">
        <v>9.9</v>
      </c>
      <c r="OM6" s="297">
        <v>9.3000000000000007</v>
      </c>
      <c r="ON6" s="297">
        <v>9.5</v>
      </c>
      <c r="OO6" s="297">
        <v>9.6</v>
      </c>
      <c r="OP6" s="297">
        <v>9.1</v>
      </c>
      <c r="OQ6" s="297">
        <v>8.6999999999999993</v>
      </c>
      <c r="OR6" s="297">
        <v>8.8000000000000007</v>
      </c>
      <c r="OS6" s="279" t="s">
        <v>13</v>
      </c>
      <c r="OT6" s="280">
        <v>0.7</v>
      </c>
      <c r="OU6" s="280">
        <v>0.3</v>
      </c>
      <c r="OV6" s="280">
        <v>0.5</v>
      </c>
      <c r="OW6" s="280">
        <v>0.5</v>
      </c>
      <c r="OX6" s="280">
        <v>0.5</v>
      </c>
      <c r="OY6" s="280">
        <v>0.3</v>
      </c>
      <c r="OZ6" s="280">
        <v>0.4</v>
      </c>
      <c r="PA6" s="280">
        <v>0.6</v>
      </c>
      <c r="PB6" s="280">
        <v>0.6</v>
      </c>
      <c r="PC6" s="280">
        <v>0.7</v>
      </c>
    </row>
    <row r="7" spans="1:419">
      <c r="A7" s="269"/>
      <c r="B7" s="285" t="s">
        <v>14</v>
      </c>
      <c r="C7" s="286">
        <v>14.7</v>
      </c>
      <c r="D7" s="286">
        <v>15.5</v>
      </c>
      <c r="E7" s="286">
        <v>16</v>
      </c>
      <c r="F7" s="286">
        <v>15.5</v>
      </c>
      <c r="G7" s="286">
        <v>14.9</v>
      </c>
      <c r="H7" s="286">
        <v>15.7</v>
      </c>
      <c r="I7" s="286">
        <v>16.100000000000001</v>
      </c>
      <c r="J7" s="286">
        <v>15.8</v>
      </c>
      <c r="K7" s="286">
        <v>15.3</v>
      </c>
      <c r="L7" s="286">
        <v>16.100000000000001</v>
      </c>
      <c r="M7" s="285" t="s">
        <v>14</v>
      </c>
      <c r="N7" s="286">
        <v>17380.7</v>
      </c>
      <c r="O7" s="286">
        <v>18538.900000000001</v>
      </c>
      <c r="P7" s="286">
        <v>19321.900000000001</v>
      </c>
      <c r="Q7" s="286">
        <v>18729.5</v>
      </c>
      <c r="R7" s="286">
        <v>18009.2</v>
      </c>
      <c r="S7" s="286">
        <v>19116.900000000001</v>
      </c>
      <c r="T7" s="286">
        <v>19746.8</v>
      </c>
      <c r="U7" s="286">
        <v>19432.3</v>
      </c>
      <c r="V7" s="286">
        <v>18714.2</v>
      </c>
      <c r="W7" s="286">
        <v>19980.400000000001</v>
      </c>
      <c r="X7" s="285" t="s">
        <v>14</v>
      </c>
      <c r="Y7" s="286">
        <v>920.6</v>
      </c>
      <c r="Z7" s="286">
        <v>999.4</v>
      </c>
      <c r="AA7" s="286">
        <v>1088.9000000000001</v>
      </c>
      <c r="AB7" s="286">
        <v>987.2</v>
      </c>
      <c r="AC7" s="286">
        <v>928</v>
      </c>
      <c r="AD7" s="286">
        <v>1041.4000000000001</v>
      </c>
      <c r="AE7" s="286">
        <v>1070.8</v>
      </c>
      <c r="AF7" s="286">
        <v>1020.4</v>
      </c>
      <c r="AG7" s="286">
        <v>1008.5</v>
      </c>
      <c r="AH7" s="286">
        <v>1073.5</v>
      </c>
      <c r="AI7" s="279" t="s">
        <v>14</v>
      </c>
      <c r="AJ7" s="280">
        <v>1598.6</v>
      </c>
      <c r="AK7" s="280">
        <v>1944.4</v>
      </c>
      <c r="AL7" s="280">
        <v>2716.5</v>
      </c>
      <c r="AM7" s="280">
        <v>2008.7</v>
      </c>
      <c r="AN7" s="280">
        <v>1738.8</v>
      </c>
      <c r="AO7" s="280">
        <v>1973.7</v>
      </c>
      <c r="AP7" s="280">
        <v>2729.8</v>
      </c>
      <c r="AQ7" s="280">
        <v>2119.3000000000002</v>
      </c>
      <c r="AR7" s="280">
        <v>1832.2</v>
      </c>
      <c r="AS7" s="280">
        <v>2122</v>
      </c>
      <c r="AT7" s="279" t="s">
        <v>14</v>
      </c>
      <c r="AU7" s="280">
        <v>2571.8000000000002</v>
      </c>
      <c r="AV7" s="280">
        <v>3034.8</v>
      </c>
      <c r="AW7" s="280">
        <v>3175.9</v>
      </c>
      <c r="AX7" s="280">
        <v>2868.2</v>
      </c>
      <c r="AY7" s="280">
        <v>2694.8</v>
      </c>
      <c r="AZ7" s="280">
        <v>3114.2</v>
      </c>
      <c r="BA7" s="280">
        <v>3242.7</v>
      </c>
      <c r="BB7" s="280">
        <v>2866.4</v>
      </c>
      <c r="BC7" s="280">
        <v>2718.1</v>
      </c>
      <c r="BD7" s="280">
        <v>3232.4</v>
      </c>
      <c r="BE7" s="279" t="s">
        <v>14</v>
      </c>
      <c r="BF7" s="280">
        <v>4494.7</v>
      </c>
      <c r="BG7" s="280">
        <v>4660.6000000000004</v>
      </c>
      <c r="BH7" s="280">
        <v>4435.3999999999996</v>
      </c>
      <c r="BI7" s="280">
        <v>4684.2</v>
      </c>
      <c r="BJ7" s="280">
        <v>4680.3999999999996</v>
      </c>
      <c r="BK7" s="280">
        <v>4759.8999999999996</v>
      </c>
      <c r="BL7" s="280">
        <v>4500.5</v>
      </c>
      <c r="BM7" s="280">
        <v>4780.7</v>
      </c>
      <c r="BN7" s="280">
        <v>4777.8</v>
      </c>
      <c r="BO7" s="280">
        <v>5062.7</v>
      </c>
      <c r="BP7" s="282" t="s">
        <v>14</v>
      </c>
      <c r="BQ7" s="283">
        <v>1583.9</v>
      </c>
      <c r="BR7" s="283">
        <v>1628.5</v>
      </c>
      <c r="BS7" s="283">
        <v>1700.3000000000002</v>
      </c>
      <c r="BT7" s="283">
        <v>1633.2</v>
      </c>
      <c r="BU7" s="283">
        <v>1688.8000000000002</v>
      </c>
      <c r="BV7" s="283">
        <v>1724.5</v>
      </c>
      <c r="BW7" s="283">
        <v>1701.5</v>
      </c>
      <c r="BX7" s="283">
        <v>1793.1000000000001</v>
      </c>
      <c r="BY7" s="283">
        <v>1710.5</v>
      </c>
      <c r="BZ7" s="283">
        <v>1742.6999999999998</v>
      </c>
      <c r="CA7" s="282" t="s">
        <v>14</v>
      </c>
      <c r="CB7" s="283">
        <v>3041.4</v>
      </c>
      <c r="CC7" s="283">
        <v>2887</v>
      </c>
      <c r="CD7" s="283">
        <v>2933.6000000000004</v>
      </c>
      <c r="CE7" s="283">
        <v>3124.5</v>
      </c>
      <c r="CF7" s="283">
        <v>2919.7</v>
      </c>
      <c r="CG7" s="283">
        <v>2870.8</v>
      </c>
      <c r="CH7" s="283">
        <v>2917.8</v>
      </c>
      <c r="CI7" s="283">
        <v>3135</v>
      </c>
      <c r="CJ7" s="283">
        <v>2973.1</v>
      </c>
      <c r="CK7" s="283">
        <v>2944.3</v>
      </c>
      <c r="CL7" s="285" t="s">
        <v>14</v>
      </c>
      <c r="CM7" s="286">
        <v>5273.4</v>
      </c>
      <c r="CN7" s="286">
        <v>5622.6</v>
      </c>
      <c r="CO7" s="286">
        <v>5945.9</v>
      </c>
      <c r="CP7" s="286">
        <v>5771.2</v>
      </c>
      <c r="CQ7" s="286">
        <v>5391.8</v>
      </c>
      <c r="CR7" s="286">
        <v>5774.6</v>
      </c>
      <c r="CS7" s="286">
        <v>5989.6</v>
      </c>
      <c r="CT7" s="286">
        <v>5915.6</v>
      </c>
      <c r="CU7" s="286">
        <v>5564.2</v>
      </c>
      <c r="CV7" s="286">
        <v>6040.3</v>
      </c>
      <c r="CW7" s="285" t="s">
        <v>14</v>
      </c>
      <c r="CX7" s="286">
        <v>7184</v>
      </c>
      <c r="CY7" s="286">
        <v>7737.7</v>
      </c>
      <c r="CZ7" s="286">
        <v>8205</v>
      </c>
      <c r="DA7" s="286">
        <v>7707.8</v>
      </c>
      <c r="DB7" s="286">
        <v>7425.3</v>
      </c>
      <c r="DC7" s="286">
        <v>7991.1</v>
      </c>
      <c r="DD7" s="286">
        <v>8334.5</v>
      </c>
      <c r="DE7" s="286">
        <v>8038.4</v>
      </c>
      <c r="DF7" s="286">
        <v>7744.8</v>
      </c>
      <c r="DG7" s="286">
        <v>8301.6</v>
      </c>
      <c r="DH7" s="285" t="s">
        <v>14</v>
      </c>
      <c r="DI7" s="286">
        <v>4873.5</v>
      </c>
      <c r="DJ7" s="286">
        <v>5139.5</v>
      </c>
      <c r="DK7" s="286">
        <v>5129.6000000000004</v>
      </c>
      <c r="DL7" s="286">
        <v>5217</v>
      </c>
      <c r="DM7" s="286">
        <v>5144.5</v>
      </c>
      <c r="DN7" s="286">
        <v>5301.1</v>
      </c>
      <c r="DO7" s="286">
        <v>5370.5</v>
      </c>
      <c r="DP7" s="286">
        <v>5428.3</v>
      </c>
      <c r="DQ7" s="286">
        <v>5346.5</v>
      </c>
      <c r="DR7" s="286">
        <v>5585.2</v>
      </c>
      <c r="DS7" s="285" t="s">
        <v>14</v>
      </c>
      <c r="DT7" s="286">
        <v>49.8</v>
      </c>
      <c r="DU7" s="286">
        <v>39</v>
      </c>
      <c r="DV7" s="286">
        <v>41.5</v>
      </c>
      <c r="DW7" s="286">
        <v>33.5</v>
      </c>
      <c r="DX7" s="286">
        <v>47.6</v>
      </c>
      <c r="DY7" s="286">
        <v>50.1</v>
      </c>
      <c r="DZ7" s="286">
        <v>52.2</v>
      </c>
      <c r="EA7" s="286">
        <v>50</v>
      </c>
      <c r="EB7" s="286">
        <v>58.7</v>
      </c>
      <c r="EC7" s="286">
        <v>53.3</v>
      </c>
      <c r="ED7" s="279" t="s">
        <v>14</v>
      </c>
      <c r="EE7" s="280">
        <v>189.6</v>
      </c>
      <c r="EF7" s="280">
        <v>197.3</v>
      </c>
      <c r="EG7" s="280">
        <v>193.3</v>
      </c>
      <c r="EH7" s="280">
        <v>203.7</v>
      </c>
      <c r="EI7" s="280">
        <v>199.8</v>
      </c>
      <c r="EJ7" s="280">
        <v>211.1</v>
      </c>
      <c r="EK7" s="280">
        <v>216.9</v>
      </c>
      <c r="EL7" s="280">
        <v>213.7</v>
      </c>
      <c r="EM7" s="280">
        <v>195.3</v>
      </c>
      <c r="EN7" s="280">
        <v>195</v>
      </c>
      <c r="EO7" s="279" t="s">
        <v>14</v>
      </c>
      <c r="EP7" s="280">
        <v>2807.5</v>
      </c>
      <c r="EQ7" s="280">
        <v>2819.4</v>
      </c>
      <c r="ER7" s="280">
        <v>2619.9</v>
      </c>
      <c r="ES7" s="280">
        <v>2854.5</v>
      </c>
      <c r="ET7" s="280">
        <v>2890.1</v>
      </c>
      <c r="EU7" s="280">
        <v>2929.8</v>
      </c>
      <c r="EV7" s="280">
        <v>2754.8</v>
      </c>
      <c r="EW7" s="280">
        <v>3019.7</v>
      </c>
      <c r="EX7" s="280">
        <v>3001</v>
      </c>
      <c r="EY7" s="280">
        <v>3099.6</v>
      </c>
      <c r="EZ7" s="279" t="s">
        <v>14</v>
      </c>
      <c r="FA7" s="280">
        <v>2550.6</v>
      </c>
      <c r="FB7" s="280">
        <v>2597.1999999999998</v>
      </c>
      <c r="FC7" s="280">
        <v>2664</v>
      </c>
      <c r="FD7" s="280">
        <v>2653.3</v>
      </c>
      <c r="FE7" s="280">
        <v>2641.3</v>
      </c>
      <c r="FF7" s="280">
        <v>2707.1</v>
      </c>
      <c r="FG7" s="280">
        <v>2657</v>
      </c>
      <c r="FH7" s="280">
        <v>2700.4</v>
      </c>
      <c r="FI7" s="280">
        <v>2734.6</v>
      </c>
      <c r="FJ7" s="280">
        <v>2749.8</v>
      </c>
      <c r="FK7" s="279" t="s">
        <v>14</v>
      </c>
      <c r="FL7" s="280">
        <v>1767.9</v>
      </c>
      <c r="FM7" s="280">
        <v>1868.1</v>
      </c>
      <c r="FN7" s="280">
        <v>1902</v>
      </c>
      <c r="FO7" s="280">
        <v>1870.9</v>
      </c>
      <c r="FP7" s="280">
        <v>1793.4</v>
      </c>
      <c r="FQ7" s="280">
        <v>1857.6</v>
      </c>
      <c r="FR7" s="280">
        <v>1984.4</v>
      </c>
      <c r="FS7" s="280">
        <v>1938.4</v>
      </c>
      <c r="FT7" s="280">
        <v>1865.1</v>
      </c>
      <c r="FU7" s="280">
        <v>2026.3</v>
      </c>
      <c r="FV7" s="279" t="s">
        <v>14</v>
      </c>
      <c r="FW7" s="280">
        <v>3439.5</v>
      </c>
      <c r="FX7" s="280">
        <v>3851.5</v>
      </c>
      <c r="FY7" s="280">
        <v>4258</v>
      </c>
      <c r="FZ7" s="280">
        <v>3831.9</v>
      </c>
      <c r="GA7" s="280">
        <v>3587.6</v>
      </c>
      <c r="GB7" s="280">
        <v>4053.2</v>
      </c>
      <c r="GC7" s="280">
        <v>4353.6000000000004</v>
      </c>
      <c r="GD7" s="280">
        <v>3928.9</v>
      </c>
      <c r="GE7" s="280">
        <v>3758.5</v>
      </c>
      <c r="GF7" s="280">
        <v>4185.3</v>
      </c>
      <c r="GG7" s="279" t="s">
        <v>14</v>
      </c>
      <c r="GH7" s="280">
        <v>309</v>
      </c>
      <c r="GI7" s="280">
        <v>372.7</v>
      </c>
      <c r="GJ7" s="280">
        <v>397.9</v>
      </c>
      <c r="GK7" s="280">
        <v>338.4</v>
      </c>
      <c r="GL7" s="280">
        <v>326.39999999999998</v>
      </c>
      <c r="GM7" s="280">
        <v>372</v>
      </c>
      <c r="GN7" s="280">
        <v>370</v>
      </c>
      <c r="GO7" s="280">
        <v>320.60000000000002</v>
      </c>
      <c r="GP7" s="280">
        <v>326.10000000000002</v>
      </c>
      <c r="GQ7" s="280">
        <v>369.2</v>
      </c>
      <c r="GR7" s="279" t="s">
        <v>14</v>
      </c>
      <c r="GS7" s="280">
        <v>2037.5</v>
      </c>
      <c r="GT7" s="280">
        <v>2162.6999999999998</v>
      </c>
      <c r="GU7" s="280">
        <v>2250.4</v>
      </c>
      <c r="GV7" s="280">
        <v>2296.4</v>
      </c>
      <c r="GW7" s="280">
        <v>2159.8000000000002</v>
      </c>
      <c r="GX7" s="280">
        <v>2219.9</v>
      </c>
      <c r="GY7" s="280">
        <v>2310.9</v>
      </c>
      <c r="GZ7" s="280">
        <v>2372.6</v>
      </c>
      <c r="HA7" s="280">
        <v>2176.1999999999998</v>
      </c>
      <c r="HB7" s="280">
        <v>2304.9</v>
      </c>
      <c r="HC7" s="279" t="s">
        <v>14</v>
      </c>
      <c r="HD7" s="280">
        <v>1230.2</v>
      </c>
      <c r="HE7" s="280">
        <v>1330.7</v>
      </c>
      <c r="HF7" s="280">
        <v>1377.8</v>
      </c>
      <c r="HG7" s="280">
        <v>1302.9000000000001</v>
      </c>
      <c r="HH7" s="280">
        <v>1253.5999999999999</v>
      </c>
      <c r="HI7" s="280">
        <v>1340.4</v>
      </c>
      <c r="HJ7" s="280">
        <v>1449.6</v>
      </c>
      <c r="HK7" s="280">
        <v>1409.9</v>
      </c>
      <c r="HL7" s="280">
        <v>1303.8</v>
      </c>
      <c r="HM7" s="280">
        <v>1461.6</v>
      </c>
      <c r="HN7" s="279" t="s">
        <v>14</v>
      </c>
      <c r="HO7" s="280">
        <v>2835.8</v>
      </c>
      <c r="HP7" s="280">
        <v>3137.3</v>
      </c>
      <c r="HQ7" s="280">
        <v>3448.6</v>
      </c>
      <c r="HR7" s="280">
        <v>3175.1</v>
      </c>
      <c r="HS7" s="280">
        <v>2956.1</v>
      </c>
      <c r="HT7" s="280">
        <v>3237.5</v>
      </c>
      <c r="HU7" s="280">
        <v>3459.7</v>
      </c>
      <c r="HV7" s="280">
        <v>3303.7</v>
      </c>
      <c r="HW7" s="280">
        <v>3142.4</v>
      </c>
      <c r="HX7" s="280">
        <v>3368.6</v>
      </c>
      <c r="HY7" s="279" t="s">
        <v>14</v>
      </c>
      <c r="HZ7" s="280">
        <v>173.8</v>
      </c>
      <c r="IA7" s="280">
        <v>161.9</v>
      </c>
      <c r="IB7" s="280">
        <v>168.7</v>
      </c>
      <c r="IC7" s="280">
        <v>168</v>
      </c>
      <c r="ID7" s="280">
        <v>153.30000000000001</v>
      </c>
      <c r="IE7" s="280">
        <v>144.4</v>
      </c>
      <c r="IF7" s="280">
        <v>138.4</v>
      </c>
      <c r="IG7" s="280">
        <v>171.3</v>
      </c>
      <c r="IH7" s="280">
        <v>164.5</v>
      </c>
      <c r="II7" s="280">
        <v>165.3</v>
      </c>
      <c r="IJ7" s="279" t="s">
        <v>14</v>
      </c>
      <c r="IK7" s="280">
        <v>39.5</v>
      </c>
      <c r="IL7" s="280">
        <v>40.1</v>
      </c>
      <c r="IM7" s="280">
        <v>41.3</v>
      </c>
      <c r="IN7" s="280">
        <v>34.200000000000003</v>
      </c>
      <c r="IO7" s="280">
        <v>48</v>
      </c>
      <c r="IP7" s="280">
        <v>43.9</v>
      </c>
      <c r="IQ7" s="280">
        <v>51.3</v>
      </c>
      <c r="IR7" s="280">
        <v>53.1</v>
      </c>
      <c r="IS7" s="280">
        <v>46.8</v>
      </c>
      <c r="IT7" s="280">
        <v>54.9</v>
      </c>
      <c r="IU7" s="279" t="s">
        <v>14</v>
      </c>
      <c r="IV7" s="280">
        <v>612.79999999999995</v>
      </c>
      <c r="IW7" s="280">
        <v>739.6</v>
      </c>
      <c r="IX7" s="280">
        <v>792.3</v>
      </c>
      <c r="IY7" s="280">
        <v>814.1</v>
      </c>
      <c r="IZ7" s="280">
        <v>727.5</v>
      </c>
      <c r="JA7" s="280">
        <v>780.1</v>
      </c>
      <c r="JB7" s="280">
        <v>806.8</v>
      </c>
      <c r="JC7" s="280">
        <v>795.1</v>
      </c>
      <c r="JD7" s="280">
        <v>733.6</v>
      </c>
      <c r="JE7" s="280">
        <v>790</v>
      </c>
      <c r="JF7" s="279" t="s">
        <v>14</v>
      </c>
      <c r="JG7" s="280">
        <v>2368.9</v>
      </c>
      <c r="JH7" s="280">
        <v>2450.3000000000002</v>
      </c>
      <c r="JI7" s="280">
        <v>2604.6</v>
      </c>
      <c r="JJ7" s="280">
        <v>2517.1999999999998</v>
      </c>
      <c r="JK7" s="280">
        <v>2347.9</v>
      </c>
      <c r="JL7" s="280">
        <v>2463.6999999999998</v>
      </c>
      <c r="JM7" s="280">
        <v>2630.5</v>
      </c>
      <c r="JN7" s="280">
        <v>2657.5</v>
      </c>
      <c r="JO7" s="280">
        <v>2536.3000000000002</v>
      </c>
      <c r="JP7" s="280">
        <v>2613.6999999999998</v>
      </c>
      <c r="JQ7" s="279" t="s">
        <v>14</v>
      </c>
      <c r="JR7" s="280">
        <v>1023.8</v>
      </c>
      <c r="JS7" s="280">
        <v>1140.7</v>
      </c>
      <c r="JT7" s="280">
        <v>1171.8</v>
      </c>
      <c r="JU7" s="280">
        <v>1145.3</v>
      </c>
      <c r="JV7" s="280">
        <v>1059.4000000000001</v>
      </c>
      <c r="JW7" s="280">
        <v>1179.0999999999999</v>
      </c>
      <c r="JX7" s="280">
        <v>1184.4000000000001</v>
      </c>
      <c r="JY7" s="280">
        <v>1189.7</v>
      </c>
      <c r="JZ7" s="280">
        <v>1120.7</v>
      </c>
      <c r="KA7" s="280">
        <v>1246.4000000000001</v>
      </c>
      <c r="KB7" s="279" t="s">
        <v>14</v>
      </c>
      <c r="KC7" s="280">
        <v>2140.1999999999998</v>
      </c>
      <c r="KD7" s="280">
        <v>2262.5</v>
      </c>
      <c r="KE7" s="280">
        <v>2470.1</v>
      </c>
      <c r="KF7" s="280">
        <v>2389.5</v>
      </c>
      <c r="KG7" s="280">
        <v>2264.8000000000002</v>
      </c>
      <c r="KH7" s="280">
        <v>2344.6999999999998</v>
      </c>
      <c r="KI7" s="280">
        <v>2512.1999999999998</v>
      </c>
      <c r="KJ7" s="280">
        <v>2519.6999999999998</v>
      </c>
      <c r="KK7" s="280">
        <v>2387.9</v>
      </c>
      <c r="KL7" s="280">
        <v>2468.3000000000002</v>
      </c>
      <c r="KM7" s="279" t="s">
        <v>14</v>
      </c>
      <c r="KN7" s="280">
        <v>696</v>
      </c>
      <c r="KO7" s="280">
        <v>729.1</v>
      </c>
      <c r="KP7" s="280">
        <v>753.5</v>
      </c>
      <c r="KQ7" s="280">
        <v>741</v>
      </c>
      <c r="KR7" s="280">
        <v>775.2</v>
      </c>
      <c r="KS7" s="280">
        <v>792.4</v>
      </c>
      <c r="KT7" s="280">
        <v>843.2</v>
      </c>
      <c r="KU7" s="280">
        <v>826.5</v>
      </c>
      <c r="KV7" s="280">
        <v>776.5</v>
      </c>
      <c r="KW7" s="280">
        <v>839.8</v>
      </c>
      <c r="KX7" s="279" t="s">
        <v>14</v>
      </c>
      <c r="KY7" s="280">
        <v>1238</v>
      </c>
      <c r="KZ7" s="280">
        <v>1590.5</v>
      </c>
      <c r="LA7" s="280">
        <v>1885.9</v>
      </c>
      <c r="LB7" s="280">
        <v>1434.9</v>
      </c>
      <c r="LC7" s="280">
        <v>1333</v>
      </c>
      <c r="LD7" s="280">
        <v>1710.7</v>
      </c>
      <c r="LE7" s="280">
        <v>1945.3</v>
      </c>
      <c r="LF7" s="280">
        <v>1475.8</v>
      </c>
      <c r="LG7" s="280">
        <v>1365.5</v>
      </c>
      <c r="LH7" s="280">
        <v>1790.1</v>
      </c>
      <c r="LI7" s="279" t="s">
        <v>14</v>
      </c>
      <c r="LJ7" s="280">
        <v>393.2</v>
      </c>
      <c r="LK7" s="280">
        <v>375.3</v>
      </c>
      <c r="LL7" s="280">
        <v>387.1</v>
      </c>
      <c r="LM7" s="280">
        <v>395.5</v>
      </c>
      <c r="LN7" s="280">
        <v>399.5</v>
      </c>
      <c r="LO7" s="280">
        <v>411</v>
      </c>
      <c r="LP7" s="280">
        <v>412.5</v>
      </c>
      <c r="LQ7" s="280">
        <v>424.9</v>
      </c>
      <c r="LR7" s="280">
        <v>419</v>
      </c>
      <c r="LS7" s="280">
        <v>437.2</v>
      </c>
      <c r="LT7" s="279" t="s">
        <v>14</v>
      </c>
      <c r="LU7" s="280">
        <v>240.8</v>
      </c>
      <c r="LV7" s="280">
        <v>247.4</v>
      </c>
      <c r="LW7" s="280">
        <v>264.5</v>
      </c>
      <c r="LX7" s="280">
        <v>262.2</v>
      </c>
      <c r="LY7" s="280">
        <v>243.9</v>
      </c>
      <c r="LZ7" s="280">
        <v>276</v>
      </c>
      <c r="MA7" s="280">
        <v>295.60000000000002</v>
      </c>
      <c r="MB7" s="280">
        <v>274.10000000000002</v>
      </c>
      <c r="MC7" s="280">
        <v>251.6</v>
      </c>
      <c r="MD7" s="280">
        <v>293.8</v>
      </c>
      <c r="ME7" s="279" t="s">
        <v>14</v>
      </c>
      <c r="MF7" s="280">
        <v>659.5</v>
      </c>
      <c r="MG7" s="280">
        <v>691.7</v>
      </c>
      <c r="MH7" s="280">
        <v>691.2</v>
      </c>
      <c r="MI7" s="280">
        <v>703.3</v>
      </c>
      <c r="MJ7" s="280">
        <v>688</v>
      </c>
      <c r="MK7" s="280">
        <v>726.6</v>
      </c>
      <c r="ML7" s="280">
        <v>734.9</v>
      </c>
      <c r="MM7" s="280">
        <v>751.2</v>
      </c>
      <c r="MN7" s="280">
        <v>690.2</v>
      </c>
      <c r="MO7" s="280">
        <v>753.4</v>
      </c>
      <c r="MP7" s="279" t="s">
        <v>14</v>
      </c>
      <c r="MQ7" s="280">
        <v>920</v>
      </c>
      <c r="MR7" s="280">
        <v>1020.3</v>
      </c>
      <c r="MS7" s="280">
        <v>1101.5</v>
      </c>
      <c r="MT7" s="280">
        <v>996.1</v>
      </c>
      <c r="MU7" s="280">
        <v>951</v>
      </c>
      <c r="MV7" s="280">
        <v>1038.5</v>
      </c>
      <c r="MW7" s="280">
        <v>1137.5</v>
      </c>
      <c r="MX7" s="280">
        <v>1054</v>
      </c>
      <c r="MY7" s="280">
        <v>990.8</v>
      </c>
      <c r="MZ7" s="280">
        <v>1065.5</v>
      </c>
      <c r="NA7" s="279" t="s">
        <v>14</v>
      </c>
      <c r="NB7" s="280">
        <v>1204.4000000000001</v>
      </c>
      <c r="NC7" s="280">
        <v>1227.7</v>
      </c>
      <c r="ND7" s="280">
        <v>1243</v>
      </c>
      <c r="NE7" s="280">
        <v>1228.7</v>
      </c>
      <c r="NF7" s="280">
        <v>1197.0999999999999</v>
      </c>
      <c r="NG7" s="280">
        <v>1213.0999999999999</v>
      </c>
      <c r="NH7" s="280">
        <v>1251.7</v>
      </c>
      <c r="NI7" s="280">
        <v>1241.3</v>
      </c>
      <c r="NJ7" s="280">
        <v>1214.4000000000001</v>
      </c>
      <c r="NK7" s="280">
        <v>1239.2</v>
      </c>
      <c r="NL7" s="279" t="s">
        <v>14</v>
      </c>
      <c r="NM7" s="280">
        <v>1907.7</v>
      </c>
      <c r="NN7" s="280">
        <v>1909.2</v>
      </c>
      <c r="NO7" s="280">
        <v>1558.3</v>
      </c>
      <c r="NP7" s="280">
        <v>1850.9</v>
      </c>
      <c r="NQ7" s="280">
        <v>1936.6</v>
      </c>
      <c r="NR7" s="280">
        <v>1908.9</v>
      </c>
      <c r="NS7" s="280">
        <v>1530.9</v>
      </c>
      <c r="NT7" s="280">
        <v>1877.1</v>
      </c>
      <c r="NU7" s="280">
        <v>1908.5</v>
      </c>
      <c r="NV7" s="280">
        <v>1953</v>
      </c>
      <c r="NW7" s="279" t="s">
        <v>14</v>
      </c>
      <c r="NX7" s="280">
        <v>2174</v>
      </c>
      <c r="NY7" s="280">
        <v>2238.1999999999998</v>
      </c>
      <c r="NZ7" s="280">
        <v>2395.6999999999998</v>
      </c>
      <c r="OA7" s="280">
        <v>2361.8000000000002</v>
      </c>
      <c r="OB7" s="280">
        <v>2312.6999999999998</v>
      </c>
      <c r="OC7" s="280">
        <v>2386.1</v>
      </c>
      <c r="OD7" s="280">
        <v>2447.3000000000002</v>
      </c>
      <c r="OE7" s="280">
        <v>2433.3000000000002</v>
      </c>
      <c r="OF7" s="280">
        <v>2386.6999999999998</v>
      </c>
      <c r="OG7" s="280">
        <v>2418.3000000000002</v>
      </c>
      <c r="OH7" s="296" t="s">
        <v>14</v>
      </c>
      <c r="OI7" s="297">
        <v>11.1</v>
      </c>
      <c r="OJ7" s="297">
        <v>11.6</v>
      </c>
      <c r="OK7" s="297">
        <v>11.7</v>
      </c>
      <c r="OL7" s="297">
        <v>10.9</v>
      </c>
      <c r="OM7" s="297">
        <v>10.3</v>
      </c>
      <c r="ON7" s="297">
        <v>10.6</v>
      </c>
      <c r="OO7" s="297">
        <v>10.7</v>
      </c>
      <c r="OP7" s="297">
        <v>10</v>
      </c>
      <c r="OQ7" s="297">
        <v>9.6</v>
      </c>
      <c r="OR7" s="297">
        <v>9.8000000000000007</v>
      </c>
      <c r="OS7" s="279" t="s">
        <v>14</v>
      </c>
      <c r="OT7" s="280">
        <v>0.7</v>
      </c>
      <c r="OU7" s="280">
        <v>0.3</v>
      </c>
      <c r="OV7" s="280">
        <v>0.5</v>
      </c>
      <c r="OW7" s="280">
        <v>0.5</v>
      </c>
      <c r="OX7" s="280">
        <v>0.5</v>
      </c>
      <c r="OY7" s="280">
        <v>0.3</v>
      </c>
      <c r="OZ7" s="280">
        <v>0.4</v>
      </c>
      <c r="PA7" s="280">
        <v>0.6</v>
      </c>
      <c r="PB7" s="280">
        <v>0.6</v>
      </c>
      <c r="PC7" s="280">
        <v>0.7</v>
      </c>
    </row>
    <row r="8" spans="1:419">
      <c r="A8" s="269"/>
      <c r="B8" s="285" t="s">
        <v>15</v>
      </c>
      <c r="C8" s="286">
        <v>14.8</v>
      </c>
      <c r="D8" s="286">
        <v>15.6</v>
      </c>
      <c r="E8" s="286">
        <v>16.100000000000001</v>
      </c>
      <c r="F8" s="286">
        <v>15.6</v>
      </c>
      <c r="G8" s="286">
        <v>15.1</v>
      </c>
      <c r="H8" s="286">
        <v>15.8</v>
      </c>
      <c r="I8" s="286">
        <v>16.2</v>
      </c>
      <c r="J8" s="286">
        <v>15.9</v>
      </c>
      <c r="K8" s="286">
        <v>15.4</v>
      </c>
      <c r="L8" s="286">
        <v>16.3</v>
      </c>
      <c r="M8" s="285" t="s">
        <v>15</v>
      </c>
      <c r="N8" s="286">
        <v>17363.7</v>
      </c>
      <c r="O8" s="286">
        <v>18515</v>
      </c>
      <c r="P8" s="286">
        <v>19292</v>
      </c>
      <c r="Q8" s="286">
        <v>18705</v>
      </c>
      <c r="R8" s="286">
        <v>17991.900000000001</v>
      </c>
      <c r="S8" s="286">
        <v>19088.3</v>
      </c>
      <c r="T8" s="286">
        <v>19718</v>
      </c>
      <c r="U8" s="286">
        <v>19416.400000000001</v>
      </c>
      <c r="V8" s="286">
        <v>18698.400000000001</v>
      </c>
      <c r="W8" s="286">
        <v>19958.400000000001</v>
      </c>
      <c r="X8" s="285" t="s">
        <v>15</v>
      </c>
      <c r="Y8" s="286">
        <v>919.6</v>
      </c>
      <c r="Z8" s="286">
        <v>998.6</v>
      </c>
      <c r="AA8" s="286">
        <v>1086.9000000000001</v>
      </c>
      <c r="AB8" s="286">
        <v>986.7</v>
      </c>
      <c r="AC8" s="286">
        <v>927.5</v>
      </c>
      <c r="AD8" s="286">
        <v>1039.7</v>
      </c>
      <c r="AE8" s="286">
        <v>1070.0999999999999</v>
      </c>
      <c r="AF8" s="286">
        <v>1019.2</v>
      </c>
      <c r="AG8" s="286">
        <v>1007.8</v>
      </c>
      <c r="AH8" s="286">
        <v>1072.5999999999999</v>
      </c>
      <c r="AI8" s="279" t="s">
        <v>15</v>
      </c>
      <c r="AJ8" s="280">
        <v>1593.6</v>
      </c>
      <c r="AK8" s="280">
        <v>1935.3</v>
      </c>
      <c r="AL8" s="280">
        <v>2701.2</v>
      </c>
      <c r="AM8" s="280">
        <v>1998.8</v>
      </c>
      <c r="AN8" s="280">
        <v>1734.5</v>
      </c>
      <c r="AO8" s="280">
        <v>1961.1</v>
      </c>
      <c r="AP8" s="280">
        <v>2714.4</v>
      </c>
      <c r="AQ8" s="280">
        <v>2113.6999999999998</v>
      </c>
      <c r="AR8" s="280">
        <v>1826.8</v>
      </c>
      <c r="AS8" s="280">
        <v>2113.4</v>
      </c>
      <c r="AT8" s="279" t="s">
        <v>15</v>
      </c>
      <c r="AU8" s="280">
        <v>2567.4</v>
      </c>
      <c r="AV8" s="280">
        <v>3028.1</v>
      </c>
      <c r="AW8" s="280">
        <v>3168.6</v>
      </c>
      <c r="AX8" s="280">
        <v>2860.7</v>
      </c>
      <c r="AY8" s="280">
        <v>2688.7</v>
      </c>
      <c r="AZ8" s="280">
        <v>3107.8</v>
      </c>
      <c r="BA8" s="280">
        <v>3233.7</v>
      </c>
      <c r="BB8" s="280">
        <v>2861</v>
      </c>
      <c r="BC8" s="280">
        <v>2714.6</v>
      </c>
      <c r="BD8" s="280">
        <v>3226.3</v>
      </c>
      <c r="BE8" s="279" t="s">
        <v>15</v>
      </c>
      <c r="BF8" s="280">
        <v>4491.8</v>
      </c>
      <c r="BG8" s="280">
        <v>4656.7</v>
      </c>
      <c r="BH8" s="280">
        <v>4431.8999999999996</v>
      </c>
      <c r="BI8" s="280">
        <v>4680.5</v>
      </c>
      <c r="BJ8" s="280">
        <v>4677.3</v>
      </c>
      <c r="BK8" s="280">
        <v>4755</v>
      </c>
      <c r="BL8" s="280">
        <v>4498.3</v>
      </c>
      <c r="BM8" s="280">
        <v>4777.7</v>
      </c>
      <c r="BN8" s="280">
        <v>4773.5</v>
      </c>
      <c r="BO8" s="280">
        <v>5058.7</v>
      </c>
      <c r="BP8" s="282" t="s">
        <v>15</v>
      </c>
      <c r="BQ8" s="283">
        <v>1581.3</v>
      </c>
      <c r="BR8" s="283">
        <v>1627.6</v>
      </c>
      <c r="BS8" s="283">
        <v>1699.9</v>
      </c>
      <c r="BT8" s="283">
        <v>1632</v>
      </c>
      <c r="BU8" s="283">
        <v>1687.3999999999999</v>
      </c>
      <c r="BV8" s="283">
        <v>1723.1</v>
      </c>
      <c r="BW8" s="283">
        <v>1701.1</v>
      </c>
      <c r="BX8" s="283">
        <v>1793</v>
      </c>
      <c r="BY8" s="283">
        <v>1710.2</v>
      </c>
      <c r="BZ8" s="283">
        <v>1741.1</v>
      </c>
      <c r="CA8" s="282" t="s">
        <v>15</v>
      </c>
      <c r="CB8" s="283">
        <v>3040.4</v>
      </c>
      <c r="CC8" s="283">
        <v>2884.6000000000004</v>
      </c>
      <c r="CD8" s="283">
        <v>2932.2</v>
      </c>
      <c r="CE8" s="283">
        <v>3122.6000000000004</v>
      </c>
      <c r="CF8" s="283">
        <v>2917.8</v>
      </c>
      <c r="CG8" s="283">
        <v>2869.1000000000004</v>
      </c>
      <c r="CH8" s="283">
        <v>2916.6000000000004</v>
      </c>
      <c r="CI8" s="283">
        <v>3134.3999999999996</v>
      </c>
      <c r="CJ8" s="283">
        <v>2971.6</v>
      </c>
      <c r="CK8" s="283">
        <v>2943.7</v>
      </c>
      <c r="CL8" s="285" t="s">
        <v>15</v>
      </c>
      <c r="CM8" s="286">
        <v>5270.6</v>
      </c>
      <c r="CN8" s="286">
        <v>5617.9</v>
      </c>
      <c r="CO8" s="286">
        <v>5939.1</v>
      </c>
      <c r="CP8" s="286">
        <v>5768.5</v>
      </c>
      <c r="CQ8" s="286">
        <v>5389</v>
      </c>
      <c r="CR8" s="286">
        <v>5769</v>
      </c>
      <c r="CS8" s="286">
        <v>5985.3</v>
      </c>
      <c r="CT8" s="286">
        <v>5913.9</v>
      </c>
      <c r="CU8" s="286">
        <v>5562.3</v>
      </c>
      <c r="CV8" s="286">
        <v>6037.6</v>
      </c>
      <c r="CW8" s="285" t="s">
        <v>15</v>
      </c>
      <c r="CX8" s="286">
        <v>7173.2</v>
      </c>
      <c r="CY8" s="286">
        <v>7723.9</v>
      </c>
      <c r="CZ8" s="286">
        <v>8186</v>
      </c>
      <c r="DA8" s="286">
        <v>7692.4</v>
      </c>
      <c r="DB8" s="286">
        <v>7414.5</v>
      </c>
      <c r="DC8" s="286">
        <v>7973.8</v>
      </c>
      <c r="DD8" s="286">
        <v>8315.1</v>
      </c>
      <c r="DE8" s="286">
        <v>8027.5</v>
      </c>
      <c r="DF8" s="286">
        <v>7734.3</v>
      </c>
      <c r="DG8" s="286">
        <v>8286.2999999999993</v>
      </c>
      <c r="DH8" s="285" t="s">
        <v>15</v>
      </c>
      <c r="DI8" s="286">
        <v>4870.1000000000004</v>
      </c>
      <c r="DJ8" s="286">
        <v>5134.2</v>
      </c>
      <c r="DK8" s="286">
        <v>5125.3999999999996</v>
      </c>
      <c r="DL8" s="286">
        <v>5210.6000000000004</v>
      </c>
      <c r="DM8" s="286">
        <v>5140.8</v>
      </c>
      <c r="DN8" s="286">
        <v>5295.4</v>
      </c>
      <c r="DO8" s="286">
        <v>5365.4</v>
      </c>
      <c r="DP8" s="286">
        <v>5425.1</v>
      </c>
      <c r="DQ8" s="286">
        <v>5343.2</v>
      </c>
      <c r="DR8" s="286">
        <v>5581.2</v>
      </c>
      <c r="DS8" s="285" t="s">
        <v>15</v>
      </c>
      <c r="DT8" s="286">
        <v>49.8</v>
      </c>
      <c r="DU8" s="286">
        <v>39</v>
      </c>
      <c r="DV8" s="286">
        <v>41.5</v>
      </c>
      <c r="DW8" s="286">
        <v>33.5</v>
      </c>
      <c r="DX8" s="286">
        <v>47.6</v>
      </c>
      <c r="DY8" s="286">
        <v>50.1</v>
      </c>
      <c r="DZ8" s="286">
        <v>52.2</v>
      </c>
      <c r="EA8" s="286">
        <v>50</v>
      </c>
      <c r="EB8" s="286">
        <v>58.7</v>
      </c>
      <c r="EC8" s="286">
        <v>53.3</v>
      </c>
      <c r="ED8" s="279" t="s">
        <v>15</v>
      </c>
      <c r="EE8" s="280">
        <v>189.3</v>
      </c>
      <c r="EF8" s="280">
        <v>197</v>
      </c>
      <c r="EG8" s="280">
        <v>192.4</v>
      </c>
      <c r="EH8" s="280">
        <v>203.4</v>
      </c>
      <c r="EI8" s="280">
        <v>199.5</v>
      </c>
      <c r="EJ8" s="280">
        <v>211</v>
      </c>
      <c r="EK8" s="280">
        <v>216.7</v>
      </c>
      <c r="EL8" s="280">
        <v>213.7</v>
      </c>
      <c r="EM8" s="280">
        <v>195.1</v>
      </c>
      <c r="EN8" s="280">
        <v>194.5</v>
      </c>
      <c r="EO8" s="279" t="s">
        <v>15</v>
      </c>
      <c r="EP8" s="280">
        <v>2806</v>
      </c>
      <c r="EQ8" s="280">
        <v>2816.8</v>
      </c>
      <c r="ER8" s="280">
        <v>2616.6999999999998</v>
      </c>
      <c r="ES8" s="280">
        <v>2850.5</v>
      </c>
      <c r="ET8" s="280">
        <v>2889.1</v>
      </c>
      <c r="EU8" s="280">
        <v>2926.4</v>
      </c>
      <c r="EV8" s="280">
        <v>2753.3</v>
      </c>
      <c r="EW8" s="280">
        <v>3018.4</v>
      </c>
      <c r="EX8" s="280">
        <v>2998.3</v>
      </c>
      <c r="EY8" s="280">
        <v>3096.8</v>
      </c>
      <c r="EZ8" s="279" t="s">
        <v>15</v>
      </c>
      <c r="FA8" s="280">
        <v>2549.5</v>
      </c>
      <c r="FB8" s="280">
        <v>2594.6999999999998</v>
      </c>
      <c r="FC8" s="280">
        <v>2662.2</v>
      </c>
      <c r="FD8" s="280">
        <v>2651.8</v>
      </c>
      <c r="FE8" s="280">
        <v>2639.5</v>
      </c>
      <c r="FF8" s="280">
        <v>2706.2</v>
      </c>
      <c r="FG8" s="280">
        <v>2654.8</v>
      </c>
      <c r="FH8" s="280">
        <v>2699.8</v>
      </c>
      <c r="FI8" s="280">
        <v>2733.7</v>
      </c>
      <c r="FJ8" s="280">
        <v>2748.3</v>
      </c>
      <c r="FK8" s="279" t="s">
        <v>15</v>
      </c>
      <c r="FL8" s="280">
        <v>1766.4</v>
      </c>
      <c r="FM8" s="280">
        <v>1867.3</v>
      </c>
      <c r="FN8" s="280">
        <v>1901.7</v>
      </c>
      <c r="FO8" s="280">
        <v>1870.3</v>
      </c>
      <c r="FP8" s="280">
        <v>1792.3</v>
      </c>
      <c r="FQ8" s="280">
        <v>1856.8</v>
      </c>
      <c r="FR8" s="280">
        <v>1983.2</v>
      </c>
      <c r="FS8" s="280">
        <v>1937.4</v>
      </c>
      <c r="FT8" s="280">
        <v>1864.7</v>
      </c>
      <c r="FU8" s="280">
        <v>2025</v>
      </c>
      <c r="FV8" s="279" t="s">
        <v>15</v>
      </c>
      <c r="FW8" s="280">
        <v>3438.5</v>
      </c>
      <c r="FX8" s="280">
        <v>3849.2</v>
      </c>
      <c r="FY8" s="280">
        <v>4254</v>
      </c>
      <c r="FZ8" s="280">
        <v>3828.3</v>
      </c>
      <c r="GA8" s="280">
        <v>3586.3</v>
      </c>
      <c r="GB8" s="280">
        <v>4049.3</v>
      </c>
      <c r="GC8" s="280">
        <v>4347.6000000000004</v>
      </c>
      <c r="GD8" s="280">
        <v>3927.6</v>
      </c>
      <c r="GE8" s="280">
        <v>3757.3</v>
      </c>
      <c r="GF8" s="280">
        <v>4183.1000000000004</v>
      </c>
      <c r="GG8" s="279" t="s">
        <v>15</v>
      </c>
      <c r="GH8" s="280">
        <v>308.89999999999998</v>
      </c>
      <c r="GI8" s="280">
        <v>371.2</v>
      </c>
      <c r="GJ8" s="280">
        <v>397.8</v>
      </c>
      <c r="GK8" s="280">
        <v>337.3</v>
      </c>
      <c r="GL8" s="280">
        <v>325.2</v>
      </c>
      <c r="GM8" s="280">
        <v>371</v>
      </c>
      <c r="GN8" s="280">
        <v>369</v>
      </c>
      <c r="GO8" s="280">
        <v>319.5</v>
      </c>
      <c r="GP8" s="280">
        <v>325.60000000000002</v>
      </c>
      <c r="GQ8" s="280">
        <v>367.9</v>
      </c>
      <c r="GR8" s="279" t="s">
        <v>15</v>
      </c>
      <c r="GS8" s="280">
        <v>2032.9</v>
      </c>
      <c r="GT8" s="280">
        <v>2158.9</v>
      </c>
      <c r="GU8" s="280">
        <v>2247.3000000000002</v>
      </c>
      <c r="GV8" s="280">
        <v>2292.6</v>
      </c>
      <c r="GW8" s="280">
        <v>2157.3000000000002</v>
      </c>
      <c r="GX8" s="280">
        <v>2214.6</v>
      </c>
      <c r="GY8" s="280">
        <v>2306.5</v>
      </c>
      <c r="GZ8" s="280">
        <v>2369.8000000000002</v>
      </c>
      <c r="HA8" s="280">
        <v>2173.4</v>
      </c>
      <c r="HB8" s="280">
        <v>2302</v>
      </c>
      <c r="HC8" s="279" t="s">
        <v>15</v>
      </c>
      <c r="HD8" s="280">
        <v>1228.4000000000001</v>
      </c>
      <c r="HE8" s="280">
        <v>1328.3</v>
      </c>
      <c r="HF8" s="280">
        <v>1376.5</v>
      </c>
      <c r="HG8" s="280">
        <v>1300.3</v>
      </c>
      <c r="HH8" s="280">
        <v>1250.5</v>
      </c>
      <c r="HI8" s="280">
        <v>1338.3</v>
      </c>
      <c r="HJ8" s="280">
        <v>1448.2</v>
      </c>
      <c r="HK8" s="280">
        <v>1408.5</v>
      </c>
      <c r="HL8" s="280">
        <v>1301.8</v>
      </c>
      <c r="HM8" s="280">
        <v>1458.9</v>
      </c>
      <c r="HN8" s="279" t="s">
        <v>15</v>
      </c>
      <c r="HO8" s="280">
        <v>2830.6</v>
      </c>
      <c r="HP8" s="280">
        <v>3129.8</v>
      </c>
      <c r="HQ8" s="280">
        <v>3433.8</v>
      </c>
      <c r="HR8" s="280">
        <v>3168.2</v>
      </c>
      <c r="HS8" s="280">
        <v>2950.8</v>
      </c>
      <c r="HT8" s="280">
        <v>3226.5</v>
      </c>
      <c r="HU8" s="280">
        <v>3449.3</v>
      </c>
      <c r="HV8" s="280">
        <v>3297.4</v>
      </c>
      <c r="HW8" s="280">
        <v>3137.2</v>
      </c>
      <c r="HX8" s="280">
        <v>3361.6</v>
      </c>
      <c r="HY8" s="279" t="s">
        <v>15</v>
      </c>
      <c r="HZ8" s="280">
        <v>173.8</v>
      </c>
      <c r="IA8" s="280">
        <v>161.6</v>
      </c>
      <c r="IB8" s="280">
        <v>168.4</v>
      </c>
      <c r="IC8" s="280">
        <v>168</v>
      </c>
      <c r="ID8" s="280">
        <v>153.30000000000001</v>
      </c>
      <c r="IE8" s="280">
        <v>144.30000000000001</v>
      </c>
      <c r="IF8" s="280">
        <v>138.19999999999999</v>
      </c>
      <c r="IG8" s="280">
        <v>171.3</v>
      </c>
      <c r="IH8" s="280">
        <v>164.5</v>
      </c>
      <c r="II8" s="280">
        <v>165.3</v>
      </c>
      <c r="IJ8" s="279" t="s">
        <v>15</v>
      </c>
      <c r="IK8" s="280">
        <v>39.5</v>
      </c>
      <c r="IL8" s="280">
        <v>40.1</v>
      </c>
      <c r="IM8" s="280">
        <v>41.3</v>
      </c>
      <c r="IN8" s="280">
        <v>34.200000000000003</v>
      </c>
      <c r="IO8" s="280">
        <v>48</v>
      </c>
      <c r="IP8" s="280">
        <v>43.9</v>
      </c>
      <c r="IQ8" s="280">
        <v>51.3</v>
      </c>
      <c r="IR8" s="280">
        <v>53.1</v>
      </c>
      <c r="IS8" s="280">
        <v>46.8</v>
      </c>
      <c r="IT8" s="280">
        <v>54.9</v>
      </c>
      <c r="IU8" s="279" t="s">
        <v>15</v>
      </c>
      <c r="IV8" s="280">
        <v>610.1</v>
      </c>
      <c r="IW8" s="280">
        <v>735.3</v>
      </c>
      <c r="IX8" s="280">
        <v>786.9</v>
      </c>
      <c r="IY8" s="280">
        <v>810.8</v>
      </c>
      <c r="IZ8" s="280">
        <v>724.7</v>
      </c>
      <c r="JA8" s="280">
        <v>777.2</v>
      </c>
      <c r="JB8" s="280">
        <v>804.2</v>
      </c>
      <c r="JC8" s="280">
        <v>793.2</v>
      </c>
      <c r="JD8" s="280">
        <v>731.8</v>
      </c>
      <c r="JE8" s="280">
        <v>787.1</v>
      </c>
      <c r="JF8" s="279" t="s">
        <v>15</v>
      </c>
      <c r="JG8" s="280">
        <v>2367.1999999999998</v>
      </c>
      <c r="JH8" s="280">
        <v>2448.3000000000002</v>
      </c>
      <c r="JI8" s="280">
        <v>2600.1999999999998</v>
      </c>
      <c r="JJ8" s="280">
        <v>2515.1</v>
      </c>
      <c r="JK8" s="280">
        <v>2346.1999999999998</v>
      </c>
      <c r="JL8" s="280">
        <v>2460.1999999999998</v>
      </c>
      <c r="JM8" s="280">
        <v>2626.4</v>
      </c>
      <c r="JN8" s="280">
        <v>2654.7</v>
      </c>
      <c r="JO8" s="280">
        <v>2534.4</v>
      </c>
      <c r="JP8" s="280">
        <v>2611.9</v>
      </c>
      <c r="JQ8" s="279" t="s">
        <v>15</v>
      </c>
      <c r="JR8" s="280">
        <v>1022.3</v>
      </c>
      <c r="JS8" s="280">
        <v>1138.3</v>
      </c>
      <c r="JT8" s="280">
        <v>1169.4000000000001</v>
      </c>
      <c r="JU8" s="280">
        <v>1143.0999999999999</v>
      </c>
      <c r="JV8" s="280">
        <v>1058.4000000000001</v>
      </c>
      <c r="JW8" s="280">
        <v>1176.5</v>
      </c>
      <c r="JX8" s="280">
        <v>1180.4000000000001</v>
      </c>
      <c r="JY8" s="280">
        <v>1188.4000000000001</v>
      </c>
      <c r="JZ8" s="280">
        <v>1118.8</v>
      </c>
      <c r="KA8" s="280">
        <v>1243.4000000000001</v>
      </c>
      <c r="KB8" s="279" t="s">
        <v>15</v>
      </c>
      <c r="KC8" s="280">
        <v>2139.3000000000002</v>
      </c>
      <c r="KD8" s="280">
        <v>2258.1999999999998</v>
      </c>
      <c r="KE8" s="280">
        <v>2464.8000000000002</v>
      </c>
      <c r="KF8" s="280">
        <v>2387.3000000000002</v>
      </c>
      <c r="KG8" s="280">
        <v>2263</v>
      </c>
      <c r="KH8" s="280">
        <v>2341.5</v>
      </c>
      <c r="KI8" s="280">
        <v>2507.5</v>
      </c>
      <c r="KJ8" s="280">
        <v>2518.1999999999998</v>
      </c>
      <c r="KK8" s="280">
        <v>2386.5</v>
      </c>
      <c r="KL8" s="280">
        <v>2466.1</v>
      </c>
      <c r="KM8" s="279" t="s">
        <v>15</v>
      </c>
      <c r="KN8" s="280">
        <v>694.5</v>
      </c>
      <c r="KO8" s="280">
        <v>727.5</v>
      </c>
      <c r="KP8" s="280">
        <v>753.1</v>
      </c>
      <c r="KQ8" s="280">
        <v>740.7</v>
      </c>
      <c r="KR8" s="280">
        <v>774.7</v>
      </c>
      <c r="KS8" s="280">
        <v>790.1</v>
      </c>
      <c r="KT8" s="280">
        <v>842.1</v>
      </c>
      <c r="KU8" s="280">
        <v>825.8</v>
      </c>
      <c r="KV8" s="280">
        <v>775.5</v>
      </c>
      <c r="KW8" s="280">
        <v>838.9</v>
      </c>
      <c r="KX8" s="279" t="s">
        <v>15</v>
      </c>
      <c r="KY8" s="280">
        <v>1237.5999999999999</v>
      </c>
      <c r="KZ8" s="280">
        <v>1589.4</v>
      </c>
      <c r="LA8" s="280">
        <v>1884.8</v>
      </c>
      <c r="LB8" s="280">
        <v>1432.6</v>
      </c>
      <c r="LC8" s="280">
        <v>1332.4</v>
      </c>
      <c r="LD8" s="280">
        <v>1708.5</v>
      </c>
      <c r="LE8" s="280">
        <v>1943.8</v>
      </c>
      <c r="LF8" s="280">
        <v>1475</v>
      </c>
      <c r="LG8" s="280">
        <v>1364.6</v>
      </c>
      <c r="LH8" s="280">
        <v>1788.6</v>
      </c>
      <c r="LI8" s="279" t="s">
        <v>15</v>
      </c>
      <c r="LJ8" s="280">
        <v>393.2</v>
      </c>
      <c r="LK8" s="280">
        <v>375</v>
      </c>
      <c r="LL8" s="280">
        <v>386.9</v>
      </c>
      <c r="LM8" s="280">
        <v>395.5</v>
      </c>
      <c r="LN8" s="280">
        <v>399.5</v>
      </c>
      <c r="LO8" s="280">
        <v>411</v>
      </c>
      <c r="LP8" s="280">
        <v>412.3</v>
      </c>
      <c r="LQ8" s="280">
        <v>424.9</v>
      </c>
      <c r="LR8" s="280">
        <v>419</v>
      </c>
      <c r="LS8" s="280">
        <v>437</v>
      </c>
      <c r="LT8" s="279" t="s">
        <v>15</v>
      </c>
      <c r="LU8" s="280">
        <v>240.8</v>
      </c>
      <c r="LV8" s="280">
        <v>247.4</v>
      </c>
      <c r="LW8" s="280">
        <v>264.5</v>
      </c>
      <c r="LX8" s="280">
        <v>262.2</v>
      </c>
      <c r="LY8" s="280">
        <v>243.9</v>
      </c>
      <c r="LZ8" s="280">
        <v>275.7</v>
      </c>
      <c r="MA8" s="280">
        <v>295.60000000000002</v>
      </c>
      <c r="MB8" s="280">
        <v>273.8</v>
      </c>
      <c r="MC8" s="280">
        <v>251.6</v>
      </c>
      <c r="MD8" s="280">
        <v>293.5</v>
      </c>
      <c r="ME8" s="279" t="s">
        <v>15</v>
      </c>
      <c r="MF8" s="280">
        <v>658.8</v>
      </c>
      <c r="MG8" s="280">
        <v>690.8</v>
      </c>
      <c r="MH8" s="280">
        <v>689.2</v>
      </c>
      <c r="MI8" s="280">
        <v>701.4</v>
      </c>
      <c r="MJ8" s="280">
        <v>687.1</v>
      </c>
      <c r="MK8" s="280">
        <v>725.7</v>
      </c>
      <c r="ML8" s="280">
        <v>734.2</v>
      </c>
      <c r="MM8" s="280">
        <v>751.2</v>
      </c>
      <c r="MN8" s="280">
        <v>689.6</v>
      </c>
      <c r="MO8" s="280">
        <v>752.9</v>
      </c>
      <c r="MP8" s="279" t="s">
        <v>15</v>
      </c>
      <c r="MQ8" s="280">
        <v>918.5</v>
      </c>
      <c r="MR8" s="280">
        <v>1017.7</v>
      </c>
      <c r="MS8" s="280">
        <v>1097.9000000000001</v>
      </c>
      <c r="MT8" s="280">
        <v>994.6</v>
      </c>
      <c r="MU8" s="280">
        <v>948.9</v>
      </c>
      <c r="MV8" s="280">
        <v>1034.5999999999999</v>
      </c>
      <c r="MW8" s="280">
        <v>1133.4000000000001</v>
      </c>
      <c r="MX8" s="280">
        <v>1051.5999999999999</v>
      </c>
      <c r="MY8" s="280">
        <v>989.5</v>
      </c>
      <c r="MZ8" s="280">
        <v>1063.7</v>
      </c>
      <c r="NA8" s="279" t="s">
        <v>15</v>
      </c>
      <c r="NB8" s="280">
        <v>1202.7</v>
      </c>
      <c r="NC8" s="280">
        <v>1226.5999999999999</v>
      </c>
      <c r="ND8" s="280">
        <v>1242.2</v>
      </c>
      <c r="NE8" s="280">
        <v>1226.2</v>
      </c>
      <c r="NF8" s="280">
        <v>1197</v>
      </c>
      <c r="NG8" s="280">
        <v>1211</v>
      </c>
      <c r="NH8" s="280">
        <v>1249.8</v>
      </c>
      <c r="NI8" s="280">
        <v>1240.5999999999999</v>
      </c>
      <c r="NJ8" s="280">
        <v>1213</v>
      </c>
      <c r="NK8" s="280">
        <v>1238.4000000000001</v>
      </c>
      <c r="NL8" s="279" t="s">
        <v>15</v>
      </c>
      <c r="NM8" s="280">
        <v>1906.9</v>
      </c>
      <c r="NN8" s="280">
        <v>1907.9</v>
      </c>
      <c r="NO8" s="280">
        <v>1557.5</v>
      </c>
      <c r="NP8" s="280">
        <v>1848.7</v>
      </c>
      <c r="NQ8" s="280">
        <v>1935</v>
      </c>
      <c r="NR8" s="280">
        <v>1907.6</v>
      </c>
      <c r="NS8" s="280">
        <v>1530</v>
      </c>
      <c r="NT8" s="280">
        <v>1876.3</v>
      </c>
      <c r="NU8" s="280">
        <v>1907.6</v>
      </c>
      <c r="NV8" s="280">
        <v>1951.9</v>
      </c>
      <c r="NW8" s="279" t="s">
        <v>15</v>
      </c>
      <c r="NX8" s="280">
        <v>2171.5</v>
      </c>
      <c r="NY8" s="280">
        <v>2237.6999999999998</v>
      </c>
      <c r="NZ8" s="280">
        <v>2394.5</v>
      </c>
      <c r="OA8" s="280">
        <v>2359.3000000000002</v>
      </c>
      <c r="OB8" s="280">
        <v>2310.9</v>
      </c>
      <c r="OC8" s="280">
        <v>2384.8000000000002</v>
      </c>
      <c r="OD8" s="280">
        <v>2446</v>
      </c>
      <c r="OE8" s="280">
        <v>2432.9</v>
      </c>
      <c r="OF8" s="280">
        <v>2385.4</v>
      </c>
      <c r="OG8" s="280">
        <v>2416.1</v>
      </c>
      <c r="OH8" s="296" t="s">
        <v>15</v>
      </c>
      <c r="OI8" s="297">
        <v>11.1</v>
      </c>
      <c r="OJ8" s="297">
        <v>11.6</v>
      </c>
      <c r="OK8" s="297">
        <v>11.7</v>
      </c>
      <c r="OL8" s="297">
        <v>10.9</v>
      </c>
      <c r="OM8" s="297">
        <v>10.3</v>
      </c>
      <c r="ON8" s="297">
        <v>10.6</v>
      </c>
      <c r="OO8" s="297">
        <v>10.7</v>
      </c>
      <c r="OP8" s="297">
        <v>10</v>
      </c>
      <c r="OQ8" s="297">
        <v>9.6</v>
      </c>
      <c r="OR8" s="297">
        <v>9.8000000000000007</v>
      </c>
      <c r="OS8" s="288" t="s">
        <v>15</v>
      </c>
      <c r="OT8" s="280">
        <v>0.7</v>
      </c>
      <c r="OU8" s="280">
        <v>0.3</v>
      </c>
      <c r="OV8" s="280">
        <v>0.5</v>
      </c>
      <c r="OW8" s="280">
        <v>0.5</v>
      </c>
      <c r="OX8" s="280">
        <v>0.5</v>
      </c>
      <c r="OY8" s="280">
        <v>0.3</v>
      </c>
      <c r="OZ8" s="280">
        <v>0.4</v>
      </c>
      <c r="PA8" s="280">
        <v>0.6</v>
      </c>
      <c r="PB8" s="280">
        <v>0.5</v>
      </c>
      <c r="PC8" s="280">
        <v>0.6</v>
      </c>
    </row>
    <row r="9" spans="1:419">
      <c r="A9" s="269"/>
      <c r="B9" s="285" t="s">
        <v>16</v>
      </c>
      <c r="C9" s="286">
        <v>14.9</v>
      </c>
      <c r="D9" s="286">
        <v>15.7</v>
      </c>
      <c r="E9" s="286">
        <v>16.2</v>
      </c>
      <c r="F9" s="286">
        <v>15.7</v>
      </c>
      <c r="G9" s="286">
        <v>15.1</v>
      </c>
      <c r="H9" s="286">
        <v>15.9</v>
      </c>
      <c r="I9" s="286">
        <v>16.3</v>
      </c>
      <c r="J9" s="286">
        <v>16</v>
      </c>
      <c r="K9" s="286">
        <v>15.5</v>
      </c>
      <c r="L9" s="286">
        <v>16.3</v>
      </c>
      <c r="M9" s="285" t="s">
        <v>16</v>
      </c>
      <c r="N9" s="286">
        <v>17341.7</v>
      </c>
      <c r="O9" s="286">
        <v>18486.5</v>
      </c>
      <c r="P9" s="286">
        <v>19261.8</v>
      </c>
      <c r="Q9" s="286">
        <v>18671.099999999999</v>
      </c>
      <c r="R9" s="286">
        <v>17961.7</v>
      </c>
      <c r="S9" s="286">
        <v>19058.900000000001</v>
      </c>
      <c r="T9" s="286">
        <v>19690.599999999999</v>
      </c>
      <c r="U9" s="286">
        <v>19392.599999999999</v>
      </c>
      <c r="V9" s="286">
        <v>18677.2</v>
      </c>
      <c r="W9" s="286">
        <v>19935.599999999999</v>
      </c>
      <c r="X9" s="285" t="s">
        <v>16</v>
      </c>
      <c r="Y9" s="286">
        <v>918.9</v>
      </c>
      <c r="Z9" s="286">
        <v>998.5</v>
      </c>
      <c r="AA9" s="286">
        <v>1086.0999999999999</v>
      </c>
      <c r="AB9" s="286">
        <v>986.4</v>
      </c>
      <c r="AC9" s="286">
        <v>927.1</v>
      </c>
      <c r="AD9" s="286">
        <v>1039.3</v>
      </c>
      <c r="AE9" s="286">
        <v>1067.9000000000001</v>
      </c>
      <c r="AF9" s="286">
        <v>1018.9</v>
      </c>
      <c r="AG9" s="286">
        <v>1007.3</v>
      </c>
      <c r="AH9" s="286">
        <v>1071.9000000000001</v>
      </c>
      <c r="AI9" s="279" t="s">
        <v>16</v>
      </c>
      <c r="AJ9" s="280">
        <v>1587</v>
      </c>
      <c r="AK9" s="280">
        <v>1922.8</v>
      </c>
      <c r="AL9" s="280">
        <v>2685.2</v>
      </c>
      <c r="AM9" s="280">
        <v>1983.8</v>
      </c>
      <c r="AN9" s="280">
        <v>1726.3</v>
      </c>
      <c r="AO9" s="280">
        <v>1951.5</v>
      </c>
      <c r="AP9" s="280">
        <v>2704.1</v>
      </c>
      <c r="AQ9" s="280">
        <v>2101.5</v>
      </c>
      <c r="AR9" s="280">
        <v>1819.3</v>
      </c>
      <c r="AS9" s="280">
        <v>2105.6</v>
      </c>
      <c r="AT9" s="279" t="s">
        <v>16</v>
      </c>
      <c r="AU9" s="280">
        <v>2560.5</v>
      </c>
      <c r="AV9" s="280">
        <v>3019.9</v>
      </c>
      <c r="AW9" s="280">
        <v>3161.4</v>
      </c>
      <c r="AX9" s="280">
        <v>2853.4</v>
      </c>
      <c r="AY9" s="280">
        <v>2681.2</v>
      </c>
      <c r="AZ9" s="280">
        <v>3100.6</v>
      </c>
      <c r="BA9" s="280">
        <v>3227.2</v>
      </c>
      <c r="BB9" s="280">
        <v>2856</v>
      </c>
      <c r="BC9" s="280">
        <v>2708.3</v>
      </c>
      <c r="BD9" s="280">
        <v>3221.1</v>
      </c>
      <c r="BE9" s="279" t="s">
        <v>16</v>
      </c>
      <c r="BF9" s="280">
        <v>4487</v>
      </c>
      <c r="BG9" s="280">
        <v>4652.1000000000004</v>
      </c>
      <c r="BH9" s="280">
        <v>4428.7</v>
      </c>
      <c r="BI9" s="280">
        <v>4676.3</v>
      </c>
      <c r="BJ9" s="280">
        <v>4669.8999999999996</v>
      </c>
      <c r="BK9" s="280">
        <v>4750.7</v>
      </c>
      <c r="BL9" s="280">
        <v>4496</v>
      </c>
      <c r="BM9" s="280">
        <v>4774.7</v>
      </c>
      <c r="BN9" s="280">
        <v>4771.1000000000004</v>
      </c>
      <c r="BO9" s="280">
        <v>5055</v>
      </c>
      <c r="BP9" s="282" t="s">
        <v>16</v>
      </c>
      <c r="BQ9" s="283">
        <v>1580.4</v>
      </c>
      <c r="BR9" s="283">
        <v>1627.2</v>
      </c>
      <c r="BS9" s="283">
        <v>1698.5</v>
      </c>
      <c r="BT9" s="283">
        <v>1628.7</v>
      </c>
      <c r="BU9" s="283">
        <v>1684.1999999999998</v>
      </c>
      <c r="BV9" s="283">
        <v>1720.6</v>
      </c>
      <c r="BW9" s="283">
        <v>1699.3</v>
      </c>
      <c r="BX9" s="283">
        <v>1791.1</v>
      </c>
      <c r="BY9" s="283">
        <v>1708.6999999999998</v>
      </c>
      <c r="BZ9" s="283">
        <v>1740</v>
      </c>
      <c r="CA9" s="282" t="s">
        <v>16</v>
      </c>
      <c r="CB9" s="283">
        <v>3038.7</v>
      </c>
      <c r="CC9" s="283">
        <v>2882.3</v>
      </c>
      <c r="CD9" s="283">
        <v>2931.2</v>
      </c>
      <c r="CE9" s="283">
        <v>3119.8999999999996</v>
      </c>
      <c r="CF9" s="283">
        <v>2916.4</v>
      </c>
      <c r="CG9" s="283">
        <v>2865.4</v>
      </c>
      <c r="CH9" s="283">
        <v>2914.3</v>
      </c>
      <c r="CI9" s="283">
        <v>3133.8</v>
      </c>
      <c r="CJ9" s="283">
        <v>2969.3</v>
      </c>
      <c r="CK9" s="283">
        <v>2939.9</v>
      </c>
      <c r="CL9" s="285" t="s">
        <v>16</v>
      </c>
      <c r="CM9" s="286">
        <v>5266.7</v>
      </c>
      <c r="CN9" s="286">
        <v>5611.1</v>
      </c>
      <c r="CO9" s="286">
        <v>5933.8</v>
      </c>
      <c r="CP9" s="286">
        <v>5762.1</v>
      </c>
      <c r="CQ9" s="286">
        <v>5384</v>
      </c>
      <c r="CR9" s="286">
        <v>5763.6</v>
      </c>
      <c r="CS9" s="286">
        <v>5980.6</v>
      </c>
      <c r="CT9" s="286">
        <v>5909.3</v>
      </c>
      <c r="CU9" s="286">
        <v>5559.2</v>
      </c>
      <c r="CV9" s="286">
        <v>6032.9</v>
      </c>
      <c r="CW9" s="285" t="s">
        <v>16</v>
      </c>
      <c r="CX9" s="286">
        <v>7161.7</v>
      </c>
      <c r="CY9" s="286">
        <v>7707.7</v>
      </c>
      <c r="CZ9" s="286">
        <v>8170</v>
      </c>
      <c r="DA9" s="286">
        <v>7670.6</v>
      </c>
      <c r="DB9" s="286">
        <v>7397.4</v>
      </c>
      <c r="DC9" s="286">
        <v>7957.8</v>
      </c>
      <c r="DD9" s="286">
        <v>8296.1</v>
      </c>
      <c r="DE9" s="286">
        <v>8014.2</v>
      </c>
      <c r="DF9" s="286">
        <v>7723</v>
      </c>
      <c r="DG9" s="286">
        <v>8273.4</v>
      </c>
      <c r="DH9" s="285" t="s">
        <v>16</v>
      </c>
      <c r="DI9" s="286">
        <v>4863.5</v>
      </c>
      <c r="DJ9" s="286">
        <v>5128.7</v>
      </c>
      <c r="DK9" s="286">
        <v>5116.5</v>
      </c>
      <c r="DL9" s="286">
        <v>5205</v>
      </c>
      <c r="DM9" s="286">
        <v>5132.7</v>
      </c>
      <c r="DN9" s="286">
        <v>5287.4</v>
      </c>
      <c r="DO9" s="286">
        <v>5361.7</v>
      </c>
      <c r="DP9" s="286">
        <v>5419.1</v>
      </c>
      <c r="DQ9" s="286">
        <v>5336.3</v>
      </c>
      <c r="DR9" s="286">
        <v>5575.9</v>
      </c>
      <c r="DS9" s="285" t="s">
        <v>16</v>
      </c>
      <c r="DT9" s="286">
        <v>49.8</v>
      </c>
      <c r="DU9" s="286">
        <v>39</v>
      </c>
      <c r="DV9" s="286">
        <v>41.5</v>
      </c>
      <c r="DW9" s="286">
        <v>33.5</v>
      </c>
      <c r="DX9" s="286">
        <v>47.6</v>
      </c>
      <c r="DY9" s="286">
        <v>50.1</v>
      </c>
      <c r="DZ9" s="286">
        <v>52.2</v>
      </c>
      <c r="EA9" s="286">
        <v>50</v>
      </c>
      <c r="EB9" s="286">
        <v>58.7</v>
      </c>
      <c r="EC9" s="286">
        <v>53.3</v>
      </c>
      <c r="ED9" s="279" t="s">
        <v>16</v>
      </c>
      <c r="EE9" s="280">
        <v>188.9</v>
      </c>
      <c r="EF9" s="280">
        <v>196</v>
      </c>
      <c r="EG9" s="280">
        <v>192.4</v>
      </c>
      <c r="EH9" s="280">
        <v>202.1</v>
      </c>
      <c r="EI9" s="280">
        <v>198.6</v>
      </c>
      <c r="EJ9" s="280">
        <v>209.7</v>
      </c>
      <c r="EK9" s="280">
        <v>215.9</v>
      </c>
      <c r="EL9" s="280">
        <v>213.6</v>
      </c>
      <c r="EM9" s="280">
        <v>193.9</v>
      </c>
      <c r="EN9" s="280">
        <v>193.4</v>
      </c>
      <c r="EO9" s="279" t="s">
        <v>16</v>
      </c>
      <c r="EP9" s="280">
        <v>2804.7</v>
      </c>
      <c r="EQ9" s="280">
        <v>2815.4</v>
      </c>
      <c r="ER9" s="280">
        <v>2614.9</v>
      </c>
      <c r="ES9" s="280">
        <v>2845.7</v>
      </c>
      <c r="ET9" s="280">
        <v>2885.9</v>
      </c>
      <c r="EU9" s="280">
        <v>2923.9</v>
      </c>
      <c r="EV9" s="280">
        <v>2751.8</v>
      </c>
      <c r="EW9" s="280">
        <v>3014.9</v>
      </c>
      <c r="EX9" s="280">
        <v>2995.8</v>
      </c>
      <c r="EY9" s="280">
        <v>3094.6</v>
      </c>
      <c r="EZ9" s="279" t="s">
        <v>16</v>
      </c>
      <c r="FA9" s="280">
        <v>2545.9</v>
      </c>
      <c r="FB9" s="280">
        <v>2592.5</v>
      </c>
      <c r="FC9" s="280">
        <v>2658.2</v>
      </c>
      <c r="FD9" s="280">
        <v>2650.1</v>
      </c>
      <c r="FE9" s="280">
        <v>2637.7</v>
      </c>
      <c r="FF9" s="280">
        <v>2703.4</v>
      </c>
      <c r="FG9" s="280">
        <v>2651.7</v>
      </c>
      <c r="FH9" s="280">
        <v>2696.9</v>
      </c>
      <c r="FI9" s="280">
        <v>2730.4</v>
      </c>
      <c r="FJ9" s="280">
        <v>2746.5</v>
      </c>
      <c r="FK9" s="279" t="s">
        <v>16</v>
      </c>
      <c r="FL9" s="280">
        <v>1766</v>
      </c>
      <c r="FM9" s="280">
        <v>1865.6</v>
      </c>
      <c r="FN9" s="280">
        <v>1900.8</v>
      </c>
      <c r="FO9" s="280">
        <v>1869.5</v>
      </c>
      <c r="FP9" s="280">
        <v>1790.1</v>
      </c>
      <c r="FQ9" s="280">
        <v>1856.6</v>
      </c>
      <c r="FR9" s="280">
        <v>1981.6</v>
      </c>
      <c r="FS9" s="280">
        <v>1936.5</v>
      </c>
      <c r="FT9" s="280">
        <v>1864.5</v>
      </c>
      <c r="FU9" s="280">
        <v>2024.8</v>
      </c>
      <c r="FV9" s="279" t="s">
        <v>16</v>
      </c>
      <c r="FW9" s="280">
        <v>3436.1</v>
      </c>
      <c r="FX9" s="280">
        <v>3845.3</v>
      </c>
      <c r="FY9" s="280">
        <v>4246.5</v>
      </c>
      <c r="FZ9" s="280">
        <v>3822.2</v>
      </c>
      <c r="GA9" s="280">
        <v>3583.5</v>
      </c>
      <c r="GB9" s="280">
        <v>4046</v>
      </c>
      <c r="GC9" s="280">
        <v>4343.6000000000004</v>
      </c>
      <c r="GD9" s="280">
        <v>3924.6</v>
      </c>
      <c r="GE9" s="280">
        <v>3755.7</v>
      </c>
      <c r="GF9" s="280">
        <v>4180.5</v>
      </c>
      <c r="GG9" s="279" t="s">
        <v>16</v>
      </c>
      <c r="GH9" s="280">
        <v>308.39999999999998</v>
      </c>
      <c r="GI9" s="280">
        <v>369.8</v>
      </c>
      <c r="GJ9" s="280">
        <v>396.8</v>
      </c>
      <c r="GK9" s="280">
        <v>336.5</v>
      </c>
      <c r="GL9" s="280">
        <v>323.89999999999998</v>
      </c>
      <c r="GM9" s="280">
        <v>370.4</v>
      </c>
      <c r="GN9" s="280">
        <v>367.4</v>
      </c>
      <c r="GO9" s="280">
        <v>319.10000000000002</v>
      </c>
      <c r="GP9" s="280">
        <v>324.7</v>
      </c>
      <c r="GQ9" s="280">
        <v>367</v>
      </c>
      <c r="GR9" s="279" t="s">
        <v>16</v>
      </c>
      <c r="GS9" s="280">
        <v>2028.7</v>
      </c>
      <c r="GT9" s="280">
        <v>2154.4</v>
      </c>
      <c r="GU9" s="280">
        <v>2244.3000000000002</v>
      </c>
      <c r="GV9" s="280">
        <v>2290.4</v>
      </c>
      <c r="GW9" s="280">
        <v>2151.6999999999998</v>
      </c>
      <c r="GX9" s="280">
        <v>2211.8000000000002</v>
      </c>
      <c r="GY9" s="280">
        <v>2303</v>
      </c>
      <c r="GZ9" s="280">
        <v>2368.1</v>
      </c>
      <c r="HA9" s="280">
        <v>2171.1</v>
      </c>
      <c r="HB9" s="280">
        <v>2299.1</v>
      </c>
      <c r="HC9" s="279" t="s">
        <v>16</v>
      </c>
      <c r="HD9" s="280">
        <v>1224.5</v>
      </c>
      <c r="HE9" s="280">
        <v>1326.2</v>
      </c>
      <c r="HF9" s="280">
        <v>1372.3</v>
      </c>
      <c r="HG9" s="280">
        <v>1296.4000000000001</v>
      </c>
      <c r="HH9" s="280">
        <v>1247.3</v>
      </c>
      <c r="HI9" s="280">
        <v>1335.1</v>
      </c>
      <c r="HJ9" s="280">
        <v>1446.2</v>
      </c>
      <c r="HK9" s="280">
        <v>1405.8</v>
      </c>
      <c r="HL9" s="280">
        <v>1298.0999999999999</v>
      </c>
      <c r="HM9" s="280">
        <v>1456.5</v>
      </c>
      <c r="HN9" s="279" t="s">
        <v>16</v>
      </c>
      <c r="HO9" s="280">
        <v>2825.3</v>
      </c>
      <c r="HP9" s="280">
        <v>3120</v>
      </c>
      <c r="HQ9" s="280">
        <v>3426.4</v>
      </c>
      <c r="HR9" s="280">
        <v>3156.4</v>
      </c>
      <c r="HS9" s="280">
        <v>2941.7</v>
      </c>
      <c r="HT9" s="280">
        <v>3214.9</v>
      </c>
      <c r="HU9" s="280">
        <v>3440.6</v>
      </c>
      <c r="HV9" s="280">
        <v>3291.6</v>
      </c>
      <c r="HW9" s="280">
        <v>3131.8</v>
      </c>
      <c r="HX9" s="280">
        <v>3354.1</v>
      </c>
      <c r="HY9" s="279" t="s">
        <v>16</v>
      </c>
      <c r="HZ9" s="280">
        <v>173.8</v>
      </c>
      <c r="IA9" s="280">
        <v>161</v>
      </c>
      <c r="IB9" s="280">
        <v>168.4</v>
      </c>
      <c r="IC9" s="280">
        <v>168</v>
      </c>
      <c r="ID9" s="280">
        <v>153.30000000000001</v>
      </c>
      <c r="IE9" s="280">
        <v>143.4</v>
      </c>
      <c r="IF9" s="280">
        <v>137.69999999999999</v>
      </c>
      <c r="IG9" s="280">
        <v>171.1</v>
      </c>
      <c r="IH9" s="280">
        <v>164.3</v>
      </c>
      <c r="II9" s="280">
        <v>164.6</v>
      </c>
      <c r="IJ9" s="279" t="s">
        <v>16</v>
      </c>
      <c r="IK9" s="280">
        <v>39.5</v>
      </c>
      <c r="IL9" s="280">
        <v>40.1</v>
      </c>
      <c r="IM9" s="280">
        <v>40.799999999999997</v>
      </c>
      <c r="IN9" s="280">
        <v>33.700000000000003</v>
      </c>
      <c r="IO9" s="280">
        <v>48</v>
      </c>
      <c r="IP9" s="280">
        <v>43.9</v>
      </c>
      <c r="IQ9" s="280">
        <v>51.3</v>
      </c>
      <c r="IR9" s="280">
        <v>50.4</v>
      </c>
      <c r="IS9" s="280">
        <v>46.8</v>
      </c>
      <c r="IT9" s="280">
        <v>54.5</v>
      </c>
      <c r="IU9" s="279" t="s">
        <v>16</v>
      </c>
      <c r="IV9" s="280">
        <v>608.9</v>
      </c>
      <c r="IW9" s="280">
        <v>733</v>
      </c>
      <c r="IX9" s="280">
        <v>784.5</v>
      </c>
      <c r="IY9" s="280">
        <v>808.3</v>
      </c>
      <c r="IZ9" s="280">
        <v>721.9</v>
      </c>
      <c r="JA9" s="280">
        <v>773.6</v>
      </c>
      <c r="JB9" s="280">
        <v>800.7</v>
      </c>
      <c r="JC9" s="280">
        <v>792.1</v>
      </c>
      <c r="JD9" s="280">
        <v>730.6</v>
      </c>
      <c r="JE9" s="280">
        <v>785.2</v>
      </c>
      <c r="JF9" s="279" t="s">
        <v>16</v>
      </c>
      <c r="JG9" s="280">
        <v>2364.6</v>
      </c>
      <c r="JH9" s="280">
        <v>2446</v>
      </c>
      <c r="JI9" s="280">
        <v>2597.8000000000002</v>
      </c>
      <c r="JJ9" s="280">
        <v>2513.6999999999998</v>
      </c>
      <c r="JK9" s="280">
        <v>2343.1</v>
      </c>
      <c r="JL9" s="280">
        <v>2457.6</v>
      </c>
      <c r="JM9" s="280">
        <v>2624</v>
      </c>
      <c r="JN9" s="280">
        <v>2651.7</v>
      </c>
      <c r="JO9" s="280">
        <v>2532.5</v>
      </c>
      <c r="JP9" s="280">
        <v>2609.1</v>
      </c>
      <c r="JQ9" s="279" t="s">
        <v>16</v>
      </c>
      <c r="JR9" s="280">
        <v>1018.3</v>
      </c>
      <c r="JS9" s="280">
        <v>1132.0999999999999</v>
      </c>
      <c r="JT9" s="280">
        <v>1165</v>
      </c>
      <c r="JU9" s="280">
        <v>1138.9000000000001</v>
      </c>
      <c r="JV9" s="280">
        <v>1054.0999999999999</v>
      </c>
      <c r="JW9" s="280">
        <v>1173.9000000000001</v>
      </c>
      <c r="JX9" s="280">
        <v>1176.5</v>
      </c>
      <c r="JY9" s="280">
        <v>1186</v>
      </c>
      <c r="JZ9" s="280">
        <v>1116</v>
      </c>
      <c r="KA9" s="280">
        <v>1240.7</v>
      </c>
      <c r="KB9" s="279" t="s">
        <v>16</v>
      </c>
      <c r="KC9" s="280">
        <v>2137.5</v>
      </c>
      <c r="KD9" s="280">
        <v>2256.4</v>
      </c>
      <c r="KE9" s="280">
        <v>2460.8000000000002</v>
      </c>
      <c r="KF9" s="280">
        <v>2385.3000000000002</v>
      </c>
      <c r="KG9" s="280">
        <v>2259.8000000000002</v>
      </c>
      <c r="KH9" s="280">
        <v>2337.8000000000002</v>
      </c>
      <c r="KI9" s="280">
        <v>2505</v>
      </c>
      <c r="KJ9" s="280">
        <v>2516.1</v>
      </c>
      <c r="KK9" s="280">
        <v>2384.8000000000002</v>
      </c>
      <c r="KL9" s="280">
        <v>2464.3000000000002</v>
      </c>
      <c r="KM9" s="279" t="s">
        <v>16</v>
      </c>
      <c r="KN9" s="280">
        <v>691</v>
      </c>
      <c r="KO9" s="280">
        <v>725.4</v>
      </c>
      <c r="KP9" s="280">
        <v>750.4</v>
      </c>
      <c r="KQ9" s="280">
        <v>736.4</v>
      </c>
      <c r="KR9" s="280">
        <v>773.4</v>
      </c>
      <c r="KS9" s="280">
        <v>787.9</v>
      </c>
      <c r="KT9" s="280">
        <v>840</v>
      </c>
      <c r="KU9" s="280">
        <v>822.7</v>
      </c>
      <c r="KV9" s="280">
        <v>770.9</v>
      </c>
      <c r="KW9" s="280">
        <v>836.5</v>
      </c>
      <c r="KX9" s="279" t="s">
        <v>16</v>
      </c>
      <c r="KY9" s="280">
        <v>1237.3</v>
      </c>
      <c r="KZ9" s="280">
        <v>1587.3</v>
      </c>
      <c r="LA9" s="280">
        <v>1882.6</v>
      </c>
      <c r="LB9" s="280">
        <v>1431.5</v>
      </c>
      <c r="LC9" s="280">
        <v>1331.5</v>
      </c>
      <c r="LD9" s="280">
        <v>1707.6</v>
      </c>
      <c r="LE9" s="280">
        <v>1942.6</v>
      </c>
      <c r="LF9" s="280">
        <v>1473.6</v>
      </c>
      <c r="LG9" s="280">
        <v>1363.8</v>
      </c>
      <c r="LH9" s="280">
        <v>1787.1</v>
      </c>
      <c r="LI9" s="279" t="s">
        <v>16</v>
      </c>
      <c r="LJ9" s="280">
        <v>393.2</v>
      </c>
      <c r="LK9" s="280">
        <v>375</v>
      </c>
      <c r="LL9" s="280">
        <v>386.6</v>
      </c>
      <c r="LM9" s="280">
        <v>394.1</v>
      </c>
      <c r="LN9" s="280">
        <v>398.9</v>
      </c>
      <c r="LO9" s="280">
        <v>411</v>
      </c>
      <c r="LP9" s="280">
        <v>412.3</v>
      </c>
      <c r="LQ9" s="280">
        <v>423.1</v>
      </c>
      <c r="LR9" s="280">
        <v>418.4</v>
      </c>
      <c r="LS9" s="280">
        <v>436.9</v>
      </c>
      <c r="LT9" s="279" t="s">
        <v>16</v>
      </c>
      <c r="LU9" s="280">
        <v>240.4</v>
      </c>
      <c r="LV9" s="280">
        <v>246</v>
      </c>
      <c r="LW9" s="280">
        <v>263.8</v>
      </c>
      <c r="LX9" s="280">
        <v>262</v>
      </c>
      <c r="LY9" s="280">
        <v>242.4</v>
      </c>
      <c r="LZ9" s="280">
        <v>275.5</v>
      </c>
      <c r="MA9" s="280">
        <v>295.39999999999998</v>
      </c>
      <c r="MB9" s="280">
        <v>273.3</v>
      </c>
      <c r="MC9" s="280">
        <v>251.6</v>
      </c>
      <c r="MD9" s="280">
        <v>293.10000000000002</v>
      </c>
      <c r="ME9" s="279" t="s">
        <v>16</v>
      </c>
      <c r="MF9" s="280">
        <v>658.7</v>
      </c>
      <c r="MG9" s="280">
        <v>690.7</v>
      </c>
      <c r="MH9" s="280">
        <v>687.6</v>
      </c>
      <c r="MI9" s="280">
        <v>700.4</v>
      </c>
      <c r="MJ9" s="280">
        <v>686.4</v>
      </c>
      <c r="MK9" s="280">
        <v>725.7</v>
      </c>
      <c r="ML9" s="280">
        <v>733.5</v>
      </c>
      <c r="MM9" s="280">
        <v>750.9</v>
      </c>
      <c r="MN9" s="280">
        <v>688.8</v>
      </c>
      <c r="MO9" s="280">
        <v>752.5</v>
      </c>
      <c r="MP9" s="279" t="s">
        <v>16</v>
      </c>
      <c r="MQ9" s="280">
        <v>916.9</v>
      </c>
      <c r="MR9" s="280">
        <v>1015.2</v>
      </c>
      <c r="MS9" s="280">
        <v>1096.3</v>
      </c>
      <c r="MT9" s="280">
        <v>992.1</v>
      </c>
      <c r="MU9" s="280">
        <v>946</v>
      </c>
      <c r="MV9" s="280">
        <v>1031.8</v>
      </c>
      <c r="MW9" s="280">
        <v>1130.0999999999999</v>
      </c>
      <c r="MX9" s="280">
        <v>1050.5</v>
      </c>
      <c r="MY9" s="280">
        <v>988</v>
      </c>
      <c r="MZ9" s="280">
        <v>1061.9000000000001</v>
      </c>
      <c r="NA9" s="279" t="s">
        <v>16</v>
      </c>
      <c r="NB9" s="280">
        <v>1201.2</v>
      </c>
      <c r="NC9" s="280">
        <v>1224.8</v>
      </c>
      <c r="ND9" s="280">
        <v>1241.2</v>
      </c>
      <c r="NE9" s="280">
        <v>1225.3</v>
      </c>
      <c r="NF9" s="280">
        <v>1195.5999999999999</v>
      </c>
      <c r="NG9" s="280">
        <v>1208.2</v>
      </c>
      <c r="NH9" s="280">
        <v>1248.0999999999999</v>
      </c>
      <c r="NI9" s="280">
        <v>1239.4000000000001</v>
      </c>
      <c r="NJ9" s="280">
        <v>1211.8</v>
      </c>
      <c r="NK9" s="280">
        <v>1236.5</v>
      </c>
      <c r="NL9" s="279" t="s">
        <v>16</v>
      </c>
      <c r="NM9" s="280">
        <v>1905.6</v>
      </c>
      <c r="NN9" s="280">
        <v>1906.5</v>
      </c>
      <c r="NO9" s="280">
        <v>1554.8</v>
      </c>
      <c r="NP9" s="280">
        <v>1843.5</v>
      </c>
      <c r="NQ9" s="280">
        <v>1933.6</v>
      </c>
      <c r="NR9" s="280">
        <v>1906.2</v>
      </c>
      <c r="NS9" s="280">
        <v>1529.3</v>
      </c>
      <c r="NT9" s="280">
        <v>1874.8</v>
      </c>
      <c r="NU9" s="280">
        <v>1906.1</v>
      </c>
      <c r="NV9" s="280">
        <v>1950</v>
      </c>
      <c r="NW9" s="279" t="s">
        <v>16</v>
      </c>
      <c r="NX9" s="280">
        <v>2170.1999999999998</v>
      </c>
      <c r="NY9" s="280">
        <v>2236.1999999999998</v>
      </c>
      <c r="NZ9" s="280">
        <v>2393</v>
      </c>
      <c r="OA9" s="280">
        <v>2357.4</v>
      </c>
      <c r="OB9" s="280">
        <v>2310.1</v>
      </c>
      <c r="OC9" s="280">
        <v>2382.8000000000002</v>
      </c>
      <c r="OD9" s="280">
        <v>2444.1999999999998</v>
      </c>
      <c r="OE9" s="280">
        <v>2432</v>
      </c>
      <c r="OF9" s="280">
        <v>2384.6999999999998</v>
      </c>
      <c r="OG9" s="280">
        <v>2415.1</v>
      </c>
      <c r="OH9" s="296" t="s">
        <v>16</v>
      </c>
      <c r="OI9" s="297">
        <v>11.1</v>
      </c>
      <c r="OJ9" s="297">
        <v>11.6</v>
      </c>
      <c r="OK9" s="297">
        <v>11.7</v>
      </c>
      <c r="OL9" s="297">
        <v>10.9</v>
      </c>
      <c r="OM9" s="297">
        <v>10.3</v>
      </c>
      <c r="ON9" s="297">
        <v>10.6</v>
      </c>
      <c r="OO9" s="297">
        <v>10.7</v>
      </c>
      <c r="OP9" s="297">
        <v>10</v>
      </c>
      <c r="OQ9" s="297">
        <v>9.6</v>
      </c>
      <c r="OR9" s="297">
        <v>9.8000000000000007</v>
      </c>
      <c r="OS9" s="288" t="s">
        <v>16</v>
      </c>
      <c r="OT9" s="280">
        <v>-0.1</v>
      </c>
      <c r="OU9" s="280">
        <v>0.6</v>
      </c>
      <c r="OV9" s="280">
        <v>0.4</v>
      </c>
      <c r="OW9" s="280">
        <v>0.3</v>
      </c>
      <c r="OX9" s="280">
        <v>0.3</v>
      </c>
      <c r="OY9" s="280">
        <v>0.4</v>
      </c>
      <c r="OZ9" s="280">
        <v>0.3</v>
      </c>
      <c r="PA9" s="280">
        <v>0.6</v>
      </c>
      <c r="PB9" s="280">
        <v>1.3</v>
      </c>
      <c r="PC9" s="280">
        <v>0.8</v>
      </c>
    </row>
    <row r="10" spans="1:419">
      <c r="A10" s="269">
        <v>1</v>
      </c>
      <c r="B10" s="285" t="s">
        <v>35</v>
      </c>
      <c r="C10" s="286">
        <v>8.8000000000000007</v>
      </c>
      <c r="D10" s="286">
        <v>8.9</v>
      </c>
      <c r="E10" s="286">
        <v>9.6999999999999993</v>
      </c>
      <c r="F10" s="286">
        <v>9</v>
      </c>
      <c r="G10" s="286">
        <v>8.9</v>
      </c>
      <c r="H10" s="286">
        <v>8.6</v>
      </c>
      <c r="I10" s="286">
        <v>9.6</v>
      </c>
      <c r="J10" s="286">
        <v>8.9</v>
      </c>
      <c r="K10" s="286">
        <v>9</v>
      </c>
      <c r="L10" s="286">
        <v>9</v>
      </c>
      <c r="M10" s="285" t="s">
        <v>35</v>
      </c>
      <c r="N10" s="286">
        <v>309.60000000000002</v>
      </c>
      <c r="O10" s="286">
        <v>316.60000000000002</v>
      </c>
      <c r="P10" s="286">
        <v>351.3</v>
      </c>
      <c r="Q10" s="286">
        <v>325.8</v>
      </c>
      <c r="R10" s="286">
        <v>317.5</v>
      </c>
      <c r="S10" s="286">
        <v>313.5</v>
      </c>
      <c r="T10" s="286">
        <v>357.3</v>
      </c>
      <c r="U10" s="286">
        <v>326</v>
      </c>
      <c r="V10" s="286">
        <v>327.8</v>
      </c>
      <c r="W10" s="286">
        <v>336.2</v>
      </c>
      <c r="X10" s="285" t="s">
        <v>35</v>
      </c>
      <c r="Y10" s="286"/>
      <c r="Z10" s="286"/>
      <c r="AA10" s="286"/>
      <c r="AB10" s="286"/>
      <c r="AC10" s="286"/>
      <c r="AD10" s="286"/>
      <c r="AE10" s="286"/>
      <c r="AF10" s="286"/>
      <c r="AG10" s="286"/>
      <c r="AH10" s="286"/>
      <c r="AI10" s="279" t="s">
        <v>35</v>
      </c>
      <c r="AJ10" s="280">
        <v>23.5</v>
      </c>
      <c r="AK10" s="280">
        <v>27</v>
      </c>
      <c r="AL10" s="280">
        <v>60.2</v>
      </c>
      <c r="AM10" s="280">
        <v>26.2</v>
      </c>
      <c r="AN10" s="280">
        <v>27.4</v>
      </c>
      <c r="AO10" s="280">
        <v>26.7</v>
      </c>
      <c r="AP10" s="280">
        <v>67.400000000000006</v>
      </c>
      <c r="AQ10" s="280">
        <v>27.4</v>
      </c>
      <c r="AR10" s="280">
        <v>26.7</v>
      </c>
      <c r="AS10" s="280">
        <v>28.7</v>
      </c>
      <c r="AT10" s="279" t="s">
        <v>35</v>
      </c>
      <c r="AU10" s="280">
        <v>49.7</v>
      </c>
      <c r="AV10" s="280">
        <v>45.6</v>
      </c>
      <c r="AW10" s="280">
        <v>47.5</v>
      </c>
      <c r="AX10" s="280">
        <v>46.4</v>
      </c>
      <c r="AY10" s="280">
        <v>52</v>
      </c>
      <c r="AZ10" s="280">
        <v>45.4</v>
      </c>
      <c r="BA10" s="280">
        <v>47.3</v>
      </c>
      <c r="BB10" s="280">
        <v>42.9</v>
      </c>
      <c r="BC10" s="280">
        <v>53.8</v>
      </c>
      <c r="BD10" s="280">
        <v>48.7</v>
      </c>
      <c r="BE10" s="279" t="s">
        <v>35</v>
      </c>
      <c r="BF10" s="280">
        <v>63.1</v>
      </c>
      <c r="BG10" s="280">
        <v>80.400000000000006</v>
      </c>
      <c r="BH10" s="280">
        <v>74.7</v>
      </c>
      <c r="BI10" s="280">
        <v>77</v>
      </c>
      <c r="BJ10" s="280">
        <v>69.5</v>
      </c>
      <c r="BK10" s="280">
        <v>78.7</v>
      </c>
      <c r="BL10" s="280">
        <v>76.599999999999994</v>
      </c>
      <c r="BM10" s="280">
        <v>80.3</v>
      </c>
      <c r="BN10" s="280">
        <v>82.2</v>
      </c>
      <c r="BO10" s="280">
        <v>92.5</v>
      </c>
      <c r="BP10" s="282" t="s">
        <v>35</v>
      </c>
      <c r="BQ10" s="283">
        <v>23.6</v>
      </c>
      <c r="BR10" s="283">
        <v>22.1</v>
      </c>
      <c r="BS10" s="283">
        <v>23.6</v>
      </c>
      <c r="BT10" s="283">
        <v>25.400000000000002</v>
      </c>
      <c r="BU10" s="283">
        <v>25.2</v>
      </c>
      <c r="BV10" s="283">
        <v>28.2</v>
      </c>
      <c r="BW10" s="283">
        <v>25.7</v>
      </c>
      <c r="BX10" s="283">
        <v>30.9</v>
      </c>
      <c r="BY10" s="283">
        <v>29</v>
      </c>
      <c r="BZ10" s="283">
        <v>35.1</v>
      </c>
      <c r="CA10" s="282" t="s">
        <v>35</v>
      </c>
      <c r="CB10" s="283">
        <v>149.19999999999999</v>
      </c>
      <c r="CC10" s="283">
        <v>140.19999999999999</v>
      </c>
      <c r="CD10" s="283">
        <v>143.80000000000001</v>
      </c>
      <c r="CE10" s="283">
        <v>149.89999999999998</v>
      </c>
      <c r="CF10" s="283">
        <v>143.30000000000001</v>
      </c>
      <c r="CG10" s="283">
        <v>133.19999999999999</v>
      </c>
      <c r="CH10" s="283">
        <v>138.9</v>
      </c>
      <c r="CI10" s="283">
        <v>143.60000000000002</v>
      </c>
      <c r="CJ10" s="283">
        <v>135.30000000000001</v>
      </c>
      <c r="CK10" s="283">
        <v>130.5</v>
      </c>
      <c r="CL10" s="285" t="s">
        <v>35</v>
      </c>
      <c r="CM10" s="286">
        <v>117.8</v>
      </c>
      <c r="CN10" s="286">
        <v>116.3</v>
      </c>
      <c r="CO10" s="286">
        <v>138.5</v>
      </c>
      <c r="CP10" s="286">
        <v>120.5</v>
      </c>
      <c r="CQ10" s="286">
        <v>116.2</v>
      </c>
      <c r="CR10" s="286">
        <v>110.7</v>
      </c>
      <c r="CS10" s="286">
        <v>132</v>
      </c>
      <c r="CT10" s="286">
        <v>113.6</v>
      </c>
      <c r="CU10" s="286">
        <v>109.3</v>
      </c>
      <c r="CV10" s="286">
        <v>106.1</v>
      </c>
      <c r="CW10" s="285" t="s">
        <v>35</v>
      </c>
      <c r="CX10" s="286">
        <v>96.4</v>
      </c>
      <c r="CY10" s="286">
        <v>100.9</v>
      </c>
      <c r="CZ10" s="286">
        <v>117.4</v>
      </c>
      <c r="DA10" s="286">
        <v>102.6</v>
      </c>
      <c r="DB10" s="286">
        <v>98.3</v>
      </c>
      <c r="DC10" s="286">
        <v>98.7</v>
      </c>
      <c r="DD10" s="286">
        <v>114</v>
      </c>
      <c r="DE10" s="286">
        <v>105.5</v>
      </c>
      <c r="DF10" s="286">
        <v>105.3</v>
      </c>
      <c r="DG10" s="286">
        <v>112.9</v>
      </c>
      <c r="DH10" s="285" t="s">
        <v>35</v>
      </c>
      <c r="DI10" s="286">
        <v>95.5</v>
      </c>
      <c r="DJ10" s="286">
        <v>99.4</v>
      </c>
      <c r="DK10" s="286">
        <v>95.5</v>
      </c>
      <c r="DL10" s="286">
        <v>102.8</v>
      </c>
      <c r="DM10" s="286">
        <v>102.9</v>
      </c>
      <c r="DN10" s="286">
        <v>104.1</v>
      </c>
      <c r="DO10" s="286">
        <v>111.3</v>
      </c>
      <c r="DP10" s="286">
        <v>106.9</v>
      </c>
      <c r="DQ10" s="286">
        <v>113.2</v>
      </c>
      <c r="DR10" s="286">
        <v>117.3</v>
      </c>
      <c r="DS10" s="285" t="s">
        <v>35</v>
      </c>
      <c r="DT10" s="287"/>
      <c r="DU10" s="287"/>
      <c r="DV10" s="287"/>
      <c r="DW10" s="287"/>
      <c r="DX10" s="287"/>
      <c r="DY10" s="287"/>
      <c r="DZ10" s="287"/>
      <c r="EA10" s="287"/>
      <c r="EB10" s="287"/>
      <c r="EC10" s="287"/>
      <c r="ED10" s="279" t="s">
        <v>35</v>
      </c>
      <c r="EE10" s="280">
        <v>6.7</v>
      </c>
      <c r="EF10" s="280">
        <v>6.7</v>
      </c>
      <c r="EG10" s="280">
        <v>5.8</v>
      </c>
      <c r="EH10" s="280">
        <v>6.7</v>
      </c>
      <c r="EI10" s="280">
        <v>8</v>
      </c>
      <c r="EJ10" s="280">
        <v>6.8</v>
      </c>
      <c r="EK10" s="280"/>
      <c r="EL10" s="280">
        <v>7.3</v>
      </c>
      <c r="EM10" s="280">
        <v>8.1</v>
      </c>
      <c r="EN10" s="280">
        <v>5.8</v>
      </c>
      <c r="EO10" s="279" t="s">
        <v>35</v>
      </c>
      <c r="EP10" s="280">
        <v>68</v>
      </c>
      <c r="EQ10" s="280">
        <v>72.099999999999994</v>
      </c>
      <c r="ER10" s="280">
        <v>62.6</v>
      </c>
      <c r="ES10" s="280">
        <v>72.7</v>
      </c>
      <c r="ET10" s="280">
        <v>73.3</v>
      </c>
      <c r="EU10" s="280">
        <v>71.7</v>
      </c>
      <c r="EV10" s="280">
        <v>70.599999999999994</v>
      </c>
      <c r="EW10" s="280">
        <v>73.400000000000006</v>
      </c>
      <c r="EX10" s="280">
        <v>76.2</v>
      </c>
      <c r="EY10" s="280">
        <v>85.5</v>
      </c>
      <c r="EZ10" s="279" t="s">
        <v>35</v>
      </c>
      <c r="FA10" s="280">
        <v>53.6</v>
      </c>
      <c r="FB10" s="280">
        <v>54.7</v>
      </c>
      <c r="FC10" s="280">
        <v>59.9</v>
      </c>
      <c r="FD10" s="280">
        <v>61.5</v>
      </c>
      <c r="FE10" s="280">
        <v>59.4</v>
      </c>
      <c r="FF10" s="280">
        <v>58.2</v>
      </c>
      <c r="FG10" s="280">
        <v>61.4</v>
      </c>
      <c r="FH10" s="280">
        <v>58.5</v>
      </c>
      <c r="FI10" s="280">
        <v>62.9</v>
      </c>
      <c r="FJ10" s="280">
        <v>58.2</v>
      </c>
      <c r="FK10" s="279" t="s">
        <v>35</v>
      </c>
      <c r="FL10" s="280">
        <v>26.1</v>
      </c>
      <c r="FM10" s="280">
        <v>22.1</v>
      </c>
      <c r="FN10" s="280">
        <v>25.3</v>
      </c>
      <c r="FO10" s="280">
        <v>23.5</v>
      </c>
      <c r="FP10" s="280">
        <v>21.7</v>
      </c>
      <c r="FQ10" s="280">
        <v>23.3</v>
      </c>
      <c r="FR10" s="280">
        <v>33.4</v>
      </c>
      <c r="FS10" s="280">
        <v>24.9</v>
      </c>
      <c r="FT10" s="280">
        <v>27.1</v>
      </c>
      <c r="FU10" s="280">
        <v>24.3</v>
      </c>
      <c r="FV10" s="279" t="s">
        <v>35</v>
      </c>
      <c r="FW10" s="280">
        <v>70.3</v>
      </c>
      <c r="FX10" s="280">
        <v>68.3</v>
      </c>
      <c r="FY10" s="280">
        <v>84.9</v>
      </c>
      <c r="FZ10" s="280">
        <v>70.2</v>
      </c>
      <c r="GA10" s="280">
        <v>67.400000000000006</v>
      </c>
      <c r="GB10" s="280">
        <v>64.900000000000006</v>
      </c>
      <c r="GC10" s="280">
        <v>81</v>
      </c>
      <c r="GD10" s="280">
        <v>70.3</v>
      </c>
      <c r="GE10" s="280">
        <v>74</v>
      </c>
      <c r="GF10" s="280">
        <v>74.2</v>
      </c>
      <c r="GG10" s="279" t="s">
        <v>35</v>
      </c>
      <c r="GH10" s="281"/>
      <c r="GI10" s="281"/>
      <c r="GJ10" s="280"/>
      <c r="GK10" s="280"/>
      <c r="GL10" s="281"/>
      <c r="GM10" s="281"/>
      <c r="GN10" s="280"/>
      <c r="GO10" s="280"/>
      <c r="GP10" s="281"/>
      <c r="GQ10" s="281"/>
      <c r="GR10" s="279" t="s">
        <v>35</v>
      </c>
      <c r="GS10" s="280">
        <v>58.7</v>
      </c>
      <c r="GT10" s="280">
        <v>57.6</v>
      </c>
      <c r="GU10" s="280">
        <v>65.8</v>
      </c>
      <c r="GV10" s="280">
        <v>61.1</v>
      </c>
      <c r="GW10" s="280">
        <v>55.1</v>
      </c>
      <c r="GX10" s="280">
        <v>56</v>
      </c>
      <c r="GY10" s="280">
        <v>57.1</v>
      </c>
      <c r="GZ10" s="280">
        <v>60.9</v>
      </c>
      <c r="HA10" s="280">
        <v>51.6</v>
      </c>
      <c r="HB10" s="280">
        <v>52</v>
      </c>
      <c r="HC10" s="279" t="s">
        <v>35</v>
      </c>
      <c r="HD10" s="280">
        <v>7.6</v>
      </c>
      <c r="HE10" s="280">
        <v>9.5</v>
      </c>
      <c r="HF10" s="280">
        <v>12.6</v>
      </c>
      <c r="HG10" s="280">
        <v>9.1</v>
      </c>
      <c r="HH10" s="280">
        <v>10.9</v>
      </c>
      <c r="HI10" s="280">
        <v>8.6999999999999993</v>
      </c>
      <c r="HJ10" s="280">
        <v>10.1</v>
      </c>
      <c r="HK10" s="280">
        <v>9.6999999999999993</v>
      </c>
      <c r="HL10" s="280">
        <v>9.1</v>
      </c>
      <c r="HM10" s="280">
        <v>10.1</v>
      </c>
      <c r="HN10" s="279" t="s">
        <v>35</v>
      </c>
      <c r="HO10" s="280">
        <v>15.6</v>
      </c>
      <c r="HP10" s="280">
        <v>19.3</v>
      </c>
      <c r="HQ10" s="280">
        <v>26</v>
      </c>
      <c r="HR10" s="280">
        <v>16.100000000000001</v>
      </c>
      <c r="HS10" s="280">
        <v>20</v>
      </c>
      <c r="HT10" s="280">
        <v>20</v>
      </c>
      <c r="HU10" s="280">
        <v>29.5</v>
      </c>
      <c r="HV10" s="280">
        <v>17.600000000000001</v>
      </c>
      <c r="HW10" s="280">
        <v>17</v>
      </c>
      <c r="HX10" s="280">
        <v>18.5</v>
      </c>
      <c r="HY10" s="279" t="s">
        <v>35</v>
      </c>
      <c r="HZ10" s="281"/>
      <c r="IA10" s="281"/>
      <c r="IB10" s="281"/>
      <c r="IC10" s="281"/>
      <c r="ID10" s="281"/>
      <c r="IE10" s="281"/>
      <c r="IF10" s="281"/>
      <c r="IG10" s="281"/>
      <c r="IH10" s="281"/>
      <c r="II10" s="281"/>
      <c r="IJ10" s="279" t="s">
        <v>35</v>
      </c>
      <c r="IK10" s="281"/>
      <c r="IL10" s="281"/>
      <c r="IM10" s="281"/>
      <c r="IN10" s="281"/>
      <c r="IO10" s="281"/>
      <c r="IP10" s="281"/>
      <c r="IQ10" s="281"/>
      <c r="IR10" s="281"/>
      <c r="IS10" s="281"/>
      <c r="IT10" s="281"/>
      <c r="IU10" s="279" t="s">
        <v>35</v>
      </c>
      <c r="IV10" s="280"/>
      <c r="IW10" s="280">
        <v>4.9000000000000004</v>
      </c>
      <c r="IX10" s="280">
        <v>4.9000000000000004</v>
      </c>
      <c r="IY10" s="280"/>
      <c r="IZ10" s="280"/>
      <c r="JA10" s="280"/>
      <c r="JB10" s="280">
        <v>4.0999999999999996</v>
      </c>
      <c r="JC10" s="280"/>
      <c r="JD10" s="280"/>
      <c r="JE10" s="280"/>
      <c r="JF10" s="279" t="s">
        <v>35</v>
      </c>
      <c r="JG10" s="280">
        <v>41.8</v>
      </c>
      <c r="JH10" s="280">
        <v>39.4</v>
      </c>
      <c r="JI10" s="280">
        <v>50.7</v>
      </c>
      <c r="JJ10" s="280">
        <v>45.2</v>
      </c>
      <c r="JK10" s="280">
        <v>41.4</v>
      </c>
      <c r="JL10" s="280">
        <v>35.5</v>
      </c>
      <c r="JM10" s="280">
        <v>45.7</v>
      </c>
      <c r="JN10" s="280">
        <v>38.799999999999997</v>
      </c>
      <c r="JO10" s="280">
        <v>37</v>
      </c>
      <c r="JP10" s="280">
        <v>40.6</v>
      </c>
      <c r="JQ10" s="279" t="s">
        <v>35</v>
      </c>
      <c r="JR10" s="280">
        <v>27.6</v>
      </c>
      <c r="JS10" s="280">
        <v>35.4</v>
      </c>
      <c r="JT10" s="280">
        <v>40.9</v>
      </c>
      <c r="JU10" s="280">
        <v>33</v>
      </c>
      <c r="JV10" s="280">
        <v>29.9</v>
      </c>
      <c r="JW10" s="280">
        <v>34.299999999999997</v>
      </c>
      <c r="JX10" s="280">
        <v>36.6</v>
      </c>
      <c r="JY10" s="280">
        <v>37</v>
      </c>
      <c r="JZ10" s="280">
        <v>27.1</v>
      </c>
      <c r="KA10" s="280">
        <v>29.4</v>
      </c>
      <c r="KB10" s="279" t="s">
        <v>35</v>
      </c>
      <c r="KC10" s="280">
        <v>42</v>
      </c>
      <c r="KD10" s="280">
        <v>42.2</v>
      </c>
      <c r="KE10" s="280">
        <v>54.3</v>
      </c>
      <c r="KF10" s="280">
        <v>44.8</v>
      </c>
      <c r="KG10" s="280">
        <v>49.6</v>
      </c>
      <c r="KH10" s="280">
        <v>53.4</v>
      </c>
      <c r="KI10" s="280">
        <v>47.3</v>
      </c>
      <c r="KJ10" s="280">
        <v>54</v>
      </c>
      <c r="KK10" s="280">
        <v>50.9</v>
      </c>
      <c r="KL10" s="280">
        <v>57.7</v>
      </c>
      <c r="KM10" s="279" t="s">
        <v>35</v>
      </c>
      <c r="KN10" s="280">
        <v>10.4</v>
      </c>
      <c r="KO10" s="280">
        <v>8.9</v>
      </c>
      <c r="KP10" s="280">
        <v>9.9</v>
      </c>
      <c r="KQ10" s="280">
        <v>10.7</v>
      </c>
      <c r="KR10" s="280">
        <v>11.2</v>
      </c>
      <c r="KS10" s="280">
        <v>11.6</v>
      </c>
      <c r="KT10" s="280">
        <v>13.7</v>
      </c>
      <c r="KU10" s="280">
        <v>11.2</v>
      </c>
      <c r="KV10" s="280">
        <v>9.1999999999999993</v>
      </c>
      <c r="KW10" s="280">
        <v>8.8000000000000007</v>
      </c>
      <c r="KX10" s="279" t="s">
        <v>35</v>
      </c>
      <c r="KY10" s="280">
        <v>29</v>
      </c>
      <c r="KZ10" s="280">
        <v>26.3</v>
      </c>
      <c r="LA10" s="280">
        <v>39.299999999999997</v>
      </c>
      <c r="LB10" s="280">
        <v>24.4</v>
      </c>
      <c r="LC10" s="280">
        <v>32.1</v>
      </c>
      <c r="LD10" s="280">
        <v>26.4</v>
      </c>
      <c r="LE10" s="280">
        <v>43.6</v>
      </c>
      <c r="LF10" s="280">
        <v>27.2</v>
      </c>
      <c r="LG10" s="280">
        <v>38.9</v>
      </c>
      <c r="LH10" s="280">
        <v>35.1</v>
      </c>
      <c r="LI10" s="279" t="s">
        <v>35</v>
      </c>
      <c r="LJ10" s="280">
        <v>8.1</v>
      </c>
      <c r="LK10" s="280">
        <v>5.6</v>
      </c>
      <c r="LL10" s="280"/>
      <c r="LM10" s="280">
        <v>4.9000000000000004</v>
      </c>
      <c r="LN10" s="280">
        <v>5.4</v>
      </c>
      <c r="LO10" s="281">
        <v>4.9000000000000004</v>
      </c>
      <c r="LP10" s="280">
        <v>5.3</v>
      </c>
      <c r="LQ10" s="281">
        <v>6.3</v>
      </c>
      <c r="LR10" s="281">
        <v>6.8</v>
      </c>
      <c r="LS10" s="280">
        <v>5.4</v>
      </c>
      <c r="LT10" s="279" t="s">
        <v>35</v>
      </c>
      <c r="LU10" s="281">
        <v>5.4</v>
      </c>
      <c r="LV10" s="281">
        <v>5.8</v>
      </c>
      <c r="LW10" s="281"/>
      <c r="LX10" s="281">
        <v>5.2</v>
      </c>
      <c r="LY10" s="281">
        <v>4.8</v>
      </c>
      <c r="LZ10" s="281"/>
      <c r="MA10" s="281">
        <v>7.3</v>
      </c>
      <c r="MB10" s="281">
        <v>4.8</v>
      </c>
      <c r="MC10" s="281">
        <v>5</v>
      </c>
      <c r="MD10" s="281"/>
      <c r="ME10" s="279" t="s">
        <v>35</v>
      </c>
      <c r="MF10" s="281">
        <v>12</v>
      </c>
      <c r="MG10" s="280">
        <v>10.6</v>
      </c>
      <c r="MH10" s="281">
        <v>11.9</v>
      </c>
      <c r="MI10" s="281">
        <v>11.1</v>
      </c>
      <c r="MJ10" s="281">
        <v>10.9</v>
      </c>
      <c r="MK10" s="281">
        <v>13.4</v>
      </c>
      <c r="ML10" s="281">
        <v>14.1</v>
      </c>
      <c r="MM10" s="280">
        <v>13.5</v>
      </c>
      <c r="MN10" s="281">
        <v>12.9</v>
      </c>
      <c r="MO10" s="281">
        <v>15</v>
      </c>
      <c r="MP10" s="279" t="s">
        <v>35</v>
      </c>
      <c r="MQ10" s="281">
        <v>7.4</v>
      </c>
      <c r="MR10" s="280">
        <v>7.2</v>
      </c>
      <c r="MS10" s="280">
        <v>8.5</v>
      </c>
      <c r="MT10" s="280">
        <v>5</v>
      </c>
      <c r="MU10" s="280">
        <v>5.6</v>
      </c>
      <c r="MV10" s="280">
        <v>7.5</v>
      </c>
      <c r="MW10" s="281">
        <v>9.5</v>
      </c>
      <c r="MX10" s="280">
        <v>7.6</v>
      </c>
      <c r="MY10" s="280">
        <v>9.6999999999999993</v>
      </c>
      <c r="MZ10" s="280">
        <v>11.2</v>
      </c>
      <c r="NA10" s="279" t="s">
        <v>35</v>
      </c>
      <c r="NB10" s="280">
        <v>18.100000000000001</v>
      </c>
      <c r="NC10" s="280">
        <v>17</v>
      </c>
      <c r="ND10" s="280">
        <v>22.1</v>
      </c>
      <c r="NE10" s="280">
        <v>21.6</v>
      </c>
      <c r="NF10" s="280">
        <v>19.8</v>
      </c>
      <c r="NG10" s="280">
        <v>22.6</v>
      </c>
      <c r="NH10" s="280">
        <v>28.1</v>
      </c>
      <c r="NI10" s="280">
        <v>22.6</v>
      </c>
      <c r="NJ10" s="280">
        <v>18.2</v>
      </c>
      <c r="NK10" s="280">
        <v>19.8</v>
      </c>
      <c r="NL10" s="279" t="s">
        <v>35</v>
      </c>
      <c r="NM10" s="280">
        <v>49.7</v>
      </c>
      <c r="NN10" s="280">
        <v>53.5</v>
      </c>
      <c r="NO10" s="280">
        <v>44.2</v>
      </c>
      <c r="NP10" s="280">
        <v>50.9</v>
      </c>
      <c r="NQ10" s="280">
        <v>53.1</v>
      </c>
      <c r="NR10" s="280">
        <v>47.2</v>
      </c>
      <c r="NS10" s="280">
        <v>43.5</v>
      </c>
      <c r="NT10" s="280">
        <v>48.6</v>
      </c>
      <c r="NU10" s="280">
        <v>56.1</v>
      </c>
      <c r="NV10" s="280">
        <v>59</v>
      </c>
      <c r="NW10" s="279" t="s">
        <v>35</v>
      </c>
      <c r="NX10" s="280">
        <v>36.1</v>
      </c>
      <c r="NY10" s="280">
        <v>37.5</v>
      </c>
      <c r="NZ10" s="281">
        <v>33.9</v>
      </c>
      <c r="OA10" s="280">
        <v>38.200000000000003</v>
      </c>
      <c r="OB10" s="280">
        <v>33.200000000000003</v>
      </c>
      <c r="OC10" s="280">
        <v>36.6</v>
      </c>
      <c r="OD10" s="281">
        <v>35.4</v>
      </c>
      <c r="OE10" s="281">
        <v>38.299999999999997</v>
      </c>
      <c r="OF10" s="280">
        <v>36.299999999999997</v>
      </c>
      <c r="OG10" s="280">
        <v>36.5</v>
      </c>
      <c r="OH10" s="296" t="s">
        <v>35</v>
      </c>
      <c r="OI10" s="297">
        <v>5.6</v>
      </c>
      <c r="OJ10" s="297">
        <v>5.6</v>
      </c>
      <c r="OK10" s="297">
        <v>5.8</v>
      </c>
      <c r="OL10" s="297">
        <v>5.8</v>
      </c>
      <c r="OM10" s="297">
        <v>5.6</v>
      </c>
      <c r="ON10" s="297">
        <v>5.7</v>
      </c>
      <c r="OO10" s="297">
        <v>6.3</v>
      </c>
      <c r="OP10" s="297">
        <v>6.1</v>
      </c>
      <c r="OQ10" s="297">
        <v>6.1</v>
      </c>
      <c r="OR10" s="297">
        <v>5.6</v>
      </c>
      <c r="OS10" s="279" t="s">
        <v>35</v>
      </c>
      <c r="OT10" s="280">
        <v>0.4</v>
      </c>
      <c r="OU10" s="280">
        <v>0.5</v>
      </c>
      <c r="OV10" s="280">
        <v>0.1</v>
      </c>
      <c r="OW10" s="280">
        <v>0.5</v>
      </c>
      <c r="OX10" s="280">
        <v>0.3</v>
      </c>
      <c r="OY10" s="280">
        <v>0.7</v>
      </c>
      <c r="OZ10" s="280">
        <v>0.1</v>
      </c>
      <c r="PA10" s="280">
        <v>0.3</v>
      </c>
      <c r="PB10" s="280">
        <v>0.7</v>
      </c>
      <c r="PC10" s="280">
        <v>0.5</v>
      </c>
    </row>
    <row r="11" spans="1:419">
      <c r="A11" s="269">
        <v>2</v>
      </c>
      <c r="B11" s="285" t="s">
        <v>17</v>
      </c>
      <c r="C11" s="286">
        <v>9.3000000000000007</v>
      </c>
      <c r="D11" s="286">
        <v>8.9</v>
      </c>
      <c r="E11" s="286">
        <v>9</v>
      </c>
      <c r="F11" s="286">
        <v>8.6999999999999993</v>
      </c>
      <c r="G11" s="286">
        <v>8.9</v>
      </c>
      <c r="H11" s="286">
        <v>9.1999999999999993</v>
      </c>
      <c r="I11" s="286">
        <v>8.9</v>
      </c>
      <c r="J11" s="286">
        <v>9.6</v>
      </c>
      <c r="K11" s="286">
        <v>9.3000000000000007</v>
      </c>
      <c r="L11" s="286">
        <v>9.6999999999999993</v>
      </c>
      <c r="M11" s="285" t="s">
        <v>17</v>
      </c>
      <c r="N11" s="286">
        <v>355.4</v>
      </c>
      <c r="O11" s="286">
        <v>339.5</v>
      </c>
      <c r="P11" s="286">
        <v>349.9</v>
      </c>
      <c r="Q11" s="286">
        <v>336.7</v>
      </c>
      <c r="R11" s="286">
        <v>341</v>
      </c>
      <c r="S11" s="286">
        <v>356</v>
      </c>
      <c r="T11" s="286">
        <v>345.2</v>
      </c>
      <c r="U11" s="286">
        <v>381.8</v>
      </c>
      <c r="V11" s="286">
        <v>361.9</v>
      </c>
      <c r="W11" s="286">
        <v>383.8</v>
      </c>
      <c r="X11" s="285" t="s">
        <v>17</v>
      </c>
      <c r="Y11" s="286">
        <v>87.7</v>
      </c>
      <c r="Z11" s="286">
        <v>73.099999999999994</v>
      </c>
      <c r="AA11" s="286">
        <v>84.3</v>
      </c>
      <c r="AB11" s="286">
        <v>77.900000000000006</v>
      </c>
      <c r="AC11" s="286">
        <v>93.6</v>
      </c>
      <c r="AD11" s="286">
        <v>91.7</v>
      </c>
      <c r="AE11" s="286">
        <v>92</v>
      </c>
      <c r="AF11" s="286">
        <v>90</v>
      </c>
      <c r="AG11" s="286">
        <v>79.3</v>
      </c>
      <c r="AH11" s="286">
        <v>79.3</v>
      </c>
      <c r="AI11" s="279" t="s">
        <v>17</v>
      </c>
      <c r="AJ11" s="280">
        <v>37.799999999999997</v>
      </c>
      <c r="AK11" s="280">
        <v>42.3</v>
      </c>
      <c r="AL11" s="280">
        <v>47.8</v>
      </c>
      <c r="AM11" s="280">
        <v>47</v>
      </c>
      <c r="AN11" s="280">
        <v>34.9</v>
      </c>
      <c r="AO11" s="280">
        <v>37.1</v>
      </c>
      <c r="AP11" s="280">
        <v>53.6</v>
      </c>
      <c r="AQ11" s="280">
        <v>50.5</v>
      </c>
      <c r="AR11" s="280">
        <v>45.4</v>
      </c>
      <c r="AS11" s="280">
        <v>52.3</v>
      </c>
      <c r="AT11" s="279" t="s">
        <v>17</v>
      </c>
      <c r="AU11" s="280">
        <v>54.7</v>
      </c>
      <c r="AV11" s="280">
        <v>58.1</v>
      </c>
      <c r="AW11" s="280">
        <v>59.8</v>
      </c>
      <c r="AX11" s="280">
        <v>50.3</v>
      </c>
      <c r="AY11" s="280">
        <v>47.3</v>
      </c>
      <c r="AZ11" s="280">
        <v>66.5</v>
      </c>
      <c r="BA11" s="280">
        <v>55</v>
      </c>
      <c r="BB11" s="280">
        <v>64</v>
      </c>
      <c r="BC11" s="280">
        <v>56.7</v>
      </c>
      <c r="BD11" s="280">
        <v>66.2</v>
      </c>
      <c r="BE11" s="279" t="s">
        <v>17</v>
      </c>
      <c r="BF11" s="280">
        <v>102.9</v>
      </c>
      <c r="BG11" s="280">
        <v>104.3</v>
      </c>
      <c r="BH11" s="280">
        <v>99.6</v>
      </c>
      <c r="BI11" s="280">
        <v>109.1</v>
      </c>
      <c r="BJ11" s="280">
        <v>106.7</v>
      </c>
      <c r="BK11" s="280">
        <v>104.5</v>
      </c>
      <c r="BL11" s="280">
        <v>94.1</v>
      </c>
      <c r="BM11" s="280">
        <v>111.6</v>
      </c>
      <c r="BN11" s="280">
        <v>110.1</v>
      </c>
      <c r="BO11" s="280">
        <v>116.4</v>
      </c>
      <c r="BP11" s="282" t="s">
        <v>17</v>
      </c>
      <c r="BQ11" s="283">
        <v>24.7</v>
      </c>
      <c r="BR11" s="283">
        <v>26.7</v>
      </c>
      <c r="BS11" s="283">
        <v>22.6</v>
      </c>
      <c r="BT11" s="283">
        <v>21.3</v>
      </c>
      <c r="BU11" s="283">
        <v>27.799999999999997</v>
      </c>
      <c r="BV11" s="283">
        <v>19.8</v>
      </c>
      <c r="BW11" s="283">
        <v>20.3</v>
      </c>
      <c r="BX11" s="283">
        <v>23.5</v>
      </c>
      <c r="BY11" s="283">
        <v>27.400000000000002</v>
      </c>
      <c r="BZ11" s="283">
        <v>25.400000000000002</v>
      </c>
      <c r="CA11" s="282" t="s">
        <v>17</v>
      </c>
      <c r="CB11" s="283">
        <v>47.6</v>
      </c>
      <c r="CC11" s="283">
        <v>35</v>
      </c>
      <c r="CD11" s="283">
        <v>35.700000000000003</v>
      </c>
      <c r="CE11" s="283">
        <v>31.299999999999997</v>
      </c>
      <c r="CF11" s="283">
        <v>30.5</v>
      </c>
      <c r="CG11" s="283">
        <v>36.5</v>
      </c>
      <c r="CH11" s="283">
        <v>30.3</v>
      </c>
      <c r="CI11" s="283">
        <v>42.1</v>
      </c>
      <c r="CJ11" s="283">
        <v>43</v>
      </c>
      <c r="CK11" s="283">
        <v>44.099999999999994</v>
      </c>
      <c r="CL11" s="285" t="s">
        <v>17</v>
      </c>
      <c r="CM11" s="286">
        <v>73.8</v>
      </c>
      <c r="CN11" s="286">
        <v>73.099999999999994</v>
      </c>
      <c r="CO11" s="286">
        <v>81.3</v>
      </c>
      <c r="CP11" s="286">
        <v>76.8</v>
      </c>
      <c r="CQ11" s="286">
        <v>77.3</v>
      </c>
      <c r="CR11" s="286">
        <v>85.2</v>
      </c>
      <c r="CS11" s="286">
        <v>75.8</v>
      </c>
      <c r="CT11" s="286">
        <v>79.099999999999994</v>
      </c>
      <c r="CU11" s="286">
        <v>75.7</v>
      </c>
      <c r="CV11" s="286">
        <v>90.7</v>
      </c>
      <c r="CW11" s="285" t="s">
        <v>17</v>
      </c>
      <c r="CX11" s="286">
        <v>135.4</v>
      </c>
      <c r="CY11" s="286">
        <v>141.1</v>
      </c>
      <c r="CZ11" s="286">
        <v>136.30000000000001</v>
      </c>
      <c r="DA11" s="286">
        <v>126.3</v>
      </c>
      <c r="DB11" s="286">
        <v>129.19999999999999</v>
      </c>
      <c r="DC11" s="286">
        <v>141.80000000000001</v>
      </c>
      <c r="DD11" s="286">
        <v>141.69999999999999</v>
      </c>
      <c r="DE11" s="286">
        <v>153</v>
      </c>
      <c r="DF11" s="286">
        <v>135.4</v>
      </c>
      <c r="DG11" s="286">
        <v>141.30000000000001</v>
      </c>
      <c r="DH11" s="285" t="s">
        <v>17</v>
      </c>
      <c r="DI11" s="286">
        <v>146.19999999999999</v>
      </c>
      <c r="DJ11" s="286">
        <v>125.2</v>
      </c>
      <c r="DK11" s="286">
        <v>132.19999999999999</v>
      </c>
      <c r="DL11" s="286">
        <v>133.5</v>
      </c>
      <c r="DM11" s="286">
        <v>134.4</v>
      </c>
      <c r="DN11" s="286">
        <v>129.1</v>
      </c>
      <c r="DO11" s="286">
        <v>127.7</v>
      </c>
      <c r="DP11" s="286">
        <v>149.69999999999999</v>
      </c>
      <c r="DQ11" s="286">
        <v>150.80000000000001</v>
      </c>
      <c r="DR11" s="286">
        <v>151.69999999999999</v>
      </c>
      <c r="DS11" s="285" t="s">
        <v>17</v>
      </c>
      <c r="DT11" s="287"/>
      <c r="DU11" s="287"/>
      <c r="DV11" s="287"/>
      <c r="DW11" s="287"/>
      <c r="DX11" s="287"/>
      <c r="DY11" s="287"/>
      <c r="DZ11" s="287"/>
      <c r="EA11" s="287"/>
      <c r="EB11" s="287"/>
      <c r="EC11" s="287"/>
      <c r="ED11" s="279" t="s">
        <v>17</v>
      </c>
      <c r="EE11" s="281">
        <v>6.2</v>
      </c>
      <c r="EF11" s="280">
        <v>4.3</v>
      </c>
      <c r="EG11" s="280">
        <v>5.9</v>
      </c>
      <c r="EH11" s="280">
        <v>6.9</v>
      </c>
      <c r="EI11" s="280">
        <v>6.6</v>
      </c>
      <c r="EJ11" s="280">
        <v>6</v>
      </c>
      <c r="EK11" s="280">
        <v>6.5</v>
      </c>
      <c r="EL11" s="281">
        <v>7.2</v>
      </c>
      <c r="EM11" s="280">
        <v>7.1</v>
      </c>
      <c r="EN11" s="280">
        <v>7.8</v>
      </c>
      <c r="EO11" s="279" t="s">
        <v>17</v>
      </c>
      <c r="EP11" s="280">
        <v>98.9</v>
      </c>
      <c r="EQ11" s="280">
        <v>82.1</v>
      </c>
      <c r="ER11" s="280">
        <v>80.900000000000006</v>
      </c>
      <c r="ES11" s="280">
        <v>93.1</v>
      </c>
      <c r="ET11" s="280">
        <v>83.6</v>
      </c>
      <c r="EU11" s="280">
        <v>83.8</v>
      </c>
      <c r="EV11" s="280">
        <v>80.3</v>
      </c>
      <c r="EW11" s="280">
        <v>95.3</v>
      </c>
      <c r="EX11" s="280">
        <v>94.9</v>
      </c>
      <c r="EY11" s="280">
        <v>96.9</v>
      </c>
      <c r="EZ11" s="279" t="s">
        <v>17</v>
      </c>
      <c r="FA11" s="280">
        <v>30</v>
      </c>
      <c r="FB11" s="280">
        <v>22.7</v>
      </c>
      <c r="FC11" s="280">
        <v>32.4</v>
      </c>
      <c r="FD11" s="280">
        <v>37.299999999999997</v>
      </c>
      <c r="FE11" s="280">
        <v>24.5</v>
      </c>
      <c r="FF11" s="280">
        <v>25.7</v>
      </c>
      <c r="FG11" s="280">
        <v>29.3</v>
      </c>
      <c r="FH11" s="280">
        <v>31.5</v>
      </c>
      <c r="FI11" s="280">
        <v>34.5</v>
      </c>
      <c r="FJ11" s="280">
        <v>32.299999999999997</v>
      </c>
      <c r="FK11" s="279" t="s">
        <v>17</v>
      </c>
      <c r="FL11" s="280">
        <v>33.9</v>
      </c>
      <c r="FM11" s="280">
        <v>32.799999999999997</v>
      </c>
      <c r="FN11" s="280">
        <v>29.3</v>
      </c>
      <c r="FO11" s="280">
        <v>19.399999999999999</v>
      </c>
      <c r="FP11" s="280">
        <v>31.2</v>
      </c>
      <c r="FQ11" s="280">
        <v>29.5</v>
      </c>
      <c r="FR11" s="280">
        <v>32.799999999999997</v>
      </c>
      <c r="FS11" s="280">
        <v>32.200000000000003</v>
      </c>
      <c r="FT11" s="280">
        <v>33.299999999999997</v>
      </c>
      <c r="FU11" s="280">
        <v>36</v>
      </c>
      <c r="FV11" s="279" t="s">
        <v>17</v>
      </c>
      <c r="FW11" s="280">
        <v>55.4</v>
      </c>
      <c r="FX11" s="280">
        <v>70</v>
      </c>
      <c r="FY11" s="280">
        <v>66.099999999999994</v>
      </c>
      <c r="FZ11" s="280">
        <v>65.400000000000006</v>
      </c>
      <c r="GA11" s="280">
        <v>71.599999999999994</v>
      </c>
      <c r="GB11" s="280">
        <v>78.5</v>
      </c>
      <c r="GC11" s="280">
        <v>72.5</v>
      </c>
      <c r="GD11" s="280">
        <v>70.099999999999994</v>
      </c>
      <c r="GE11" s="280">
        <v>70</v>
      </c>
      <c r="GF11" s="280">
        <v>80.5</v>
      </c>
      <c r="GG11" s="279" t="s">
        <v>17</v>
      </c>
      <c r="GH11" s="281"/>
      <c r="GI11" s="281">
        <v>7.6</v>
      </c>
      <c r="GJ11" s="281">
        <v>7.4</v>
      </c>
      <c r="GK11" s="281"/>
      <c r="GL11" s="281"/>
      <c r="GM11" s="281">
        <v>4.2</v>
      </c>
      <c r="GN11" s="281">
        <v>7</v>
      </c>
      <c r="GO11" s="281"/>
      <c r="GP11" s="281"/>
      <c r="GQ11" s="281">
        <v>4.8</v>
      </c>
      <c r="GR11" s="279" t="s">
        <v>17</v>
      </c>
      <c r="GS11" s="280">
        <v>25.7</v>
      </c>
      <c r="GT11" s="280">
        <v>31.5</v>
      </c>
      <c r="GU11" s="280">
        <v>35.700000000000003</v>
      </c>
      <c r="GV11" s="280">
        <v>27</v>
      </c>
      <c r="GW11" s="280">
        <v>26.9</v>
      </c>
      <c r="GX11" s="280">
        <v>31.5</v>
      </c>
      <c r="GY11" s="280">
        <v>31.4</v>
      </c>
      <c r="GZ11" s="280">
        <v>39.200000000000003</v>
      </c>
      <c r="HA11" s="280">
        <v>33.9</v>
      </c>
      <c r="HB11" s="280">
        <v>32.9</v>
      </c>
      <c r="HC11" s="279" t="s">
        <v>17</v>
      </c>
      <c r="HD11" s="280">
        <v>33.700000000000003</v>
      </c>
      <c r="HE11" s="280">
        <v>27.4</v>
      </c>
      <c r="HF11" s="280">
        <v>23.5</v>
      </c>
      <c r="HG11" s="280">
        <v>27.8</v>
      </c>
      <c r="HH11" s="280">
        <v>28.7</v>
      </c>
      <c r="HI11" s="280">
        <v>31.6</v>
      </c>
      <c r="HJ11" s="280">
        <v>27.8</v>
      </c>
      <c r="HK11" s="280">
        <v>35.299999999999997</v>
      </c>
      <c r="HL11" s="280">
        <v>27.4</v>
      </c>
      <c r="HM11" s="280">
        <v>30.1</v>
      </c>
      <c r="HN11" s="279" t="s">
        <v>17</v>
      </c>
      <c r="HO11" s="280">
        <v>68.400000000000006</v>
      </c>
      <c r="HP11" s="280">
        <v>63.3</v>
      </c>
      <c r="HQ11" s="280">
        <v>73.099999999999994</v>
      </c>
      <c r="HR11" s="280">
        <v>56.9</v>
      </c>
      <c r="HS11" s="280">
        <v>65.3</v>
      </c>
      <c r="HT11" s="280">
        <v>66</v>
      </c>
      <c r="HU11" s="280">
        <v>62</v>
      </c>
      <c r="HV11" s="280">
        <v>69.2</v>
      </c>
      <c r="HW11" s="280">
        <v>55.8</v>
      </c>
      <c r="HX11" s="280">
        <v>62.7</v>
      </c>
      <c r="HY11" s="279" t="s">
        <v>17</v>
      </c>
      <c r="HZ11" s="281"/>
      <c r="IA11" s="281"/>
      <c r="IB11" s="281"/>
      <c r="IC11" s="281"/>
      <c r="ID11" s="281"/>
      <c r="IE11" s="281"/>
      <c r="IF11" s="281"/>
      <c r="IG11" s="281"/>
      <c r="IH11" s="281"/>
      <c r="II11" s="281"/>
      <c r="IJ11" s="279" t="s">
        <v>17</v>
      </c>
      <c r="IK11" s="281"/>
      <c r="IL11" s="281"/>
      <c r="IM11" s="281"/>
      <c r="IN11" s="281"/>
      <c r="IO11" s="281"/>
      <c r="IP11" s="281"/>
      <c r="IQ11" s="281"/>
      <c r="IR11" s="281"/>
      <c r="IS11" s="281"/>
      <c r="IT11" s="281"/>
      <c r="IU11" s="279" t="s">
        <v>17</v>
      </c>
      <c r="IV11" s="281"/>
      <c r="IW11" s="280"/>
      <c r="IX11" s="281"/>
      <c r="IY11" s="281"/>
      <c r="IZ11" s="280"/>
      <c r="JA11" s="280"/>
      <c r="JB11" s="281"/>
      <c r="JC11" s="281"/>
      <c r="JD11" s="281"/>
      <c r="JE11" s="280">
        <v>5.3</v>
      </c>
      <c r="JF11" s="279" t="s">
        <v>17</v>
      </c>
      <c r="JG11" s="280">
        <v>51.4</v>
      </c>
      <c r="JH11" s="280">
        <v>37</v>
      </c>
      <c r="JI11" s="280">
        <v>42.2</v>
      </c>
      <c r="JJ11" s="280">
        <v>37.1</v>
      </c>
      <c r="JK11" s="280">
        <v>34.200000000000003</v>
      </c>
      <c r="JL11" s="280">
        <v>42.8</v>
      </c>
      <c r="JM11" s="280">
        <v>35.700000000000003</v>
      </c>
      <c r="JN11" s="280">
        <v>45.2</v>
      </c>
      <c r="JO11" s="280">
        <v>37.700000000000003</v>
      </c>
      <c r="JP11" s="280">
        <v>37.799999999999997</v>
      </c>
      <c r="JQ11" s="279" t="s">
        <v>17</v>
      </c>
      <c r="JR11" s="280">
        <v>8.6999999999999993</v>
      </c>
      <c r="JS11" s="280">
        <v>16.600000000000001</v>
      </c>
      <c r="JT11" s="280">
        <v>12.5</v>
      </c>
      <c r="JU11" s="280">
        <v>13.8</v>
      </c>
      <c r="JV11" s="280">
        <v>13.4</v>
      </c>
      <c r="JW11" s="280">
        <v>13.2</v>
      </c>
      <c r="JX11" s="280">
        <v>15.3</v>
      </c>
      <c r="JY11" s="280">
        <v>16.3</v>
      </c>
      <c r="JZ11" s="280">
        <v>19.3</v>
      </c>
      <c r="KA11" s="280">
        <v>14.8</v>
      </c>
      <c r="KB11" s="279" t="s">
        <v>17</v>
      </c>
      <c r="KC11" s="280">
        <v>38.6</v>
      </c>
      <c r="KD11" s="280">
        <v>39</v>
      </c>
      <c r="KE11" s="280">
        <v>45.8</v>
      </c>
      <c r="KF11" s="280">
        <v>47.5</v>
      </c>
      <c r="KG11" s="280">
        <v>38.700000000000003</v>
      </c>
      <c r="KH11" s="280">
        <v>37.200000000000003</v>
      </c>
      <c r="KI11" s="280">
        <v>43.6</v>
      </c>
      <c r="KJ11" s="280">
        <v>43.1</v>
      </c>
      <c r="KK11" s="280">
        <v>41.9</v>
      </c>
      <c r="KL11" s="280">
        <v>38.4</v>
      </c>
      <c r="KM11" s="279" t="s">
        <v>17</v>
      </c>
      <c r="KN11" s="280">
        <v>15.3</v>
      </c>
      <c r="KO11" s="280">
        <v>17.3</v>
      </c>
      <c r="KP11" s="280">
        <v>8.6</v>
      </c>
      <c r="KQ11" s="280">
        <v>10.199999999999999</v>
      </c>
      <c r="KR11" s="280">
        <v>18.7</v>
      </c>
      <c r="KS11" s="280">
        <v>15.2</v>
      </c>
      <c r="KT11" s="280">
        <v>17.399999999999999</v>
      </c>
      <c r="KU11" s="280">
        <v>14.8</v>
      </c>
      <c r="KV11" s="280">
        <v>17.399999999999999</v>
      </c>
      <c r="KW11" s="280">
        <v>15.5</v>
      </c>
      <c r="KX11" s="279" t="s">
        <v>17</v>
      </c>
      <c r="KY11" s="280">
        <v>9.4</v>
      </c>
      <c r="KZ11" s="280">
        <v>20</v>
      </c>
      <c r="LA11" s="280">
        <v>18</v>
      </c>
      <c r="LB11" s="280">
        <v>15.7</v>
      </c>
      <c r="LC11" s="280">
        <v>29.5</v>
      </c>
      <c r="LD11" s="280">
        <v>23.3</v>
      </c>
      <c r="LE11" s="280">
        <v>20.399999999999999</v>
      </c>
      <c r="LF11" s="280">
        <v>19.7</v>
      </c>
      <c r="LG11" s="280">
        <v>19.2</v>
      </c>
      <c r="LH11" s="280">
        <v>23.9</v>
      </c>
      <c r="LI11" s="279" t="s">
        <v>17</v>
      </c>
      <c r="LJ11" s="280">
        <v>5.6</v>
      </c>
      <c r="LK11" s="280"/>
      <c r="LL11" s="280">
        <v>5.7</v>
      </c>
      <c r="LM11" s="280">
        <v>6.1</v>
      </c>
      <c r="LN11" s="280">
        <v>5.8</v>
      </c>
      <c r="LO11" s="281">
        <v>7</v>
      </c>
      <c r="LP11" s="280">
        <v>6.7</v>
      </c>
      <c r="LQ11" s="280">
        <v>8.6999999999999993</v>
      </c>
      <c r="LR11" s="280">
        <v>10.4</v>
      </c>
      <c r="LS11" s="280">
        <v>9.6</v>
      </c>
      <c r="LT11" s="279" t="s">
        <v>17</v>
      </c>
      <c r="LU11" s="280"/>
      <c r="LV11" s="280"/>
      <c r="LW11" s="280"/>
      <c r="LX11" s="280"/>
      <c r="LY11" s="280"/>
      <c r="LZ11" s="281"/>
      <c r="MA11" s="280"/>
      <c r="MB11" s="280"/>
      <c r="MC11" s="281"/>
      <c r="MD11" s="280"/>
      <c r="ME11" s="279" t="s">
        <v>17</v>
      </c>
      <c r="MF11" s="280">
        <v>11.8</v>
      </c>
      <c r="MG11" s="280">
        <v>9.5</v>
      </c>
      <c r="MH11" s="280">
        <v>10.1</v>
      </c>
      <c r="MI11" s="280">
        <v>7.8</v>
      </c>
      <c r="MJ11" s="280">
        <v>9</v>
      </c>
      <c r="MK11" s="280">
        <v>10.5</v>
      </c>
      <c r="ML11" s="280">
        <v>6.6</v>
      </c>
      <c r="MM11" s="280">
        <v>12.5</v>
      </c>
      <c r="MN11" s="280">
        <v>7.1</v>
      </c>
      <c r="MO11" s="280">
        <v>9.1</v>
      </c>
      <c r="MP11" s="279" t="s">
        <v>17</v>
      </c>
      <c r="MQ11" s="280">
        <v>32.700000000000003</v>
      </c>
      <c r="MR11" s="280">
        <v>27</v>
      </c>
      <c r="MS11" s="280">
        <v>34.5</v>
      </c>
      <c r="MT11" s="280">
        <v>25.6</v>
      </c>
      <c r="MU11" s="280">
        <v>24.8</v>
      </c>
      <c r="MV11" s="280">
        <v>29.4</v>
      </c>
      <c r="MW11" s="280">
        <v>34.6</v>
      </c>
      <c r="MX11" s="280">
        <v>32.4</v>
      </c>
      <c r="MY11" s="280">
        <v>30.7</v>
      </c>
      <c r="MZ11" s="280">
        <v>30.8</v>
      </c>
      <c r="NA11" s="279" t="s">
        <v>17</v>
      </c>
      <c r="NB11" s="280">
        <v>23.8</v>
      </c>
      <c r="NC11" s="280">
        <v>28.1</v>
      </c>
      <c r="ND11" s="280">
        <v>21.5</v>
      </c>
      <c r="NE11" s="280">
        <v>23.8</v>
      </c>
      <c r="NF11" s="280">
        <v>21.3</v>
      </c>
      <c r="NG11" s="280">
        <v>17.2</v>
      </c>
      <c r="NH11" s="280">
        <v>23.1</v>
      </c>
      <c r="NI11" s="280">
        <v>19.3</v>
      </c>
      <c r="NJ11" s="280">
        <v>22.3</v>
      </c>
      <c r="NK11" s="280">
        <v>25.1</v>
      </c>
      <c r="NL11" s="279" t="s">
        <v>17</v>
      </c>
      <c r="NM11" s="280">
        <v>76</v>
      </c>
      <c r="NN11" s="280">
        <v>71</v>
      </c>
      <c r="NO11" s="280">
        <v>61.8</v>
      </c>
      <c r="NP11" s="280">
        <v>74.400000000000006</v>
      </c>
      <c r="NQ11" s="280">
        <v>66.8</v>
      </c>
      <c r="NR11" s="280">
        <v>79</v>
      </c>
      <c r="NS11" s="280">
        <v>60.6</v>
      </c>
      <c r="NT11" s="280">
        <v>75.2</v>
      </c>
      <c r="NU11" s="280">
        <v>66.599999999999994</v>
      </c>
      <c r="NV11" s="280">
        <v>68.900000000000006</v>
      </c>
      <c r="NW11" s="279" t="s">
        <v>17</v>
      </c>
      <c r="NX11" s="280">
        <v>46.5</v>
      </c>
      <c r="NY11" s="280">
        <v>36.4</v>
      </c>
      <c r="NZ11" s="280">
        <v>48.2</v>
      </c>
      <c r="OA11" s="280">
        <v>48.1</v>
      </c>
      <c r="OB11" s="280">
        <v>43.1</v>
      </c>
      <c r="OC11" s="280">
        <v>34</v>
      </c>
      <c r="OD11" s="280">
        <v>44.1</v>
      </c>
      <c r="OE11" s="280">
        <v>51.4</v>
      </c>
      <c r="OF11" s="280">
        <v>47.6</v>
      </c>
      <c r="OG11" s="280">
        <v>53</v>
      </c>
      <c r="OH11" s="296" t="s">
        <v>17</v>
      </c>
      <c r="OI11" s="297">
        <v>8.6999999999999993</v>
      </c>
      <c r="OJ11" s="297">
        <v>8.6</v>
      </c>
      <c r="OK11" s="297">
        <v>8.8000000000000007</v>
      </c>
      <c r="OL11" s="297">
        <v>8.4</v>
      </c>
      <c r="OM11" s="297">
        <v>8.1999999999999993</v>
      </c>
      <c r="ON11" s="297">
        <v>8.6999999999999993</v>
      </c>
      <c r="OO11" s="297">
        <v>8.3000000000000007</v>
      </c>
      <c r="OP11" s="297">
        <v>7.9</v>
      </c>
      <c r="OQ11" s="297">
        <v>7.9</v>
      </c>
      <c r="OR11" s="297">
        <v>7.2</v>
      </c>
      <c r="OS11" s="279" t="s">
        <v>17</v>
      </c>
      <c r="OT11" s="280">
        <v>1</v>
      </c>
      <c r="OU11" s="280">
        <v>0.8</v>
      </c>
      <c r="OV11" s="280">
        <v>1.2</v>
      </c>
      <c r="OW11" s="280">
        <v>0.8</v>
      </c>
      <c r="OX11" s="280">
        <v>1.1000000000000001</v>
      </c>
      <c r="OY11" s="280">
        <v>0.9</v>
      </c>
      <c r="OZ11" s="280">
        <v>0.8</v>
      </c>
      <c r="PA11" s="280">
        <v>1.1000000000000001</v>
      </c>
      <c r="PB11" s="280">
        <v>0.9</v>
      </c>
      <c r="PC11" s="280">
        <v>1</v>
      </c>
    </row>
    <row r="12" spans="1:419">
      <c r="A12" s="269">
        <v>3</v>
      </c>
      <c r="B12" s="285" t="s">
        <v>18</v>
      </c>
      <c r="C12" s="286">
        <v>3.6</v>
      </c>
      <c r="D12" s="286">
        <v>4.5999999999999996</v>
      </c>
      <c r="E12" s="286">
        <v>5.7</v>
      </c>
      <c r="F12" s="286">
        <v>3.6</v>
      </c>
      <c r="G12" s="286">
        <v>3.2</v>
      </c>
      <c r="H12" s="286">
        <v>4.4000000000000004</v>
      </c>
      <c r="I12" s="286">
        <v>5.0999999999999996</v>
      </c>
      <c r="J12" s="286">
        <v>3.5</v>
      </c>
      <c r="K12" s="286">
        <v>3.4</v>
      </c>
      <c r="L12" s="286">
        <v>5</v>
      </c>
      <c r="M12" s="285" t="s">
        <v>18</v>
      </c>
      <c r="N12" s="286">
        <v>93.2</v>
      </c>
      <c r="O12" s="286">
        <v>118.8</v>
      </c>
      <c r="P12" s="286">
        <v>153.6</v>
      </c>
      <c r="Q12" s="286">
        <v>96.1</v>
      </c>
      <c r="R12" s="286">
        <v>82.4</v>
      </c>
      <c r="S12" s="286">
        <v>115.4</v>
      </c>
      <c r="T12" s="286">
        <v>136.4</v>
      </c>
      <c r="U12" s="286">
        <v>92.3</v>
      </c>
      <c r="V12" s="286">
        <v>89.8</v>
      </c>
      <c r="W12" s="286">
        <v>136</v>
      </c>
      <c r="X12" s="285" t="s">
        <v>18</v>
      </c>
      <c r="Y12" s="287"/>
      <c r="Z12" s="287">
        <v>7</v>
      </c>
      <c r="AA12" s="287">
        <v>6.3</v>
      </c>
      <c r="AB12" s="287">
        <v>8.9</v>
      </c>
      <c r="AC12" s="287"/>
      <c r="AD12" s="287">
        <v>12.8</v>
      </c>
      <c r="AE12" s="287">
        <v>10.5</v>
      </c>
      <c r="AF12" s="287">
        <v>7.7</v>
      </c>
      <c r="AG12" s="287">
        <v>6</v>
      </c>
      <c r="AH12" s="287">
        <v>15.2</v>
      </c>
      <c r="AI12" s="279" t="s">
        <v>18</v>
      </c>
      <c r="AJ12" s="280">
        <v>9.9</v>
      </c>
      <c r="AK12" s="280">
        <v>12.3</v>
      </c>
      <c r="AL12" s="280">
        <v>19.5</v>
      </c>
      <c r="AM12" s="280">
        <v>10.1</v>
      </c>
      <c r="AN12" s="280">
        <v>8.6</v>
      </c>
      <c r="AO12" s="280">
        <v>6.8</v>
      </c>
      <c r="AP12" s="280">
        <v>14.6</v>
      </c>
      <c r="AQ12" s="280">
        <v>6.9</v>
      </c>
      <c r="AR12" s="280">
        <v>8.1999999999999993</v>
      </c>
      <c r="AS12" s="280">
        <v>11.9</v>
      </c>
      <c r="AT12" s="279" t="s">
        <v>18</v>
      </c>
      <c r="AU12" s="280">
        <v>32.5</v>
      </c>
      <c r="AV12" s="280">
        <v>50.9</v>
      </c>
      <c r="AW12" s="280">
        <v>73.8</v>
      </c>
      <c r="AX12" s="280">
        <v>35</v>
      </c>
      <c r="AY12" s="280">
        <v>34.5</v>
      </c>
      <c r="AZ12" s="280">
        <v>51.5</v>
      </c>
      <c r="BA12" s="280">
        <v>59.1</v>
      </c>
      <c r="BB12" s="280">
        <v>37</v>
      </c>
      <c r="BC12" s="280">
        <v>33.9</v>
      </c>
      <c r="BD12" s="280">
        <v>50.9</v>
      </c>
      <c r="BE12" s="279" t="s">
        <v>18</v>
      </c>
      <c r="BF12" s="280">
        <v>32.5</v>
      </c>
      <c r="BG12" s="280">
        <v>31.7</v>
      </c>
      <c r="BH12" s="280">
        <v>32.299999999999997</v>
      </c>
      <c r="BI12" s="280">
        <v>25.5</v>
      </c>
      <c r="BJ12" s="280">
        <v>17.8</v>
      </c>
      <c r="BK12" s="280">
        <v>23.9</v>
      </c>
      <c r="BL12" s="280">
        <v>29.3</v>
      </c>
      <c r="BM12" s="280">
        <v>24.7</v>
      </c>
      <c r="BN12" s="280">
        <v>25.5</v>
      </c>
      <c r="BO12" s="280">
        <v>30.7</v>
      </c>
      <c r="BP12" s="282" t="s">
        <v>18</v>
      </c>
      <c r="BQ12" s="283"/>
      <c r="BR12" s="283"/>
      <c r="BS12" s="283"/>
      <c r="BT12" s="283"/>
      <c r="BU12" s="283"/>
      <c r="BV12" s="283"/>
      <c r="BW12" s="283"/>
      <c r="BX12" s="283"/>
      <c r="BY12" s="283"/>
      <c r="BZ12" s="283"/>
      <c r="CA12" s="282" t="s">
        <v>18</v>
      </c>
      <c r="CB12" s="283"/>
      <c r="CC12" s="283"/>
      <c r="CD12" s="283"/>
      <c r="CE12" s="283"/>
      <c r="CF12" s="283"/>
      <c r="CG12" s="283"/>
      <c r="CH12" s="283"/>
      <c r="CI12" s="283"/>
      <c r="CJ12" s="283"/>
      <c r="CK12" s="283"/>
      <c r="CL12" s="285" t="s">
        <v>18</v>
      </c>
      <c r="CM12" s="286">
        <v>40.5</v>
      </c>
      <c r="CN12" s="286">
        <v>47.5</v>
      </c>
      <c r="CO12" s="286">
        <v>63.6</v>
      </c>
      <c r="CP12" s="286">
        <v>42.5</v>
      </c>
      <c r="CQ12" s="286">
        <v>34.9</v>
      </c>
      <c r="CR12" s="286">
        <v>54.5</v>
      </c>
      <c r="CS12" s="286">
        <v>63.1</v>
      </c>
      <c r="CT12" s="286">
        <v>37.5</v>
      </c>
      <c r="CU12" s="286">
        <v>35.9</v>
      </c>
      <c r="CV12" s="286">
        <v>64.3</v>
      </c>
      <c r="CW12" s="285" t="s">
        <v>18</v>
      </c>
      <c r="CX12" s="286">
        <v>41.8</v>
      </c>
      <c r="CY12" s="286">
        <v>51.9</v>
      </c>
      <c r="CZ12" s="286">
        <v>67.099999999999994</v>
      </c>
      <c r="DA12" s="286">
        <v>41.4</v>
      </c>
      <c r="DB12" s="286">
        <v>37.4</v>
      </c>
      <c r="DC12" s="286">
        <v>50.4</v>
      </c>
      <c r="DD12" s="286">
        <v>60.8</v>
      </c>
      <c r="DE12" s="286">
        <v>42.7</v>
      </c>
      <c r="DF12" s="286">
        <v>43.1</v>
      </c>
      <c r="DG12" s="286">
        <v>58.9</v>
      </c>
      <c r="DH12" s="285" t="s">
        <v>18</v>
      </c>
      <c r="DI12" s="286">
        <v>11</v>
      </c>
      <c r="DJ12" s="286">
        <v>19.399999999999999</v>
      </c>
      <c r="DK12" s="286">
        <v>23</v>
      </c>
      <c r="DL12" s="286">
        <v>12.3</v>
      </c>
      <c r="DM12" s="286">
        <v>10</v>
      </c>
      <c r="DN12" s="286">
        <v>10.5</v>
      </c>
      <c r="DO12" s="286">
        <v>12.6</v>
      </c>
      <c r="DP12" s="286">
        <v>12.1</v>
      </c>
      <c r="DQ12" s="286">
        <v>10.8</v>
      </c>
      <c r="DR12" s="286">
        <v>12.7</v>
      </c>
      <c r="DS12" s="285" t="s">
        <v>18</v>
      </c>
      <c r="DT12" s="287"/>
      <c r="DU12" s="287"/>
      <c r="DV12" s="287"/>
      <c r="DW12" s="287"/>
      <c r="DX12" s="287"/>
      <c r="DY12" s="287"/>
      <c r="DZ12" s="287"/>
      <c r="EA12" s="287"/>
      <c r="EB12" s="287"/>
      <c r="EC12" s="287"/>
      <c r="ED12" s="279" t="s">
        <v>18</v>
      </c>
      <c r="EE12" s="281"/>
      <c r="EF12" s="281"/>
      <c r="EG12" s="281"/>
      <c r="EH12" s="281"/>
      <c r="EI12" s="281"/>
      <c r="EJ12" s="281"/>
      <c r="EK12" s="281"/>
      <c r="EL12" s="281"/>
      <c r="EM12" s="281"/>
      <c r="EN12" s="281"/>
      <c r="EO12" s="279" t="s">
        <v>18</v>
      </c>
      <c r="EP12" s="280"/>
      <c r="EQ12" s="281"/>
      <c r="ER12" s="280"/>
      <c r="ES12" s="280"/>
      <c r="ET12" s="280"/>
      <c r="EU12" s="281"/>
      <c r="EV12" s="281"/>
      <c r="EW12" s="281"/>
      <c r="EX12" s="281"/>
      <c r="EY12" s="280"/>
      <c r="EZ12" s="279" t="s">
        <v>18</v>
      </c>
      <c r="FA12" s="281"/>
      <c r="FB12" s="281"/>
      <c r="FC12" s="280"/>
      <c r="FD12" s="280"/>
      <c r="FE12" s="281"/>
      <c r="FF12" s="281"/>
      <c r="FG12" s="281"/>
      <c r="FH12" s="281"/>
      <c r="FI12" s="280"/>
      <c r="FJ12" s="281"/>
      <c r="FK12" s="279" t="s">
        <v>18</v>
      </c>
      <c r="FL12" s="280"/>
      <c r="FM12" s="281"/>
      <c r="FN12" s="281"/>
      <c r="FO12" s="281"/>
      <c r="FP12" s="281"/>
      <c r="FQ12" s="281"/>
      <c r="FR12" s="281"/>
      <c r="FS12" s="281"/>
      <c r="FT12" s="281"/>
      <c r="FU12" s="281"/>
      <c r="FV12" s="279" t="s">
        <v>18</v>
      </c>
      <c r="FW12" s="280">
        <v>17.100000000000001</v>
      </c>
      <c r="FX12" s="280">
        <v>26.6</v>
      </c>
      <c r="FY12" s="280">
        <v>43</v>
      </c>
      <c r="FZ12" s="280">
        <v>21.3</v>
      </c>
      <c r="GA12" s="280">
        <v>17.100000000000001</v>
      </c>
      <c r="GB12" s="280">
        <v>22.5</v>
      </c>
      <c r="GC12" s="280">
        <v>32.200000000000003</v>
      </c>
      <c r="GD12" s="280">
        <v>20.9</v>
      </c>
      <c r="GE12" s="280">
        <v>20.8</v>
      </c>
      <c r="GF12" s="280">
        <v>31.6</v>
      </c>
      <c r="GG12" s="279" t="s">
        <v>18</v>
      </c>
      <c r="GH12" s="281"/>
      <c r="GI12" s="281">
        <v>9.8000000000000007</v>
      </c>
      <c r="GJ12" s="280">
        <v>13.9</v>
      </c>
      <c r="GK12" s="280">
        <v>7.6</v>
      </c>
      <c r="GL12" s="280"/>
      <c r="GM12" s="281">
        <v>14.5</v>
      </c>
      <c r="GN12" s="280">
        <v>15.7</v>
      </c>
      <c r="GO12" s="280"/>
      <c r="GP12" s="281">
        <v>6.7</v>
      </c>
      <c r="GQ12" s="280">
        <v>16.100000000000001</v>
      </c>
      <c r="GR12" s="279" t="s">
        <v>18</v>
      </c>
      <c r="GS12" s="280">
        <v>11.1</v>
      </c>
      <c r="GT12" s="280">
        <v>12.3</v>
      </c>
      <c r="GU12" s="280">
        <v>12.9</v>
      </c>
      <c r="GV12" s="280">
        <v>10.8</v>
      </c>
      <c r="GW12" s="280">
        <v>8.5</v>
      </c>
      <c r="GX12" s="280">
        <v>10.5</v>
      </c>
      <c r="GY12" s="280">
        <v>10.7</v>
      </c>
      <c r="GZ12" s="280">
        <v>9.1999999999999993</v>
      </c>
      <c r="HA12" s="280">
        <v>8.3000000000000007</v>
      </c>
      <c r="HB12" s="280">
        <v>11</v>
      </c>
      <c r="HC12" s="279" t="s">
        <v>18</v>
      </c>
      <c r="HD12" s="280">
        <v>6.2</v>
      </c>
      <c r="HE12" s="280">
        <v>8.5</v>
      </c>
      <c r="HF12" s="280">
        <v>7.2</v>
      </c>
      <c r="HG12" s="280"/>
      <c r="HH12" s="281"/>
      <c r="HI12" s="281"/>
      <c r="HJ12" s="281">
        <v>7.7</v>
      </c>
      <c r="HK12" s="280">
        <v>5.3</v>
      </c>
      <c r="HL12" s="280"/>
      <c r="HM12" s="281">
        <v>5.0999999999999996</v>
      </c>
      <c r="HN12" s="279" t="s">
        <v>18</v>
      </c>
      <c r="HO12" s="280">
        <v>37.700000000000003</v>
      </c>
      <c r="HP12" s="280">
        <v>42</v>
      </c>
      <c r="HQ12" s="280">
        <v>54.8</v>
      </c>
      <c r="HR12" s="280">
        <v>38.700000000000003</v>
      </c>
      <c r="HS12" s="280">
        <v>35.9</v>
      </c>
      <c r="HT12" s="280">
        <v>48.6</v>
      </c>
      <c r="HU12" s="280">
        <v>56.7</v>
      </c>
      <c r="HV12" s="280">
        <v>37.299999999999997</v>
      </c>
      <c r="HW12" s="280">
        <v>35</v>
      </c>
      <c r="HX12" s="280">
        <v>53.3</v>
      </c>
      <c r="HY12" s="279" t="s">
        <v>18</v>
      </c>
      <c r="HZ12" s="281"/>
      <c r="IA12" s="281"/>
      <c r="IB12" s="281"/>
      <c r="IC12" s="281"/>
      <c r="ID12" s="281"/>
      <c r="IE12" s="281"/>
      <c r="IF12" s="281"/>
      <c r="IG12" s="281"/>
      <c r="IH12" s="281"/>
      <c r="II12" s="281"/>
      <c r="IJ12" s="279" t="s">
        <v>18</v>
      </c>
      <c r="IK12" s="281"/>
      <c r="IL12" s="281"/>
      <c r="IM12" s="281"/>
      <c r="IN12" s="281"/>
      <c r="IO12" s="281"/>
      <c r="IP12" s="281"/>
      <c r="IQ12" s="281"/>
      <c r="IR12" s="281"/>
      <c r="IS12" s="281"/>
      <c r="IT12" s="281"/>
      <c r="IU12" s="279" t="s">
        <v>18</v>
      </c>
      <c r="IV12" s="281">
        <v>14.2</v>
      </c>
      <c r="IW12" s="281">
        <v>22.8</v>
      </c>
      <c r="IX12" s="281">
        <v>31.2</v>
      </c>
      <c r="IY12" s="281">
        <v>20.6</v>
      </c>
      <c r="IZ12" s="281">
        <v>13.4</v>
      </c>
      <c r="JA12" s="281">
        <v>30.4</v>
      </c>
      <c r="JB12" s="281">
        <v>33.799999999999997</v>
      </c>
      <c r="JC12" s="281">
        <v>13.5</v>
      </c>
      <c r="JD12" s="281">
        <v>11.9</v>
      </c>
      <c r="JE12" s="281">
        <v>36.9</v>
      </c>
      <c r="JF12" s="279" t="s">
        <v>18</v>
      </c>
      <c r="JG12" s="280">
        <v>10.7</v>
      </c>
      <c r="JH12" s="280">
        <v>11.1</v>
      </c>
      <c r="JI12" s="280">
        <v>14.5</v>
      </c>
      <c r="JJ12" s="280">
        <v>7.5</v>
      </c>
      <c r="JK12" s="280">
        <v>6.8</v>
      </c>
      <c r="JL12" s="280">
        <v>7.2</v>
      </c>
      <c r="JM12" s="280">
        <v>8.8000000000000007</v>
      </c>
      <c r="JN12" s="280">
        <v>5.5</v>
      </c>
      <c r="JO12" s="280">
        <v>8.4</v>
      </c>
      <c r="JP12" s="280">
        <v>8.1</v>
      </c>
      <c r="JQ12" s="279" t="s">
        <v>18</v>
      </c>
      <c r="JR12" s="280">
        <v>17</v>
      </c>
      <c r="JS12" s="280">
        <v>17.7</v>
      </c>
      <c r="JT12" s="280">
        <v>17.100000000000001</v>
      </c>
      <c r="JU12" s="280">
        <v>13.6</v>
      </c>
      <c r="JV12" s="280">
        <v>15.1</v>
      </c>
      <c r="JW12" s="280">
        <v>18.8</v>
      </c>
      <c r="JX12" s="280">
        <v>19.8</v>
      </c>
      <c r="JY12" s="280">
        <v>16.100000000000001</v>
      </c>
      <c r="JZ12" s="280">
        <v>14.6</v>
      </c>
      <c r="KA12" s="280">
        <v>21.8</v>
      </c>
      <c r="KB12" s="279" t="s">
        <v>18</v>
      </c>
      <c r="KC12" s="280"/>
      <c r="KD12" s="280">
        <v>8.5</v>
      </c>
      <c r="KE12" s="280">
        <v>10.6</v>
      </c>
      <c r="KF12" s="280">
        <v>6.6</v>
      </c>
      <c r="KG12" s="280">
        <v>6.1</v>
      </c>
      <c r="KH12" s="280">
        <v>9.1999999999999993</v>
      </c>
      <c r="KI12" s="280">
        <v>9</v>
      </c>
      <c r="KJ12" s="280">
        <v>8.1</v>
      </c>
      <c r="KK12" s="280">
        <v>6.4</v>
      </c>
      <c r="KL12" s="280">
        <v>7.2</v>
      </c>
      <c r="KM12" s="279" t="s">
        <v>18</v>
      </c>
      <c r="KN12" s="280"/>
      <c r="KO12" s="280"/>
      <c r="KP12" s="280"/>
      <c r="KQ12" s="280"/>
      <c r="KR12" s="280"/>
      <c r="KS12" s="280"/>
      <c r="KT12" s="280"/>
      <c r="KU12" s="280"/>
      <c r="KV12" s="280"/>
      <c r="KW12" s="280"/>
      <c r="KX12" s="279" t="s">
        <v>18</v>
      </c>
      <c r="KY12" s="280"/>
      <c r="KZ12" s="280">
        <v>20.100000000000001</v>
      </c>
      <c r="LA12" s="280">
        <v>35.5</v>
      </c>
      <c r="LB12" s="280">
        <v>9.3000000000000007</v>
      </c>
      <c r="LC12" s="280">
        <v>8.1999999999999993</v>
      </c>
      <c r="LD12" s="280">
        <v>13.6</v>
      </c>
      <c r="LE12" s="280">
        <v>26.8</v>
      </c>
      <c r="LF12" s="280">
        <v>9.5</v>
      </c>
      <c r="LG12" s="280">
        <v>5.8</v>
      </c>
      <c r="LH12" s="280">
        <v>17</v>
      </c>
      <c r="LI12" s="279" t="s">
        <v>18</v>
      </c>
      <c r="LJ12" s="281"/>
      <c r="LK12" s="281"/>
      <c r="LL12" s="280"/>
      <c r="LM12" s="280"/>
      <c r="LN12" s="281"/>
      <c r="LO12" s="280"/>
      <c r="LP12" s="280"/>
      <c r="LQ12" s="280"/>
      <c r="LR12" s="280"/>
      <c r="LS12" s="280"/>
      <c r="LT12" s="279" t="s">
        <v>18</v>
      </c>
      <c r="LU12" s="281"/>
      <c r="LV12" s="281"/>
      <c r="LW12" s="281"/>
      <c r="LX12" s="281"/>
      <c r="LY12" s="281"/>
      <c r="LZ12" s="280"/>
      <c r="MA12" s="281"/>
      <c r="MB12" s="281"/>
      <c r="MC12" s="281"/>
      <c r="MD12" s="281"/>
      <c r="ME12" s="279" t="s">
        <v>18</v>
      </c>
      <c r="MF12" s="280"/>
      <c r="MG12" s="280"/>
      <c r="MH12" s="280"/>
      <c r="MI12" s="280"/>
      <c r="MJ12" s="280"/>
      <c r="MK12" s="280"/>
      <c r="ML12" s="280"/>
      <c r="MM12" s="280"/>
      <c r="MN12" s="280"/>
      <c r="MO12" s="280"/>
      <c r="MP12" s="279" t="s">
        <v>18</v>
      </c>
      <c r="MQ12" s="280">
        <v>13.6</v>
      </c>
      <c r="MR12" s="280">
        <v>11.3</v>
      </c>
      <c r="MS12" s="280">
        <v>14.5</v>
      </c>
      <c r="MT12" s="280">
        <v>11.6</v>
      </c>
      <c r="MU12" s="280">
        <v>10.4</v>
      </c>
      <c r="MV12" s="280">
        <v>11.6</v>
      </c>
      <c r="MW12" s="280">
        <v>12.5</v>
      </c>
      <c r="MX12" s="280">
        <v>10.199999999999999</v>
      </c>
      <c r="MY12" s="280">
        <v>12.7</v>
      </c>
      <c r="MZ12" s="280">
        <v>7</v>
      </c>
      <c r="NA12" s="279" t="s">
        <v>18</v>
      </c>
      <c r="NB12" s="280"/>
      <c r="NC12" s="280"/>
      <c r="ND12" s="280"/>
      <c r="NE12" s="280"/>
      <c r="NF12" s="280"/>
      <c r="NG12" s="280"/>
      <c r="NH12" s="280"/>
      <c r="NI12" s="280"/>
      <c r="NJ12" s="280"/>
      <c r="NK12" s="280"/>
      <c r="NL12" s="279" t="s">
        <v>18</v>
      </c>
      <c r="NM12" s="280"/>
      <c r="NN12" s="280"/>
      <c r="NO12" s="280"/>
      <c r="NP12" s="280"/>
      <c r="NQ12" s="280"/>
      <c r="NR12" s="280"/>
      <c r="NS12" s="280"/>
      <c r="NT12" s="280"/>
      <c r="NU12" s="280"/>
      <c r="NV12" s="280"/>
      <c r="NW12" s="279" t="s">
        <v>18</v>
      </c>
      <c r="NX12" s="280">
        <v>6.8</v>
      </c>
      <c r="NY12" s="280"/>
      <c r="NZ12" s="280">
        <v>7.3</v>
      </c>
      <c r="OA12" s="280">
        <v>7.3</v>
      </c>
      <c r="OB12" s="280"/>
      <c r="OC12" s="280"/>
      <c r="OD12" s="280"/>
      <c r="OE12" s="280">
        <v>7</v>
      </c>
      <c r="OF12" s="280">
        <v>9.4</v>
      </c>
      <c r="OG12" s="280">
        <v>11.7</v>
      </c>
      <c r="OH12" s="296" t="s">
        <v>18</v>
      </c>
      <c r="OI12" s="297">
        <v>10.8</v>
      </c>
      <c r="OJ12" s="297">
        <v>10.6</v>
      </c>
      <c r="OK12" s="297">
        <v>10.6</v>
      </c>
      <c r="OL12" s="297">
        <v>9.9</v>
      </c>
      <c r="OM12" s="297">
        <v>8.3000000000000007</v>
      </c>
      <c r="ON12" s="297">
        <v>7.9</v>
      </c>
      <c r="OO12" s="297">
        <v>8.6</v>
      </c>
      <c r="OP12" s="297">
        <v>8.1</v>
      </c>
      <c r="OQ12" s="297">
        <v>7</v>
      </c>
      <c r="OR12" s="297">
        <v>6.7</v>
      </c>
      <c r="OS12" s="279" t="s">
        <v>18</v>
      </c>
      <c r="OT12" s="280">
        <v>0.2</v>
      </c>
      <c r="OU12" s="280">
        <v>1.5</v>
      </c>
      <c r="OV12" s="280">
        <v>0.8</v>
      </c>
      <c r="OW12" s="280">
        <v>-0.3</v>
      </c>
      <c r="OX12" s="280">
        <v>1</v>
      </c>
      <c r="OY12" s="280">
        <v>0.7</v>
      </c>
      <c r="OZ12" s="280">
        <v>1.3</v>
      </c>
      <c r="PA12" s="280">
        <v>0.6</v>
      </c>
      <c r="PB12" s="280">
        <v>0.8</v>
      </c>
      <c r="PC12" s="280">
        <v>0.9</v>
      </c>
    </row>
    <row r="13" spans="1:419">
      <c r="A13" s="269">
        <v>4</v>
      </c>
      <c r="B13" s="285" t="s">
        <v>26</v>
      </c>
      <c r="C13" s="286">
        <v>17.8</v>
      </c>
      <c r="D13" s="286">
        <v>19.600000000000001</v>
      </c>
      <c r="E13" s="286">
        <v>22.1</v>
      </c>
      <c r="F13" s="286">
        <v>21.1</v>
      </c>
      <c r="G13" s="286">
        <v>20.2</v>
      </c>
      <c r="H13" s="286">
        <v>23.3</v>
      </c>
      <c r="I13" s="286">
        <v>24.2</v>
      </c>
      <c r="J13" s="286">
        <v>20.8</v>
      </c>
      <c r="K13" s="286">
        <v>18.7</v>
      </c>
      <c r="L13" s="286">
        <v>21.5</v>
      </c>
      <c r="M13" s="285" t="s">
        <v>26</v>
      </c>
      <c r="N13" s="286">
        <v>229.7</v>
      </c>
      <c r="O13" s="286">
        <v>261.3</v>
      </c>
      <c r="P13" s="286">
        <v>301.89999999999998</v>
      </c>
      <c r="Q13" s="286">
        <v>281.2</v>
      </c>
      <c r="R13" s="286">
        <v>266.60000000000002</v>
      </c>
      <c r="S13" s="286">
        <v>320.10000000000002</v>
      </c>
      <c r="T13" s="286">
        <v>338</v>
      </c>
      <c r="U13" s="286">
        <v>281.89999999999998</v>
      </c>
      <c r="V13" s="286">
        <v>252.7</v>
      </c>
      <c r="W13" s="286">
        <v>305.10000000000002</v>
      </c>
      <c r="X13" s="285" t="s">
        <v>26</v>
      </c>
      <c r="Y13" s="286"/>
      <c r="Z13" s="287">
        <v>5.6</v>
      </c>
      <c r="AA13" s="287">
        <v>6.6</v>
      </c>
      <c r="AB13" s="287">
        <v>6.1</v>
      </c>
      <c r="AC13" s="286">
        <v>10</v>
      </c>
      <c r="AD13" s="287">
        <v>15.2</v>
      </c>
      <c r="AE13" s="286">
        <v>19.600000000000001</v>
      </c>
      <c r="AF13" s="287">
        <v>12.3</v>
      </c>
      <c r="AG13" s="287">
        <v>10.3</v>
      </c>
      <c r="AH13" s="287">
        <v>12</v>
      </c>
      <c r="AI13" s="279" t="s">
        <v>26</v>
      </c>
      <c r="AJ13" s="280">
        <v>72.8</v>
      </c>
      <c r="AK13" s="280">
        <v>71.8</v>
      </c>
      <c r="AL13" s="280">
        <v>100.8</v>
      </c>
      <c r="AM13" s="280">
        <v>92.3</v>
      </c>
      <c r="AN13" s="280">
        <v>87.2</v>
      </c>
      <c r="AO13" s="280">
        <v>93.4</v>
      </c>
      <c r="AP13" s="280">
        <v>119.4</v>
      </c>
      <c r="AQ13" s="280">
        <v>100.2</v>
      </c>
      <c r="AR13" s="280">
        <v>79.599999999999994</v>
      </c>
      <c r="AS13" s="280">
        <v>95.5</v>
      </c>
      <c r="AT13" s="279" t="s">
        <v>26</v>
      </c>
      <c r="AU13" s="280">
        <v>53.6</v>
      </c>
      <c r="AV13" s="280">
        <v>70.400000000000006</v>
      </c>
      <c r="AW13" s="280">
        <v>78.400000000000006</v>
      </c>
      <c r="AX13" s="280">
        <v>65.400000000000006</v>
      </c>
      <c r="AY13" s="280">
        <v>46.4</v>
      </c>
      <c r="AZ13" s="280">
        <v>75.099999999999994</v>
      </c>
      <c r="BA13" s="280">
        <v>83.4</v>
      </c>
      <c r="BB13" s="280">
        <v>59.3</v>
      </c>
      <c r="BC13" s="280">
        <v>58.4</v>
      </c>
      <c r="BD13" s="280">
        <v>75.099999999999994</v>
      </c>
      <c r="BE13" s="279" t="s">
        <v>26</v>
      </c>
      <c r="BF13" s="280">
        <v>46.4</v>
      </c>
      <c r="BG13" s="280">
        <v>49</v>
      </c>
      <c r="BH13" s="280">
        <v>50.1</v>
      </c>
      <c r="BI13" s="280">
        <v>59.2</v>
      </c>
      <c r="BJ13" s="280">
        <v>61.7</v>
      </c>
      <c r="BK13" s="280">
        <v>67.599999999999994</v>
      </c>
      <c r="BL13" s="280">
        <v>53.3</v>
      </c>
      <c r="BM13" s="280">
        <v>54.9</v>
      </c>
      <c r="BN13" s="280">
        <v>54.7</v>
      </c>
      <c r="BO13" s="280">
        <v>61.3</v>
      </c>
      <c r="BP13" s="282" t="s">
        <v>26</v>
      </c>
      <c r="BQ13" s="283">
        <v>4.7</v>
      </c>
      <c r="BR13" s="283">
        <v>11.5</v>
      </c>
      <c r="BS13" s="283">
        <v>12.5</v>
      </c>
      <c r="BT13" s="283">
        <v>12.5</v>
      </c>
      <c r="BU13" s="283">
        <v>4.5</v>
      </c>
      <c r="BV13" s="283">
        <v>15.600000000000001</v>
      </c>
      <c r="BW13" s="283">
        <v>10</v>
      </c>
      <c r="BX13" s="283">
        <v>8.6</v>
      </c>
      <c r="BY13" s="283">
        <v>6.9</v>
      </c>
      <c r="BZ13" s="283">
        <v>7.8</v>
      </c>
      <c r="CA13" s="282" t="s">
        <v>26</v>
      </c>
      <c r="CB13" s="283">
        <v>45.9</v>
      </c>
      <c r="CC13" s="283">
        <v>50.7</v>
      </c>
      <c r="CD13" s="283">
        <v>49.699999999999996</v>
      </c>
      <c r="CE13" s="283">
        <v>41.6</v>
      </c>
      <c r="CF13" s="283">
        <v>48.1</v>
      </c>
      <c r="CG13" s="283">
        <v>47.9</v>
      </c>
      <c r="CH13" s="283">
        <v>42.2</v>
      </c>
      <c r="CI13" s="283">
        <v>41.1</v>
      </c>
      <c r="CJ13" s="283">
        <v>36.4</v>
      </c>
      <c r="CK13" s="283">
        <v>42.9</v>
      </c>
      <c r="CL13" s="285" t="s">
        <v>26</v>
      </c>
      <c r="CM13" s="286">
        <v>18.7</v>
      </c>
      <c r="CN13" s="286">
        <v>24.7</v>
      </c>
      <c r="CO13" s="286">
        <v>34.299999999999997</v>
      </c>
      <c r="CP13" s="286">
        <v>26.1</v>
      </c>
      <c r="CQ13" s="286">
        <v>23.4</v>
      </c>
      <c r="CR13" s="286">
        <v>33.6</v>
      </c>
      <c r="CS13" s="286">
        <v>35.4</v>
      </c>
      <c r="CT13" s="286">
        <v>28.8</v>
      </c>
      <c r="CU13" s="286">
        <v>23.4</v>
      </c>
      <c r="CV13" s="286">
        <v>32.5</v>
      </c>
      <c r="CW13" s="285" t="s">
        <v>26</v>
      </c>
      <c r="CX13" s="286">
        <v>150.80000000000001</v>
      </c>
      <c r="CY13" s="286">
        <v>173</v>
      </c>
      <c r="CZ13" s="286">
        <v>202.8</v>
      </c>
      <c r="DA13" s="286">
        <v>187.8</v>
      </c>
      <c r="DB13" s="286">
        <v>181.9</v>
      </c>
      <c r="DC13" s="286">
        <v>210.1</v>
      </c>
      <c r="DD13" s="286">
        <v>233.1</v>
      </c>
      <c r="DE13" s="286">
        <v>187.9</v>
      </c>
      <c r="DF13" s="286">
        <v>176.4</v>
      </c>
      <c r="DG13" s="286">
        <v>207.1</v>
      </c>
      <c r="DH13" s="285" t="s">
        <v>26</v>
      </c>
      <c r="DI13" s="286">
        <v>60.2</v>
      </c>
      <c r="DJ13" s="286">
        <v>63.5</v>
      </c>
      <c r="DK13" s="286">
        <v>64.8</v>
      </c>
      <c r="DL13" s="286">
        <v>67.3</v>
      </c>
      <c r="DM13" s="286">
        <v>61.3</v>
      </c>
      <c r="DN13" s="286">
        <v>76.400000000000006</v>
      </c>
      <c r="DO13" s="286">
        <v>69.5</v>
      </c>
      <c r="DP13" s="286">
        <v>65.3</v>
      </c>
      <c r="DQ13" s="286">
        <v>52.9</v>
      </c>
      <c r="DR13" s="286">
        <v>65.400000000000006</v>
      </c>
      <c r="DS13" s="285" t="s">
        <v>26</v>
      </c>
      <c r="DT13" s="287"/>
      <c r="DU13" s="287"/>
      <c r="DV13" s="287"/>
      <c r="DW13" s="287"/>
      <c r="DX13" s="287"/>
      <c r="DY13" s="287"/>
      <c r="DZ13" s="287"/>
      <c r="EA13" s="287"/>
      <c r="EB13" s="287"/>
      <c r="EC13" s="287"/>
      <c r="ED13" s="279" t="s">
        <v>26</v>
      </c>
      <c r="EE13" s="281"/>
      <c r="EF13" s="281"/>
      <c r="EG13" s="281"/>
      <c r="EH13" s="281"/>
      <c r="EI13" s="281"/>
      <c r="EJ13" s="281"/>
      <c r="EK13" s="281"/>
      <c r="EL13" s="281"/>
      <c r="EM13" s="281"/>
      <c r="EN13" s="281"/>
      <c r="EO13" s="279" t="s">
        <v>26</v>
      </c>
      <c r="EP13" s="280">
        <v>33.299999999999997</v>
      </c>
      <c r="EQ13" s="280">
        <v>36.700000000000003</v>
      </c>
      <c r="ER13" s="280">
        <v>31.4</v>
      </c>
      <c r="ES13" s="280">
        <v>37.4</v>
      </c>
      <c r="ET13" s="280">
        <v>39.1</v>
      </c>
      <c r="EU13" s="280">
        <v>44.9</v>
      </c>
      <c r="EV13" s="280">
        <v>34.799999999999997</v>
      </c>
      <c r="EW13" s="280">
        <v>40</v>
      </c>
      <c r="EX13" s="280">
        <v>28.7</v>
      </c>
      <c r="EY13" s="280">
        <v>35.200000000000003</v>
      </c>
      <c r="EZ13" s="279" t="s">
        <v>26</v>
      </c>
      <c r="FA13" s="280">
        <v>31.4</v>
      </c>
      <c r="FB13" s="280">
        <v>30.1</v>
      </c>
      <c r="FC13" s="280">
        <v>30.6</v>
      </c>
      <c r="FD13" s="280">
        <v>31.5</v>
      </c>
      <c r="FE13" s="280">
        <v>25.8</v>
      </c>
      <c r="FF13" s="280">
        <v>33.299999999999997</v>
      </c>
      <c r="FG13" s="280">
        <v>37.799999999999997</v>
      </c>
      <c r="FH13" s="280">
        <v>25.1</v>
      </c>
      <c r="FI13" s="280">
        <v>27.8</v>
      </c>
      <c r="FJ13" s="280">
        <v>36.700000000000003</v>
      </c>
      <c r="FK13" s="279" t="s">
        <v>26</v>
      </c>
      <c r="FL13" s="280">
        <v>23.9</v>
      </c>
      <c r="FM13" s="280">
        <v>25</v>
      </c>
      <c r="FN13" s="280">
        <v>29</v>
      </c>
      <c r="FO13" s="280">
        <v>29.9</v>
      </c>
      <c r="FP13" s="280">
        <v>21.2</v>
      </c>
      <c r="FQ13" s="280">
        <v>29</v>
      </c>
      <c r="FR13" s="280">
        <v>27.7</v>
      </c>
      <c r="FS13" s="280">
        <v>25</v>
      </c>
      <c r="FT13" s="280">
        <v>28.8</v>
      </c>
      <c r="FU13" s="280">
        <v>23.6</v>
      </c>
      <c r="FV13" s="279" t="s">
        <v>26</v>
      </c>
      <c r="FW13" s="280">
        <v>59.1</v>
      </c>
      <c r="FX13" s="280">
        <v>61.8</v>
      </c>
      <c r="FY13" s="280">
        <v>83.5</v>
      </c>
      <c r="FZ13" s="280">
        <v>66.400000000000006</v>
      </c>
      <c r="GA13" s="280">
        <v>69.5</v>
      </c>
      <c r="GB13" s="280">
        <v>81.8</v>
      </c>
      <c r="GC13" s="280">
        <v>90.3</v>
      </c>
      <c r="GD13" s="280">
        <v>69.599999999999994</v>
      </c>
      <c r="GE13" s="280">
        <v>63.5</v>
      </c>
      <c r="GF13" s="280">
        <v>85.3</v>
      </c>
      <c r="GG13" s="279" t="s">
        <v>26</v>
      </c>
      <c r="GH13" s="281"/>
      <c r="GI13" s="281"/>
      <c r="GJ13" s="281"/>
      <c r="GK13" s="281"/>
      <c r="GL13" s="281"/>
      <c r="GM13" s="281"/>
      <c r="GN13" s="281"/>
      <c r="GO13" s="281"/>
      <c r="GP13" s="281"/>
      <c r="GQ13" s="281"/>
      <c r="GR13" s="279" t="s">
        <v>26</v>
      </c>
      <c r="GS13" s="280">
        <v>29.4</v>
      </c>
      <c r="GT13" s="280">
        <v>29.1</v>
      </c>
      <c r="GU13" s="280">
        <v>34.799999999999997</v>
      </c>
      <c r="GV13" s="280">
        <v>39.700000000000003</v>
      </c>
      <c r="GW13" s="280">
        <v>42.9</v>
      </c>
      <c r="GX13" s="280">
        <v>41.1</v>
      </c>
      <c r="GY13" s="280">
        <v>46</v>
      </c>
      <c r="GZ13" s="280">
        <v>40.6</v>
      </c>
      <c r="HA13" s="280">
        <v>30.9</v>
      </c>
      <c r="HB13" s="280">
        <v>37.200000000000003</v>
      </c>
      <c r="HC13" s="279" t="s">
        <v>26</v>
      </c>
      <c r="HD13" s="280">
        <v>23.8</v>
      </c>
      <c r="HE13" s="280">
        <v>30.5</v>
      </c>
      <c r="HF13" s="280">
        <v>32.6</v>
      </c>
      <c r="HG13" s="280">
        <v>32.5</v>
      </c>
      <c r="HH13" s="280">
        <v>29.3</v>
      </c>
      <c r="HI13" s="280">
        <v>38.299999999999997</v>
      </c>
      <c r="HJ13" s="280">
        <v>38</v>
      </c>
      <c r="HK13" s="280">
        <v>33.299999999999997</v>
      </c>
      <c r="HL13" s="280">
        <v>36.1</v>
      </c>
      <c r="HM13" s="280">
        <v>35.9</v>
      </c>
      <c r="HN13" s="285" t="s">
        <v>26</v>
      </c>
      <c r="HO13" s="280">
        <v>23.5</v>
      </c>
      <c r="HP13" s="280">
        <v>38.1</v>
      </c>
      <c r="HQ13" s="280">
        <v>51.6</v>
      </c>
      <c r="HR13" s="280">
        <v>39.1</v>
      </c>
      <c r="HS13" s="280">
        <v>32</v>
      </c>
      <c r="HT13" s="280">
        <v>44.6</v>
      </c>
      <c r="HU13" s="280">
        <v>56.6</v>
      </c>
      <c r="HV13" s="280">
        <v>46.7</v>
      </c>
      <c r="HW13" s="280">
        <v>33.1</v>
      </c>
      <c r="HX13" s="280">
        <v>46.7</v>
      </c>
      <c r="HY13" s="279" t="s">
        <v>26</v>
      </c>
      <c r="HZ13" s="280"/>
      <c r="IA13" s="281"/>
      <c r="IB13" s="281"/>
      <c r="IC13" s="281"/>
      <c r="ID13" s="281"/>
      <c r="IE13" s="281"/>
      <c r="IF13" s="281"/>
      <c r="IG13" s="281"/>
      <c r="IH13" s="281"/>
      <c r="II13" s="281"/>
      <c r="IJ13" s="279" t="s">
        <v>26</v>
      </c>
      <c r="IK13" s="281"/>
      <c r="IL13" s="281"/>
      <c r="IM13" s="281"/>
      <c r="IN13" s="281"/>
      <c r="IO13" s="281"/>
      <c r="IP13" s="281"/>
      <c r="IQ13" s="281"/>
      <c r="IR13" s="281"/>
      <c r="IS13" s="281"/>
      <c r="IT13" s="281"/>
      <c r="IU13" s="279" t="s">
        <v>26</v>
      </c>
      <c r="IV13" s="280">
        <v>5.8</v>
      </c>
      <c r="IW13" s="280">
        <v>15.4</v>
      </c>
      <c r="IX13" s="280">
        <v>13.9</v>
      </c>
      <c r="IY13" s="280">
        <v>8.4</v>
      </c>
      <c r="IZ13" s="280">
        <v>9</v>
      </c>
      <c r="JA13" s="280">
        <v>9.1999999999999993</v>
      </c>
      <c r="JB13" s="280">
        <v>11</v>
      </c>
      <c r="JC13" s="280">
        <v>10.1</v>
      </c>
      <c r="JD13" s="280">
        <v>4.3</v>
      </c>
      <c r="JE13" s="280">
        <v>8.5</v>
      </c>
      <c r="JF13" s="279" t="s">
        <v>26</v>
      </c>
      <c r="JG13" s="280">
        <v>40.4</v>
      </c>
      <c r="JH13" s="280">
        <v>41.9</v>
      </c>
      <c r="JI13" s="280">
        <v>42.8</v>
      </c>
      <c r="JJ13" s="280">
        <v>54.3</v>
      </c>
      <c r="JK13" s="280">
        <v>50.1</v>
      </c>
      <c r="JL13" s="280">
        <v>56.6</v>
      </c>
      <c r="JM13" s="280">
        <v>57.2</v>
      </c>
      <c r="JN13" s="280">
        <v>49.7</v>
      </c>
      <c r="JO13" s="280">
        <v>51.6</v>
      </c>
      <c r="JP13" s="280">
        <v>54.8</v>
      </c>
      <c r="JQ13" s="279" t="s">
        <v>26</v>
      </c>
      <c r="JR13" s="280">
        <v>18.3</v>
      </c>
      <c r="JS13" s="280">
        <v>19.8</v>
      </c>
      <c r="JT13" s="280">
        <v>25.6</v>
      </c>
      <c r="JU13" s="280">
        <v>26.7</v>
      </c>
      <c r="JV13" s="280">
        <v>27.6</v>
      </c>
      <c r="JW13" s="280">
        <v>26</v>
      </c>
      <c r="JX13" s="280">
        <v>26.1</v>
      </c>
      <c r="JY13" s="280">
        <v>27.6</v>
      </c>
      <c r="JZ13" s="280">
        <v>24.4</v>
      </c>
      <c r="KA13" s="280">
        <v>24.4</v>
      </c>
      <c r="KB13" s="279" t="s">
        <v>26</v>
      </c>
      <c r="KC13" s="280">
        <v>42</v>
      </c>
      <c r="KD13" s="280">
        <v>39.1</v>
      </c>
      <c r="KE13" s="280">
        <v>42.3</v>
      </c>
      <c r="KF13" s="280">
        <v>42.5</v>
      </c>
      <c r="KG13" s="280">
        <v>45.6</v>
      </c>
      <c r="KH13" s="280">
        <v>48.4</v>
      </c>
      <c r="KI13" s="280">
        <v>36.700000000000003</v>
      </c>
      <c r="KJ13" s="280">
        <v>39.6</v>
      </c>
      <c r="KK13" s="280">
        <v>34.799999999999997</v>
      </c>
      <c r="KL13" s="280">
        <v>39.700000000000003</v>
      </c>
      <c r="KM13" s="279" t="s">
        <v>26</v>
      </c>
      <c r="KN13" s="280">
        <v>19.3</v>
      </c>
      <c r="KO13" s="280">
        <v>16.5</v>
      </c>
      <c r="KP13" s="280">
        <v>20.3</v>
      </c>
      <c r="KQ13" s="280">
        <v>20.7</v>
      </c>
      <c r="KR13" s="280">
        <v>15.1</v>
      </c>
      <c r="KS13" s="280">
        <v>18.5</v>
      </c>
      <c r="KT13" s="280">
        <v>23.4</v>
      </c>
      <c r="KU13" s="280">
        <v>15.6</v>
      </c>
      <c r="KV13" s="280">
        <v>16.7</v>
      </c>
      <c r="KW13" s="280">
        <v>19.3</v>
      </c>
      <c r="KX13" s="279" t="s">
        <v>26</v>
      </c>
      <c r="KY13" s="280">
        <v>21</v>
      </c>
      <c r="KZ13" s="280">
        <v>31.5</v>
      </c>
      <c r="LA13" s="280">
        <v>53.4</v>
      </c>
      <c r="LB13" s="280">
        <v>27.6</v>
      </c>
      <c r="LC13" s="280">
        <v>26</v>
      </c>
      <c r="LD13" s="280">
        <v>45.1</v>
      </c>
      <c r="LE13" s="280">
        <v>69.3</v>
      </c>
      <c r="LF13" s="280">
        <v>31</v>
      </c>
      <c r="LG13" s="280">
        <v>25.7</v>
      </c>
      <c r="LH13" s="280">
        <v>56.4</v>
      </c>
      <c r="LI13" s="285" t="s">
        <v>26</v>
      </c>
      <c r="LJ13" s="280">
        <v>6.2</v>
      </c>
      <c r="LK13" s="280">
        <v>9.8000000000000007</v>
      </c>
      <c r="LL13" s="280">
        <v>10.8</v>
      </c>
      <c r="LM13" s="280">
        <v>5.8</v>
      </c>
      <c r="LN13" s="280">
        <v>9.3000000000000007</v>
      </c>
      <c r="LO13" s="280">
        <v>11.9</v>
      </c>
      <c r="LP13" s="280">
        <v>12.2</v>
      </c>
      <c r="LQ13" s="280">
        <v>10.7</v>
      </c>
      <c r="LR13" s="280">
        <v>8.9</v>
      </c>
      <c r="LS13" s="280">
        <v>8.3000000000000007</v>
      </c>
      <c r="LT13" s="279" t="s">
        <v>26</v>
      </c>
      <c r="LU13" s="280"/>
      <c r="LV13" s="280">
        <v>4.8</v>
      </c>
      <c r="LW13" s="280">
        <v>6.3</v>
      </c>
      <c r="LX13" s="280"/>
      <c r="LY13" s="280"/>
      <c r="LZ13" s="280"/>
      <c r="MA13" s="280"/>
      <c r="MB13" s="280"/>
      <c r="MC13" s="280">
        <v>4.2</v>
      </c>
      <c r="MD13" s="280">
        <v>5.5</v>
      </c>
      <c r="ME13" s="279" t="s">
        <v>26</v>
      </c>
      <c r="MF13" s="280">
        <v>8</v>
      </c>
      <c r="MG13" s="280">
        <v>8.1999999999999993</v>
      </c>
      <c r="MH13" s="280">
        <v>8.5</v>
      </c>
      <c r="MI13" s="280">
        <v>13.2</v>
      </c>
      <c r="MJ13" s="280">
        <v>9.5</v>
      </c>
      <c r="MK13" s="280">
        <v>8.5</v>
      </c>
      <c r="ML13" s="280">
        <v>8.1</v>
      </c>
      <c r="MM13" s="280">
        <v>7.4</v>
      </c>
      <c r="MN13" s="280">
        <v>6.9</v>
      </c>
      <c r="MO13" s="280">
        <v>9.6</v>
      </c>
      <c r="MP13" s="279" t="s">
        <v>26</v>
      </c>
      <c r="MQ13" s="280">
        <v>6.9</v>
      </c>
      <c r="MR13" s="280">
        <v>9.3000000000000007</v>
      </c>
      <c r="MS13" s="280">
        <v>17.5</v>
      </c>
      <c r="MT13" s="280">
        <v>7.9</v>
      </c>
      <c r="MU13" s="280">
        <v>5.0999999999999996</v>
      </c>
      <c r="MV13" s="280">
        <v>17.7</v>
      </c>
      <c r="MW13" s="280">
        <v>17.399999999999999</v>
      </c>
      <c r="MX13" s="280">
        <v>15.4</v>
      </c>
      <c r="MY13" s="280">
        <v>6.6</v>
      </c>
      <c r="MZ13" s="280">
        <v>9.6999999999999993</v>
      </c>
      <c r="NA13" s="279" t="s">
        <v>26</v>
      </c>
      <c r="NB13" s="280">
        <v>11.5</v>
      </c>
      <c r="NC13" s="280">
        <v>15.4</v>
      </c>
      <c r="ND13" s="280">
        <v>15</v>
      </c>
      <c r="NE13" s="280">
        <v>15.3</v>
      </c>
      <c r="NF13" s="280">
        <v>11.5</v>
      </c>
      <c r="NG13" s="280">
        <v>14.8</v>
      </c>
      <c r="NH13" s="280">
        <v>11.8</v>
      </c>
      <c r="NI13" s="280">
        <v>8.4</v>
      </c>
      <c r="NJ13" s="280">
        <v>12.2</v>
      </c>
      <c r="NK13" s="280">
        <v>10.1</v>
      </c>
      <c r="NL13" s="279" t="s">
        <v>26</v>
      </c>
      <c r="NM13" s="280">
        <v>14.7</v>
      </c>
      <c r="NN13" s="280">
        <v>17.899999999999999</v>
      </c>
      <c r="NO13" s="280">
        <v>12.9</v>
      </c>
      <c r="NP13" s="280">
        <v>19.600000000000001</v>
      </c>
      <c r="NQ13" s="280">
        <v>22.8</v>
      </c>
      <c r="NR13" s="280">
        <v>23.3</v>
      </c>
      <c r="NS13" s="280">
        <v>14.4</v>
      </c>
      <c r="NT13" s="280">
        <v>18.8</v>
      </c>
      <c r="NU13" s="280">
        <v>16</v>
      </c>
      <c r="NV13" s="280">
        <v>14.6</v>
      </c>
      <c r="NW13" s="279" t="s">
        <v>26</v>
      </c>
      <c r="NX13" s="280">
        <v>15</v>
      </c>
      <c r="NY13" s="280">
        <v>12</v>
      </c>
      <c r="NZ13" s="280">
        <v>7.2</v>
      </c>
      <c r="OA13" s="280">
        <v>10.3</v>
      </c>
      <c r="OB13" s="280">
        <v>9.3000000000000007</v>
      </c>
      <c r="OC13" s="280">
        <v>11.2</v>
      </c>
      <c r="OD13" s="280">
        <v>15.4</v>
      </c>
      <c r="OE13" s="280">
        <v>17.3</v>
      </c>
      <c r="OF13" s="280">
        <v>15.8</v>
      </c>
      <c r="OG13" s="280">
        <v>14.6</v>
      </c>
      <c r="OH13" s="296" t="s">
        <v>26</v>
      </c>
      <c r="OI13" s="297">
        <v>15.7</v>
      </c>
      <c r="OJ13" s="297">
        <v>18.399999999999999</v>
      </c>
      <c r="OK13" s="297">
        <v>17.8</v>
      </c>
      <c r="OL13" s="297">
        <v>15.5</v>
      </c>
      <c r="OM13" s="297">
        <v>15.4</v>
      </c>
      <c r="ON13" s="297">
        <v>16.100000000000001</v>
      </c>
      <c r="OO13" s="297">
        <v>15.4</v>
      </c>
      <c r="OP13" s="297">
        <v>12.8</v>
      </c>
      <c r="OQ13" s="297">
        <v>10.9</v>
      </c>
      <c r="OR13" s="297">
        <v>13.4</v>
      </c>
      <c r="OS13" s="279" t="s">
        <v>26</v>
      </c>
      <c r="OT13" s="280">
        <v>0.5</v>
      </c>
      <c r="OU13" s="280">
        <v>1.1000000000000001</v>
      </c>
      <c r="OV13" s="280">
        <v>0.7</v>
      </c>
      <c r="OW13" s="280">
        <v>0.7</v>
      </c>
      <c r="OX13" s="280">
        <v>0.3</v>
      </c>
      <c r="OY13" s="280">
        <v>1.1000000000000001</v>
      </c>
      <c r="OZ13" s="280">
        <v>0.8</v>
      </c>
      <c r="PA13" s="280">
        <v>0.8</v>
      </c>
      <c r="PB13" s="280">
        <v>1</v>
      </c>
      <c r="PC13" s="280">
        <v>0.9</v>
      </c>
    </row>
    <row r="14" spans="1:419">
      <c r="A14" s="269">
        <v>5</v>
      </c>
      <c r="B14" s="285" t="s">
        <v>28</v>
      </c>
      <c r="C14" s="286">
        <v>17.100000000000001</v>
      </c>
      <c r="D14" s="286">
        <v>19.399999999999999</v>
      </c>
      <c r="E14" s="286">
        <v>18.8</v>
      </c>
      <c r="F14" s="286">
        <v>18.3</v>
      </c>
      <c r="G14" s="286">
        <v>15.7</v>
      </c>
      <c r="H14" s="286">
        <v>18.600000000000001</v>
      </c>
      <c r="I14" s="286">
        <v>17.2</v>
      </c>
      <c r="J14" s="286">
        <v>14.7</v>
      </c>
      <c r="K14" s="286">
        <v>13.5</v>
      </c>
      <c r="L14" s="286">
        <v>16.100000000000001</v>
      </c>
      <c r="M14" s="285" t="s">
        <v>28</v>
      </c>
      <c r="N14" s="286">
        <v>49.9</v>
      </c>
      <c r="O14" s="286">
        <v>58.7</v>
      </c>
      <c r="P14" s="286">
        <v>57.3</v>
      </c>
      <c r="Q14" s="286">
        <v>56.3</v>
      </c>
      <c r="R14" s="286">
        <v>46.2</v>
      </c>
      <c r="S14" s="286">
        <v>57.5</v>
      </c>
      <c r="T14" s="286">
        <v>53.7</v>
      </c>
      <c r="U14" s="286">
        <v>46.2</v>
      </c>
      <c r="V14" s="286">
        <v>41.8</v>
      </c>
      <c r="W14" s="286">
        <v>52.9</v>
      </c>
      <c r="X14" s="285" t="s">
        <v>28</v>
      </c>
      <c r="Y14" s="287">
        <v>0.6</v>
      </c>
      <c r="Z14" s="287"/>
      <c r="AA14" s="287">
        <v>0.5</v>
      </c>
      <c r="AB14" s="287"/>
      <c r="AC14" s="287"/>
      <c r="AD14" s="287"/>
      <c r="AE14" s="287"/>
      <c r="AF14" s="287"/>
      <c r="AG14" s="287"/>
      <c r="AH14" s="287"/>
      <c r="AI14" s="279" t="s">
        <v>28</v>
      </c>
      <c r="AJ14" s="280">
        <v>1.1000000000000001</v>
      </c>
      <c r="AK14" s="280">
        <v>1.5</v>
      </c>
      <c r="AL14" s="280">
        <v>3.3</v>
      </c>
      <c r="AM14" s="280">
        <v>1.7</v>
      </c>
      <c r="AN14" s="280">
        <v>1.4</v>
      </c>
      <c r="AO14" s="280">
        <v>1.6</v>
      </c>
      <c r="AP14" s="280">
        <v>2.6</v>
      </c>
      <c r="AQ14" s="280">
        <v>2.1</v>
      </c>
      <c r="AR14" s="280">
        <v>2</v>
      </c>
      <c r="AS14" s="280">
        <v>2</v>
      </c>
      <c r="AT14" s="279" t="s">
        <v>28</v>
      </c>
      <c r="AU14" s="280">
        <v>7.9</v>
      </c>
      <c r="AV14" s="280">
        <v>12.2</v>
      </c>
      <c r="AW14" s="280">
        <v>12.5</v>
      </c>
      <c r="AX14" s="280">
        <v>9.6</v>
      </c>
      <c r="AY14" s="280">
        <v>8.8000000000000007</v>
      </c>
      <c r="AZ14" s="280">
        <v>14.1</v>
      </c>
      <c r="BA14" s="280">
        <v>14.4</v>
      </c>
      <c r="BB14" s="280">
        <v>9.9</v>
      </c>
      <c r="BC14" s="280">
        <v>4.5999999999999996</v>
      </c>
      <c r="BD14" s="280">
        <v>9.1</v>
      </c>
      <c r="BE14" s="279" t="s">
        <v>28</v>
      </c>
      <c r="BF14" s="280">
        <v>19.600000000000001</v>
      </c>
      <c r="BG14" s="280">
        <v>24.4</v>
      </c>
      <c r="BH14" s="280">
        <v>22.3</v>
      </c>
      <c r="BI14" s="280">
        <v>24.9</v>
      </c>
      <c r="BJ14" s="280">
        <v>20.399999999999999</v>
      </c>
      <c r="BK14" s="280">
        <v>27.7</v>
      </c>
      <c r="BL14" s="280">
        <v>22.6</v>
      </c>
      <c r="BM14" s="280">
        <v>21.1</v>
      </c>
      <c r="BN14" s="280">
        <v>19.100000000000001</v>
      </c>
      <c r="BO14" s="280">
        <v>23.7</v>
      </c>
      <c r="BP14" s="282" t="s">
        <v>28</v>
      </c>
      <c r="BQ14" s="283">
        <v>3.2</v>
      </c>
      <c r="BR14" s="283">
        <v>3.4000000000000004</v>
      </c>
      <c r="BS14" s="283">
        <v>3</v>
      </c>
      <c r="BT14" s="283">
        <v>3.3000000000000003</v>
      </c>
      <c r="BU14" s="283">
        <v>2.2999999999999998</v>
      </c>
      <c r="BV14" s="283">
        <v>2.7</v>
      </c>
      <c r="BW14" s="283">
        <v>3</v>
      </c>
      <c r="BX14" s="283">
        <v>3.6</v>
      </c>
      <c r="BY14" s="283">
        <v>4.9000000000000004</v>
      </c>
      <c r="BZ14" s="283">
        <v>5.5</v>
      </c>
      <c r="CA14" s="285" t="s">
        <v>28</v>
      </c>
      <c r="CB14" s="283">
        <v>17.5</v>
      </c>
      <c r="CC14" s="283">
        <v>17</v>
      </c>
      <c r="CD14" s="283">
        <v>15.6</v>
      </c>
      <c r="CE14" s="283">
        <v>16.5</v>
      </c>
      <c r="CF14" s="283">
        <v>13.1</v>
      </c>
      <c r="CG14" s="283">
        <v>11.3</v>
      </c>
      <c r="CH14" s="283">
        <v>10.799999999999999</v>
      </c>
      <c r="CI14" s="283">
        <v>9</v>
      </c>
      <c r="CJ14" s="283">
        <v>10.7</v>
      </c>
      <c r="CK14" s="283">
        <v>11.7</v>
      </c>
      <c r="CL14" s="285" t="s">
        <v>28</v>
      </c>
      <c r="CM14" s="286">
        <v>12.6</v>
      </c>
      <c r="CN14" s="286">
        <v>15</v>
      </c>
      <c r="CO14" s="286">
        <v>16.3</v>
      </c>
      <c r="CP14" s="286">
        <v>15.3</v>
      </c>
      <c r="CQ14" s="286">
        <v>12.5</v>
      </c>
      <c r="CR14" s="286">
        <v>15.3</v>
      </c>
      <c r="CS14" s="286">
        <v>14.9</v>
      </c>
      <c r="CT14" s="286">
        <v>11.5</v>
      </c>
      <c r="CU14" s="286">
        <v>10.1</v>
      </c>
      <c r="CV14" s="286">
        <v>12.8</v>
      </c>
      <c r="CW14" s="285" t="s">
        <v>28</v>
      </c>
      <c r="CX14" s="286">
        <v>16.3</v>
      </c>
      <c r="CY14" s="286">
        <v>22.2</v>
      </c>
      <c r="CZ14" s="286">
        <v>21.8</v>
      </c>
      <c r="DA14" s="286">
        <v>18.100000000000001</v>
      </c>
      <c r="DB14" s="286">
        <v>12.1</v>
      </c>
      <c r="DC14" s="286">
        <v>18.100000000000001</v>
      </c>
      <c r="DD14" s="286">
        <v>19.2</v>
      </c>
      <c r="DE14" s="286">
        <v>16.100000000000001</v>
      </c>
      <c r="DF14" s="286">
        <v>13.7</v>
      </c>
      <c r="DG14" s="286">
        <v>19.899999999999999</v>
      </c>
      <c r="DH14" s="285" t="s">
        <v>28</v>
      </c>
      <c r="DI14" s="286">
        <v>20.9</v>
      </c>
      <c r="DJ14" s="286">
        <v>21.5</v>
      </c>
      <c r="DK14" s="286">
        <v>19.100000000000001</v>
      </c>
      <c r="DL14" s="286">
        <v>22.9</v>
      </c>
      <c r="DM14" s="286">
        <v>21.6</v>
      </c>
      <c r="DN14" s="286">
        <v>24.2</v>
      </c>
      <c r="DO14" s="286">
        <v>19.600000000000001</v>
      </c>
      <c r="DP14" s="286">
        <v>18.7</v>
      </c>
      <c r="DQ14" s="286">
        <v>18</v>
      </c>
      <c r="DR14" s="286">
        <v>20.2</v>
      </c>
      <c r="DS14" s="285" t="s">
        <v>28</v>
      </c>
      <c r="DT14" s="287"/>
      <c r="DU14" s="287"/>
      <c r="DV14" s="287"/>
      <c r="DW14" s="287"/>
      <c r="DX14" s="287"/>
      <c r="DY14" s="287"/>
      <c r="DZ14" s="287"/>
      <c r="EA14" s="287"/>
      <c r="EB14" s="287"/>
      <c r="EC14" s="287"/>
      <c r="ED14" s="279" t="s">
        <v>28</v>
      </c>
      <c r="EE14" s="280"/>
      <c r="EF14" s="281">
        <v>0.6</v>
      </c>
      <c r="EG14" s="280">
        <v>0.6</v>
      </c>
      <c r="EH14" s="280">
        <v>0.7</v>
      </c>
      <c r="EI14" s="280">
        <v>0.6</v>
      </c>
      <c r="EJ14" s="280">
        <v>0.5</v>
      </c>
      <c r="EK14" s="280">
        <v>0.6</v>
      </c>
      <c r="EL14" s="280">
        <v>0.6</v>
      </c>
      <c r="EM14" s="280"/>
      <c r="EN14" s="281"/>
      <c r="EO14" s="279" t="s">
        <v>28</v>
      </c>
      <c r="EP14" s="280">
        <v>10.1</v>
      </c>
      <c r="EQ14" s="280">
        <v>8.6</v>
      </c>
      <c r="ER14" s="280">
        <v>6.7</v>
      </c>
      <c r="ES14" s="280">
        <v>9.3000000000000007</v>
      </c>
      <c r="ET14" s="280">
        <v>10</v>
      </c>
      <c r="EU14" s="280">
        <v>11.3</v>
      </c>
      <c r="EV14" s="280">
        <v>7.9</v>
      </c>
      <c r="EW14" s="280">
        <v>8.1999999999999993</v>
      </c>
      <c r="EX14" s="280">
        <v>8.8000000000000007</v>
      </c>
      <c r="EY14" s="280">
        <v>9.1999999999999993</v>
      </c>
      <c r="EZ14" s="285" t="s">
        <v>28</v>
      </c>
      <c r="FA14" s="280">
        <v>2.6</v>
      </c>
      <c r="FB14" s="280">
        <v>2.9</v>
      </c>
      <c r="FC14" s="280">
        <v>3.2</v>
      </c>
      <c r="FD14" s="280">
        <v>2.6</v>
      </c>
      <c r="FE14" s="280">
        <v>2.1</v>
      </c>
      <c r="FF14" s="280">
        <v>3.3</v>
      </c>
      <c r="FG14" s="280">
        <v>2.5</v>
      </c>
      <c r="FH14" s="280">
        <v>3.1</v>
      </c>
      <c r="FI14" s="280">
        <v>2.2999999999999998</v>
      </c>
      <c r="FJ14" s="280">
        <v>2.4</v>
      </c>
      <c r="FK14" s="285" t="s">
        <v>28</v>
      </c>
      <c r="FL14" s="280">
        <v>4</v>
      </c>
      <c r="FM14" s="280">
        <v>4.2</v>
      </c>
      <c r="FN14" s="280">
        <v>4.3</v>
      </c>
      <c r="FO14" s="280">
        <v>4.8</v>
      </c>
      <c r="FP14" s="280">
        <v>4.2</v>
      </c>
      <c r="FQ14" s="280">
        <v>4.9000000000000004</v>
      </c>
      <c r="FR14" s="280">
        <v>4.5999999999999996</v>
      </c>
      <c r="FS14" s="280">
        <v>3.1</v>
      </c>
      <c r="FT14" s="280">
        <v>2.7</v>
      </c>
      <c r="FU14" s="280">
        <v>4.5</v>
      </c>
      <c r="FV14" s="279" t="s">
        <v>28</v>
      </c>
      <c r="FW14" s="280">
        <v>5.2</v>
      </c>
      <c r="FX14" s="280">
        <v>11.3</v>
      </c>
      <c r="FY14" s="280">
        <v>11.8</v>
      </c>
      <c r="FZ14" s="280">
        <v>9.3000000000000007</v>
      </c>
      <c r="GA14" s="280">
        <v>6.7</v>
      </c>
      <c r="GB14" s="280">
        <v>10.6</v>
      </c>
      <c r="GC14" s="280">
        <v>10.9</v>
      </c>
      <c r="GD14" s="280">
        <v>8.6</v>
      </c>
      <c r="GE14" s="280">
        <v>5.5</v>
      </c>
      <c r="GF14" s="280">
        <v>9.8000000000000007</v>
      </c>
      <c r="GG14" s="285" t="s">
        <v>28</v>
      </c>
      <c r="GH14" s="281"/>
      <c r="GI14" s="281"/>
      <c r="GJ14" s="280"/>
      <c r="GK14" s="281"/>
      <c r="GL14" s="281"/>
      <c r="GM14" s="281"/>
      <c r="GN14" s="281"/>
      <c r="GO14" s="281"/>
      <c r="GP14" s="281"/>
      <c r="GQ14" s="281"/>
      <c r="GR14" s="279" t="s">
        <v>28</v>
      </c>
      <c r="GS14" s="280">
        <v>1.8</v>
      </c>
      <c r="GT14" s="280">
        <v>2.5</v>
      </c>
      <c r="GU14" s="280">
        <v>2.5</v>
      </c>
      <c r="GV14" s="280">
        <v>2</v>
      </c>
      <c r="GW14" s="280">
        <v>2.4</v>
      </c>
      <c r="GX14" s="280">
        <v>2.6</v>
      </c>
      <c r="GY14" s="280">
        <v>2.2999999999999998</v>
      </c>
      <c r="GZ14" s="280">
        <v>1.3</v>
      </c>
      <c r="HA14" s="280">
        <v>1.3</v>
      </c>
      <c r="HB14" s="280">
        <v>2</v>
      </c>
      <c r="HC14" s="279" t="s">
        <v>28</v>
      </c>
      <c r="HD14" s="280">
        <v>0.8</v>
      </c>
      <c r="HE14" s="280">
        <v>2.1</v>
      </c>
      <c r="HF14" s="280">
        <v>2.5</v>
      </c>
      <c r="HG14" s="280">
        <v>1.9</v>
      </c>
      <c r="HH14" s="280">
        <v>1.3</v>
      </c>
      <c r="HI14" s="280">
        <v>1.1000000000000001</v>
      </c>
      <c r="HJ14" s="280">
        <v>0.9</v>
      </c>
      <c r="HK14" s="280">
        <v>0.9</v>
      </c>
      <c r="HL14" s="280">
        <v>0.7</v>
      </c>
      <c r="HM14" s="280">
        <v>1.1000000000000001</v>
      </c>
      <c r="HN14" s="285" t="s">
        <v>28</v>
      </c>
      <c r="HO14" s="280">
        <v>24.3</v>
      </c>
      <c r="HP14" s="280">
        <v>25.7</v>
      </c>
      <c r="HQ14" s="280">
        <v>24.9</v>
      </c>
      <c r="HR14" s="280">
        <v>25</v>
      </c>
      <c r="HS14" s="280">
        <v>18.100000000000001</v>
      </c>
      <c r="HT14" s="280">
        <v>22.8</v>
      </c>
      <c r="HU14" s="280">
        <v>23.6</v>
      </c>
      <c r="HV14" s="280">
        <v>18.899999999999999</v>
      </c>
      <c r="HW14" s="280">
        <v>17.399999999999999</v>
      </c>
      <c r="HX14" s="280">
        <v>20.399999999999999</v>
      </c>
      <c r="HY14" s="279" t="s">
        <v>28</v>
      </c>
      <c r="HZ14" s="281"/>
      <c r="IA14" s="281"/>
      <c r="IB14" s="281"/>
      <c r="IC14" s="281"/>
      <c r="ID14" s="281">
        <v>0.7</v>
      </c>
      <c r="IE14" s="280"/>
      <c r="IF14" s="281"/>
      <c r="IG14" s="281">
        <v>1.3</v>
      </c>
      <c r="IH14" s="280">
        <v>2.6</v>
      </c>
      <c r="II14" s="280">
        <v>3</v>
      </c>
      <c r="IJ14" s="285" t="s">
        <v>28</v>
      </c>
      <c r="IK14" s="281"/>
      <c r="IL14" s="281"/>
      <c r="IM14" s="281"/>
      <c r="IN14" s="281"/>
      <c r="IO14" s="281"/>
      <c r="IP14" s="281"/>
      <c r="IQ14" s="281"/>
      <c r="IR14" s="281"/>
      <c r="IS14" s="281"/>
      <c r="IT14" s="281"/>
      <c r="IU14" s="279" t="s">
        <v>28</v>
      </c>
      <c r="IV14" s="280">
        <v>2.1</v>
      </c>
      <c r="IW14" s="280">
        <v>2.7</v>
      </c>
      <c r="IX14" s="280">
        <v>2.8</v>
      </c>
      <c r="IY14" s="280">
        <v>2.4</v>
      </c>
      <c r="IZ14" s="280">
        <v>2.9</v>
      </c>
      <c r="JA14" s="280">
        <v>3.2</v>
      </c>
      <c r="JB14" s="280">
        <v>3.6</v>
      </c>
      <c r="JC14" s="280">
        <v>2.8</v>
      </c>
      <c r="JD14" s="280">
        <v>1.8</v>
      </c>
      <c r="JE14" s="280">
        <v>2.1</v>
      </c>
      <c r="JF14" s="279" t="s">
        <v>28</v>
      </c>
      <c r="JG14" s="280">
        <v>1.7</v>
      </c>
      <c r="JH14" s="280">
        <v>1.7</v>
      </c>
      <c r="JI14" s="280">
        <v>1.5</v>
      </c>
      <c r="JJ14" s="280">
        <v>1.3</v>
      </c>
      <c r="JK14" s="280">
        <v>1.3</v>
      </c>
      <c r="JL14" s="280">
        <v>0.8</v>
      </c>
      <c r="JM14" s="280">
        <v>0.9</v>
      </c>
      <c r="JN14" s="280">
        <v>0.8</v>
      </c>
      <c r="JO14" s="280"/>
      <c r="JP14" s="280"/>
      <c r="JQ14" s="279" t="s">
        <v>28</v>
      </c>
      <c r="JR14" s="280">
        <v>1.7</v>
      </c>
      <c r="JS14" s="280">
        <v>2.2999999999999998</v>
      </c>
      <c r="JT14" s="280">
        <v>1.8</v>
      </c>
      <c r="JU14" s="280">
        <v>1.8</v>
      </c>
      <c r="JV14" s="280">
        <v>2.1</v>
      </c>
      <c r="JW14" s="280">
        <v>2.4</v>
      </c>
      <c r="JX14" s="280">
        <v>2.2999999999999998</v>
      </c>
      <c r="JY14" s="280">
        <v>1.6</v>
      </c>
      <c r="JZ14" s="280">
        <v>2.2999999999999998</v>
      </c>
      <c r="KA14" s="280">
        <v>2.5</v>
      </c>
      <c r="KB14" s="279" t="s">
        <v>28</v>
      </c>
      <c r="KC14" s="280">
        <v>2.5</v>
      </c>
      <c r="KD14" s="280">
        <v>4.0999999999999996</v>
      </c>
      <c r="KE14" s="280">
        <v>4.3</v>
      </c>
      <c r="KF14" s="280">
        <v>3.8</v>
      </c>
      <c r="KG14" s="280">
        <v>2.9</v>
      </c>
      <c r="KH14" s="280">
        <v>3.3</v>
      </c>
      <c r="KI14" s="280">
        <v>3.3</v>
      </c>
      <c r="KJ14" s="280">
        <v>3.7</v>
      </c>
      <c r="KK14" s="280">
        <v>2.1</v>
      </c>
      <c r="KL14" s="280">
        <v>3.5</v>
      </c>
      <c r="KM14" s="279" t="s">
        <v>28</v>
      </c>
      <c r="KN14" s="280">
        <v>0.7</v>
      </c>
      <c r="KO14" s="280">
        <v>2.1</v>
      </c>
      <c r="KP14" s="280">
        <v>1.9</v>
      </c>
      <c r="KQ14" s="280">
        <v>1.8</v>
      </c>
      <c r="KR14" s="280">
        <v>1.5</v>
      </c>
      <c r="KS14" s="280">
        <v>2</v>
      </c>
      <c r="KT14" s="280">
        <v>1.5</v>
      </c>
      <c r="KU14" s="280">
        <v>1.6</v>
      </c>
      <c r="KV14" s="280">
        <v>1.1000000000000001</v>
      </c>
      <c r="KW14" s="280">
        <v>1.7</v>
      </c>
      <c r="KX14" s="279" t="s">
        <v>28</v>
      </c>
      <c r="KY14" s="280">
        <v>3.5</v>
      </c>
      <c r="KZ14" s="280">
        <v>9.8000000000000007</v>
      </c>
      <c r="LA14" s="280">
        <v>12.5</v>
      </c>
      <c r="LB14" s="280">
        <v>8.5</v>
      </c>
      <c r="LC14" s="280">
        <v>4.4000000000000004</v>
      </c>
      <c r="LD14" s="280">
        <v>12.4</v>
      </c>
      <c r="LE14" s="280">
        <v>14.4</v>
      </c>
      <c r="LF14" s="280">
        <v>8.1999999999999993</v>
      </c>
      <c r="LG14" s="280">
        <v>3.9</v>
      </c>
      <c r="LH14" s="280">
        <v>10.1</v>
      </c>
      <c r="LI14" s="285" t="s">
        <v>28</v>
      </c>
      <c r="LJ14" s="281">
        <v>0.7</v>
      </c>
      <c r="LK14" s="281">
        <v>0.8</v>
      </c>
      <c r="LL14" s="280">
        <v>0.7</v>
      </c>
      <c r="LM14" s="281">
        <v>1.1000000000000001</v>
      </c>
      <c r="LN14" s="280">
        <v>1.3</v>
      </c>
      <c r="LO14" s="280">
        <v>1.6</v>
      </c>
      <c r="LP14" s="280">
        <v>1.4</v>
      </c>
      <c r="LQ14" s="281">
        <v>0.7</v>
      </c>
      <c r="LR14" s="280">
        <v>0.7</v>
      </c>
      <c r="LS14" s="280">
        <v>1.1000000000000001</v>
      </c>
      <c r="LT14" s="279" t="s">
        <v>28</v>
      </c>
      <c r="LU14" s="281">
        <v>2.2000000000000002</v>
      </c>
      <c r="LV14" s="281">
        <v>2.2999999999999998</v>
      </c>
      <c r="LW14" s="280">
        <v>1.7</v>
      </c>
      <c r="LX14" s="281">
        <v>1.8</v>
      </c>
      <c r="LY14" s="280">
        <v>1.5</v>
      </c>
      <c r="LZ14" s="280">
        <v>1.9</v>
      </c>
      <c r="MA14" s="281">
        <v>1.9</v>
      </c>
      <c r="MB14" s="281">
        <v>1.6</v>
      </c>
      <c r="MC14" s="281">
        <v>1.7</v>
      </c>
      <c r="MD14" s="281">
        <v>1.4</v>
      </c>
      <c r="ME14" s="279" t="s">
        <v>28</v>
      </c>
      <c r="MF14" s="280">
        <v>2.8</v>
      </c>
      <c r="MG14" s="280">
        <v>2.8</v>
      </c>
      <c r="MH14" s="280">
        <v>2.5</v>
      </c>
      <c r="MI14" s="280">
        <v>2.2999999999999998</v>
      </c>
      <c r="MJ14" s="280">
        <v>1.8</v>
      </c>
      <c r="MK14" s="280">
        <v>2.5</v>
      </c>
      <c r="ML14" s="280">
        <v>1.8</v>
      </c>
      <c r="MM14" s="281">
        <v>1.9</v>
      </c>
      <c r="MN14" s="280">
        <v>1.8</v>
      </c>
      <c r="MO14" s="280">
        <v>2.1</v>
      </c>
      <c r="MP14" s="279" t="s">
        <v>28</v>
      </c>
      <c r="MQ14" s="280">
        <v>1</v>
      </c>
      <c r="MR14" s="280">
        <v>0.9</v>
      </c>
      <c r="MS14" s="280">
        <v>1</v>
      </c>
      <c r="MT14" s="280">
        <v>0.7</v>
      </c>
      <c r="MU14" s="280">
        <v>0.7</v>
      </c>
      <c r="MV14" s="280">
        <v>0.9</v>
      </c>
      <c r="MW14" s="280">
        <v>1.3</v>
      </c>
      <c r="MX14" s="280">
        <v>0.6</v>
      </c>
      <c r="MY14" s="280">
        <v>0.7</v>
      </c>
      <c r="MZ14" s="280">
        <v>1.2</v>
      </c>
      <c r="NA14" s="279" t="s">
        <v>28</v>
      </c>
      <c r="NB14" s="280">
        <v>2.2999999999999998</v>
      </c>
      <c r="NC14" s="280">
        <v>2.5</v>
      </c>
      <c r="ND14" s="280">
        <v>2.5</v>
      </c>
      <c r="NE14" s="280">
        <v>3.2</v>
      </c>
      <c r="NF14" s="280">
        <v>4.0999999999999996</v>
      </c>
      <c r="NG14" s="280">
        <v>3.7</v>
      </c>
      <c r="NH14" s="280">
        <v>2.7</v>
      </c>
      <c r="NI14" s="280">
        <v>4.5</v>
      </c>
      <c r="NJ14" s="280">
        <v>5.9</v>
      </c>
      <c r="NK14" s="280">
        <v>6.8</v>
      </c>
      <c r="NL14" s="285" t="s">
        <v>28</v>
      </c>
      <c r="NM14" s="280">
        <v>6.2</v>
      </c>
      <c r="NN14" s="280">
        <v>5.2</v>
      </c>
      <c r="NO14" s="280">
        <v>3.1</v>
      </c>
      <c r="NP14" s="280">
        <v>5.8</v>
      </c>
      <c r="NQ14" s="280">
        <v>6</v>
      </c>
      <c r="NR14" s="280">
        <v>6.4</v>
      </c>
      <c r="NS14" s="280">
        <v>3.6</v>
      </c>
      <c r="NT14" s="280">
        <v>4.7</v>
      </c>
      <c r="NU14" s="280">
        <v>4.2</v>
      </c>
      <c r="NV14" s="280">
        <v>3.6</v>
      </c>
      <c r="NW14" s="279" t="s">
        <v>28</v>
      </c>
      <c r="NX14" s="280">
        <v>2.4</v>
      </c>
      <c r="NY14" s="280">
        <v>2.2999999999999998</v>
      </c>
      <c r="NZ14" s="280">
        <v>2.2999999999999998</v>
      </c>
      <c r="OA14" s="280">
        <v>2.2999999999999998</v>
      </c>
      <c r="OB14" s="280">
        <v>2.5</v>
      </c>
      <c r="OC14" s="280">
        <v>2.6</v>
      </c>
      <c r="OD14" s="280">
        <v>2</v>
      </c>
      <c r="OE14" s="280">
        <v>1.7</v>
      </c>
      <c r="OF14" s="280">
        <v>1.7</v>
      </c>
      <c r="OG14" s="280">
        <v>1.5</v>
      </c>
      <c r="OH14" s="296" t="s">
        <v>28</v>
      </c>
      <c r="OI14" s="297">
        <v>16.100000000000001</v>
      </c>
      <c r="OJ14" s="297">
        <v>16</v>
      </c>
      <c r="OK14" s="297">
        <v>17.7</v>
      </c>
      <c r="OL14" s="297">
        <v>14.6</v>
      </c>
      <c r="OM14" s="297">
        <v>14.7</v>
      </c>
      <c r="ON14" s="297">
        <v>12.7</v>
      </c>
      <c r="OO14" s="297">
        <v>14.1</v>
      </c>
      <c r="OP14" s="297">
        <v>12.2</v>
      </c>
      <c r="OQ14" s="297">
        <v>13.1</v>
      </c>
      <c r="OR14" s="297">
        <v>13</v>
      </c>
      <c r="OS14" s="279" t="s">
        <v>28</v>
      </c>
      <c r="OT14" s="280">
        <v>1.6</v>
      </c>
      <c r="OU14" s="280">
        <v>1.5</v>
      </c>
      <c r="OV14" s="280">
        <v>1.2</v>
      </c>
      <c r="OW14" s="280">
        <v>0.5</v>
      </c>
      <c r="OX14" s="280">
        <v>0.3</v>
      </c>
      <c r="OY14" s="280">
        <v>0.8</v>
      </c>
      <c r="OZ14" s="280">
        <v>0.2</v>
      </c>
      <c r="PA14" s="280">
        <v>0.4</v>
      </c>
      <c r="PB14" s="280">
        <v>1.5</v>
      </c>
      <c r="PC14" s="280">
        <v>2.5</v>
      </c>
    </row>
    <row r="15" spans="1:419">
      <c r="A15" s="269">
        <v>6</v>
      </c>
      <c r="B15" s="285" t="s">
        <v>19</v>
      </c>
      <c r="C15" s="286">
        <v>9.5</v>
      </c>
      <c r="D15" s="286">
        <v>10.3</v>
      </c>
      <c r="E15" s="286">
        <v>10.3</v>
      </c>
      <c r="F15" s="286">
        <v>10</v>
      </c>
      <c r="G15" s="286">
        <v>9.1999999999999993</v>
      </c>
      <c r="H15" s="286">
        <v>9.8000000000000007</v>
      </c>
      <c r="I15" s="286">
        <v>10</v>
      </c>
      <c r="J15" s="286">
        <v>9.9</v>
      </c>
      <c r="K15" s="286">
        <v>9.3000000000000007</v>
      </c>
      <c r="L15" s="286">
        <v>9.6</v>
      </c>
      <c r="M15" s="285" t="s">
        <v>19</v>
      </c>
      <c r="N15" s="286">
        <v>385.8</v>
      </c>
      <c r="O15" s="286">
        <v>419.5</v>
      </c>
      <c r="P15" s="286">
        <v>422.8</v>
      </c>
      <c r="Q15" s="286">
        <v>414.8</v>
      </c>
      <c r="R15" s="286">
        <v>383.5</v>
      </c>
      <c r="S15" s="286">
        <v>406.5</v>
      </c>
      <c r="T15" s="286">
        <v>419.4</v>
      </c>
      <c r="U15" s="286">
        <v>415.5</v>
      </c>
      <c r="V15" s="286">
        <v>392.6</v>
      </c>
      <c r="W15" s="286">
        <v>406.5</v>
      </c>
      <c r="X15" s="285" t="s">
        <v>19</v>
      </c>
      <c r="Y15" s="286">
        <v>1.4</v>
      </c>
      <c r="Z15" s="286">
        <v>0.8</v>
      </c>
      <c r="AA15" s="286">
        <v>2.1</v>
      </c>
      <c r="AB15" s="286">
        <v>0.8</v>
      </c>
      <c r="AC15" s="286"/>
      <c r="AD15" s="286"/>
      <c r="AE15" s="286">
        <v>3.4</v>
      </c>
      <c r="AF15" s="286"/>
      <c r="AG15" s="286"/>
      <c r="AH15" s="286">
        <v>1.1000000000000001</v>
      </c>
      <c r="AI15" s="279" t="s">
        <v>19</v>
      </c>
      <c r="AJ15" s="280">
        <v>14.7</v>
      </c>
      <c r="AK15" s="280">
        <v>11.3</v>
      </c>
      <c r="AL15" s="280">
        <v>25.6</v>
      </c>
      <c r="AM15" s="280">
        <v>20.5</v>
      </c>
      <c r="AN15" s="280">
        <v>14.1</v>
      </c>
      <c r="AO15" s="280">
        <v>15.1</v>
      </c>
      <c r="AP15" s="280">
        <v>18.100000000000001</v>
      </c>
      <c r="AQ15" s="280">
        <v>17.8</v>
      </c>
      <c r="AR15" s="280">
        <v>15.2</v>
      </c>
      <c r="AS15" s="280">
        <v>12.5</v>
      </c>
      <c r="AT15" s="279" t="s">
        <v>19</v>
      </c>
      <c r="AU15" s="280">
        <v>41.4</v>
      </c>
      <c r="AV15" s="280">
        <v>49.6</v>
      </c>
      <c r="AW15" s="280">
        <v>43.8</v>
      </c>
      <c r="AX15" s="280">
        <v>49.4</v>
      </c>
      <c r="AY15" s="280">
        <v>37.1</v>
      </c>
      <c r="AZ15" s="280">
        <v>38.700000000000003</v>
      </c>
      <c r="BA15" s="280">
        <v>46.3</v>
      </c>
      <c r="BB15" s="280">
        <v>50.6</v>
      </c>
      <c r="BC15" s="280">
        <v>36.4</v>
      </c>
      <c r="BD15" s="280">
        <v>37.299999999999997</v>
      </c>
      <c r="BE15" s="285" t="s">
        <v>19</v>
      </c>
      <c r="BF15" s="280">
        <v>151</v>
      </c>
      <c r="BG15" s="280">
        <v>186.7</v>
      </c>
      <c r="BH15" s="280">
        <v>192.6</v>
      </c>
      <c r="BI15" s="280">
        <v>182.5</v>
      </c>
      <c r="BJ15" s="280">
        <v>164.5</v>
      </c>
      <c r="BK15" s="280">
        <v>185.9</v>
      </c>
      <c r="BL15" s="280">
        <v>180.9</v>
      </c>
      <c r="BM15" s="280">
        <v>180.1</v>
      </c>
      <c r="BN15" s="280">
        <v>162.19999999999999</v>
      </c>
      <c r="BO15" s="280">
        <v>169.8</v>
      </c>
      <c r="BP15" s="285" t="s">
        <v>19</v>
      </c>
      <c r="BQ15" s="283">
        <v>102</v>
      </c>
      <c r="BR15" s="283">
        <v>101.1</v>
      </c>
      <c r="BS15" s="283">
        <v>89.2</v>
      </c>
      <c r="BT15" s="283">
        <v>92</v>
      </c>
      <c r="BU15" s="283">
        <v>100.2</v>
      </c>
      <c r="BV15" s="283">
        <v>97.800000000000011</v>
      </c>
      <c r="BW15" s="283">
        <v>96.5</v>
      </c>
      <c r="BX15" s="283">
        <v>94.2</v>
      </c>
      <c r="BY15" s="283">
        <v>104.8</v>
      </c>
      <c r="BZ15" s="283">
        <v>109.8</v>
      </c>
      <c r="CA15" s="285" t="s">
        <v>19</v>
      </c>
      <c r="CB15" s="283">
        <v>75</v>
      </c>
      <c r="CC15" s="283">
        <v>69.599999999999994</v>
      </c>
      <c r="CD15" s="283">
        <v>69.400000000000006</v>
      </c>
      <c r="CE15" s="283">
        <v>69</v>
      </c>
      <c r="CF15" s="283">
        <v>67</v>
      </c>
      <c r="CG15" s="283">
        <v>67.900000000000006</v>
      </c>
      <c r="CH15" s="283">
        <v>73.900000000000006</v>
      </c>
      <c r="CI15" s="283">
        <v>72</v>
      </c>
      <c r="CJ15" s="283">
        <v>73.5</v>
      </c>
      <c r="CK15" s="283">
        <v>75</v>
      </c>
      <c r="CL15" s="285" t="s">
        <v>19</v>
      </c>
      <c r="CM15" s="286">
        <v>29.1</v>
      </c>
      <c r="CN15" s="286">
        <v>39.6</v>
      </c>
      <c r="CO15" s="286">
        <v>40.700000000000003</v>
      </c>
      <c r="CP15" s="286">
        <v>38.299999999999997</v>
      </c>
      <c r="CQ15" s="286">
        <v>41.1</v>
      </c>
      <c r="CR15" s="286">
        <v>40.799999999999997</v>
      </c>
      <c r="CS15" s="286">
        <v>43.8</v>
      </c>
      <c r="CT15" s="286">
        <v>42.2</v>
      </c>
      <c r="CU15" s="286">
        <v>36.4</v>
      </c>
      <c r="CV15" s="286">
        <v>37.799999999999997</v>
      </c>
      <c r="CW15" s="285" t="s">
        <v>19</v>
      </c>
      <c r="CX15" s="286">
        <v>271.3</v>
      </c>
      <c r="CY15" s="286">
        <v>290.89999999999998</v>
      </c>
      <c r="CZ15" s="286">
        <v>297.10000000000002</v>
      </c>
      <c r="DA15" s="286">
        <v>293.8</v>
      </c>
      <c r="DB15" s="286">
        <v>265.2</v>
      </c>
      <c r="DC15" s="286">
        <v>286.39999999999998</v>
      </c>
      <c r="DD15" s="286">
        <v>297.10000000000002</v>
      </c>
      <c r="DE15" s="286">
        <v>284.89999999999998</v>
      </c>
      <c r="DF15" s="286">
        <v>269</v>
      </c>
      <c r="DG15" s="286">
        <v>278.2</v>
      </c>
      <c r="DH15" s="285" t="s">
        <v>19</v>
      </c>
      <c r="DI15" s="286">
        <v>85.4</v>
      </c>
      <c r="DJ15" s="286">
        <v>89</v>
      </c>
      <c r="DK15" s="286">
        <v>84.8</v>
      </c>
      <c r="DL15" s="286">
        <v>82.5</v>
      </c>
      <c r="DM15" s="286">
        <v>77</v>
      </c>
      <c r="DN15" s="286">
        <v>79.099999999999994</v>
      </c>
      <c r="DO15" s="286">
        <v>78.400000000000006</v>
      </c>
      <c r="DP15" s="286">
        <v>88.3</v>
      </c>
      <c r="DQ15" s="286">
        <v>87.2</v>
      </c>
      <c r="DR15" s="286">
        <v>90.6</v>
      </c>
      <c r="DS15" s="285" t="s">
        <v>19</v>
      </c>
      <c r="DT15" s="287"/>
      <c r="DU15" s="287"/>
      <c r="DV15" s="287"/>
      <c r="DW15" s="287"/>
      <c r="DX15" s="287"/>
      <c r="DY15" s="287"/>
      <c r="DZ15" s="287"/>
      <c r="EA15" s="287"/>
      <c r="EB15" s="287"/>
      <c r="EC15" s="287"/>
      <c r="ED15" s="285" t="s">
        <v>19</v>
      </c>
      <c r="EE15" s="280">
        <v>8.5</v>
      </c>
      <c r="EF15" s="280">
        <v>8.4</v>
      </c>
      <c r="EG15" s="280">
        <v>8.1</v>
      </c>
      <c r="EH15" s="280">
        <v>7.7</v>
      </c>
      <c r="EI15" s="280">
        <v>7.1</v>
      </c>
      <c r="EJ15" s="280">
        <v>6.8</v>
      </c>
      <c r="EK15" s="280">
        <v>6.8</v>
      </c>
      <c r="EL15" s="280">
        <v>8.8000000000000007</v>
      </c>
      <c r="EM15" s="280">
        <v>7.5</v>
      </c>
      <c r="EN15" s="280">
        <v>7.4</v>
      </c>
      <c r="EO15" s="285" t="s">
        <v>19</v>
      </c>
      <c r="EP15" s="280">
        <v>48.1</v>
      </c>
      <c r="EQ15" s="280">
        <v>50.2</v>
      </c>
      <c r="ER15" s="280">
        <v>42.9</v>
      </c>
      <c r="ES15" s="280">
        <v>44.9</v>
      </c>
      <c r="ET15" s="280">
        <v>39</v>
      </c>
      <c r="EU15" s="280">
        <v>43.1</v>
      </c>
      <c r="EV15" s="280">
        <v>40.4</v>
      </c>
      <c r="EW15" s="280">
        <v>46</v>
      </c>
      <c r="EX15" s="280">
        <v>49.5</v>
      </c>
      <c r="EY15" s="280">
        <v>49.8</v>
      </c>
      <c r="EZ15" s="285" t="s">
        <v>19</v>
      </c>
      <c r="FA15" s="280">
        <v>46.6</v>
      </c>
      <c r="FB15" s="280">
        <v>47.4</v>
      </c>
      <c r="FC15" s="280">
        <v>44.2</v>
      </c>
      <c r="FD15" s="280">
        <v>46.1</v>
      </c>
      <c r="FE15" s="280">
        <v>45.7</v>
      </c>
      <c r="FF15" s="280">
        <v>45.7</v>
      </c>
      <c r="FG15" s="280">
        <v>46.1</v>
      </c>
      <c r="FH15" s="280">
        <v>46.5</v>
      </c>
      <c r="FI15" s="280">
        <v>42</v>
      </c>
      <c r="FJ15" s="280">
        <v>44.4</v>
      </c>
      <c r="FK15" s="285" t="s">
        <v>19</v>
      </c>
      <c r="FL15" s="280">
        <v>36.6</v>
      </c>
      <c r="FM15" s="280">
        <v>31.8</v>
      </c>
      <c r="FN15" s="280">
        <v>35.1</v>
      </c>
      <c r="FO15" s="280">
        <v>35.5</v>
      </c>
      <c r="FP15" s="280">
        <v>36.1</v>
      </c>
      <c r="FQ15" s="280">
        <v>42.9</v>
      </c>
      <c r="FR15" s="280">
        <v>41.1</v>
      </c>
      <c r="FS15" s="280">
        <v>41.7</v>
      </c>
      <c r="FT15" s="280">
        <v>42.8</v>
      </c>
      <c r="FU15" s="280">
        <v>47.1</v>
      </c>
      <c r="FV15" s="285" t="s">
        <v>19</v>
      </c>
      <c r="FW15" s="280">
        <v>71.7</v>
      </c>
      <c r="FX15" s="280">
        <v>76.2</v>
      </c>
      <c r="FY15" s="280">
        <v>82.5</v>
      </c>
      <c r="FZ15" s="280">
        <v>80.3</v>
      </c>
      <c r="GA15" s="280">
        <v>70.3</v>
      </c>
      <c r="GB15" s="280">
        <v>76.400000000000006</v>
      </c>
      <c r="GC15" s="280">
        <v>79.400000000000006</v>
      </c>
      <c r="GD15" s="280">
        <v>81.2</v>
      </c>
      <c r="GE15" s="280">
        <v>78</v>
      </c>
      <c r="GF15" s="280">
        <v>75.099999999999994</v>
      </c>
      <c r="GG15" s="285" t="s">
        <v>19</v>
      </c>
      <c r="GH15" s="280">
        <v>1.9</v>
      </c>
      <c r="GI15" s="280">
        <v>4.9000000000000004</v>
      </c>
      <c r="GJ15" s="280">
        <v>5.3</v>
      </c>
      <c r="GK15" s="280">
        <v>4.5</v>
      </c>
      <c r="GL15" s="280">
        <v>1.9</v>
      </c>
      <c r="GM15" s="280">
        <v>3.3</v>
      </c>
      <c r="GN15" s="280">
        <v>3.8</v>
      </c>
      <c r="GO15" s="280">
        <v>3.2</v>
      </c>
      <c r="GP15" s="280">
        <v>2.6</v>
      </c>
      <c r="GQ15" s="280">
        <v>4</v>
      </c>
      <c r="GR15" s="285" t="s">
        <v>19</v>
      </c>
      <c r="GS15" s="280">
        <v>43.8</v>
      </c>
      <c r="GT15" s="280">
        <v>51.6</v>
      </c>
      <c r="GU15" s="280">
        <v>50.6</v>
      </c>
      <c r="GV15" s="280">
        <v>51.1</v>
      </c>
      <c r="GW15" s="280">
        <v>41.5</v>
      </c>
      <c r="GX15" s="280">
        <v>43.1</v>
      </c>
      <c r="GY15" s="280">
        <v>50.6</v>
      </c>
      <c r="GZ15" s="280">
        <v>48.2</v>
      </c>
      <c r="HA15" s="280">
        <v>43.5</v>
      </c>
      <c r="HB15" s="280">
        <v>44.9</v>
      </c>
      <c r="HC15" s="279" t="s">
        <v>19</v>
      </c>
      <c r="HD15" s="280">
        <v>70.900000000000006</v>
      </c>
      <c r="HE15" s="280">
        <v>79.5</v>
      </c>
      <c r="HF15" s="280">
        <v>76.2</v>
      </c>
      <c r="HG15" s="280">
        <v>77.2</v>
      </c>
      <c r="HH15" s="280">
        <v>75.599999999999994</v>
      </c>
      <c r="HI15" s="280">
        <v>76.7</v>
      </c>
      <c r="HJ15" s="280">
        <v>74.599999999999994</v>
      </c>
      <c r="HK15" s="280">
        <v>73.7</v>
      </c>
      <c r="HL15" s="280">
        <v>64.599999999999994</v>
      </c>
      <c r="HM15" s="280">
        <v>69.5</v>
      </c>
      <c r="HN15" s="285" t="s">
        <v>19</v>
      </c>
      <c r="HO15" s="280">
        <v>53.5</v>
      </c>
      <c r="HP15" s="280">
        <v>65.599999999999994</v>
      </c>
      <c r="HQ15" s="280">
        <v>74.099999999999994</v>
      </c>
      <c r="HR15" s="280">
        <v>64.099999999999994</v>
      </c>
      <c r="HS15" s="280">
        <v>62.9</v>
      </c>
      <c r="HT15" s="280">
        <v>64.599999999999994</v>
      </c>
      <c r="HU15" s="280">
        <v>73.900000000000006</v>
      </c>
      <c r="HV15" s="280">
        <v>64</v>
      </c>
      <c r="HW15" s="280">
        <v>58.5</v>
      </c>
      <c r="HX15" s="280">
        <v>60.1</v>
      </c>
      <c r="HY15" s="285" t="s">
        <v>19</v>
      </c>
      <c r="HZ15" s="280">
        <v>4.2</v>
      </c>
      <c r="IA15" s="280">
        <v>3.7</v>
      </c>
      <c r="IB15" s="280">
        <v>3.8</v>
      </c>
      <c r="IC15" s="280">
        <v>3.2</v>
      </c>
      <c r="ID15" s="280">
        <v>3.1</v>
      </c>
      <c r="IE15" s="280">
        <v>3.8</v>
      </c>
      <c r="IF15" s="280">
        <v>2.7</v>
      </c>
      <c r="IG15" s="280">
        <v>2.2999999999999998</v>
      </c>
      <c r="IH15" s="280">
        <v>3.6</v>
      </c>
      <c r="II15" s="280">
        <v>4</v>
      </c>
      <c r="IJ15" s="285" t="s">
        <v>19</v>
      </c>
      <c r="IK15" s="281"/>
      <c r="IL15" s="281"/>
      <c r="IM15" s="281"/>
      <c r="IN15" s="281"/>
      <c r="IO15" s="281"/>
      <c r="IP15" s="281"/>
      <c r="IQ15" s="281"/>
      <c r="IR15" s="281"/>
      <c r="IS15" s="281"/>
      <c r="IT15" s="281"/>
      <c r="IU15" s="285" t="s">
        <v>19</v>
      </c>
      <c r="IV15" s="280">
        <v>5.4</v>
      </c>
      <c r="IW15" s="280">
        <v>9.1</v>
      </c>
      <c r="IX15" s="280">
        <v>11.2</v>
      </c>
      <c r="IY15" s="280">
        <v>8</v>
      </c>
      <c r="IZ15" s="280">
        <v>6</v>
      </c>
      <c r="JA15" s="280">
        <v>6.3</v>
      </c>
      <c r="JB15" s="280">
        <v>10.199999999999999</v>
      </c>
      <c r="JC15" s="280">
        <v>7.1</v>
      </c>
      <c r="JD15" s="280">
        <v>6.9</v>
      </c>
      <c r="JE15" s="280">
        <v>10.1</v>
      </c>
      <c r="JF15" s="285" t="s">
        <v>19</v>
      </c>
      <c r="JG15" s="280">
        <v>123.4</v>
      </c>
      <c r="JH15" s="280">
        <v>131.1</v>
      </c>
      <c r="JI15" s="280">
        <v>128.1</v>
      </c>
      <c r="JJ15" s="280">
        <v>131</v>
      </c>
      <c r="JK15" s="280">
        <v>124.7</v>
      </c>
      <c r="JL15" s="280">
        <v>127.3</v>
      </c>
      <c r="JM15" s="280">
        <v>135.69999999999999</v>
      </c>
      <c r="JN15" s="280">
        <v>133.5</v>
      </c>
      <c r="JO15" s="280">
        <v>121.2</v>
      </c>
      <c r="JP15" s="280">
        <v>119.6</v>
      </c>
      <c r="JQ15" s="285" t="s">
        <v>19</v>
      </c>
      <c r="JR15" s="280">
        <v>17.7</v>
      </c>
      <c r="JS15" s="280">
        <v>23.4</v>
      </c>
      <c r="JT15" s="280">
        <v>22.2</v>
      </c>
      <c r="JU15" s="280">
        <v>19.2</v>
      </c>
      <c r="JV15" s="280">
        <v>13.6</v>
      </c>
      <c r="JW15" s="280">
        <v>16.8</v>
      </c>
      <c r="JX15" s="280">
        <v>17.399999999999999</v>
      </c>
      <c r="JY15" s="280">
        <v>17</v>
      </c>
      <c r="JZ15" s="280">
        <v>8.9</v>
      </c>
      <c r="KA15" s="280">
        <v>14</v>
      </c>
      <c r="KB15" s="285" t="s">
        <v>19</v>
      </c>
      <c r="KC15" s="280">
        <v>47.2</v>
      </c>
      <c r="KD15" s="280">
        <v>49</v>
      </c>
      <c r="KE15" s="280">
        <v>56.1</v>
      </c>
      <c r="KF15" s="281">
        <v>58.5</v>
      </c>
      <c r="KG15" s="280">
        <v>48.2</v>
      </c>
      <c r="KH15" s="280">
        <v>51</v>
      </c>
      <c r="KI15" s="280">
        <v>52.4</v>
      </c>
      <c r="KJ15" s="280">
        <v>53.9</v>
      </c>
      <c r="KK15" s="280">
        <v>48.9</v>
      </c>
      <c r="KL15" s="280">
        <v>45.2</v>
      </c>
      <c r="KM15" s="279" t="s">
        <v>19</v>
      </c>
      <c r="KN15" s="281">
        <v>17.7</v>
      </c>
      <c r="KO15" s="280">
        <v>19.600000000000001</v>
      </c>
      <c r="KP15" s="281">
        <v>21.9</v>
      </c>
      <c r="KQ15" s="281">
        <v>20</v>
      </c>
      <c r="KR15" s="281">
        <v>17</v>
      </c>
      <c r="KS15" s="281">
        <v>18.5</v>
      </c>
      <c r="KT15" s="281">
        <v>16.600000000000001</v>
      </c>
      <c r="KU15" s="281">
        <v>19.2</v>
      </c>
      <c r="KV15" s="281">
        <v>18.3</v>
      </c>
      <c r="KW15" s="281">
        <v>21.1</v>
      </c>
      <c r="KX15" s="285" t="s">
        <v>19</v>
      </c>
      <c r="KY15" s="280">
        <v>22.6</v>
      </c>
      <c r="KZ15" s="280">
        <v>24.6</v>
      </c>
      <c r="LA15" s="280">
        <v>29.2</v>
      </c>
      <c r="LB15" s="281">
        <v>24.2</v>
      </c>
      <c r="LC15" s="280">
        <v>21.6</v>
      </c>
      <c r="LD15" s="280">
        <v>23.7</v>
      </c>
      <c r="LE15" s="280">
        <v>27.1</v>
      </c>
      <c r="LF15" s="280">
        <v>23.8</v>
      </c>
      <c r="LG15" s="280">
        <v>20.9</v>
      </c>
      <c r="LH15" s="280">
        <v>22.2</v>
      </c>
      <c r="LI15" s="285" t="s">
        <v>19</v>
      </c>
      <c r="LJ15" s="281">
        <v>8</v>
      </c>
      <c r="LK15" s="281">
        <v>8.1999999999999993</v>
      </c>
      <c r="LL15" s="281">
        <v>7.4</v>
      </c>
      <c r="LM15" s="281">
        <v>8.4</v>
      </c>
      <c r="LN15" s="281">
        <v>8.1999999999999993</v>
      </c>
      <c r="LO15" s="281">
        <v>10.5</v>
      </c>
      <c r="LP15" s="281">
        <v>9.4</v>
      </c>
      <c r="LQ15" s="281">
        <v>7.9</v>
      </c>
      <c r="LR15" s="281">
        <v>7</v>
      </c>
      <c r="LS15" s="281">
        <v>7</v>
      </c>
      <c r="LT15" s="279" t="s">
        <v>19</v>
      </c>
      <c r="LU15" s="281">
        <v>6.2</v>
      </c>
      <c r="LV15" s="281">
        <v>5</v>
      </c>
      <c r="LW15" s="281">
        <v>7.1</v>
      </c>
      <c r="LX15" s="281">
        <v>6.8</v>
      </c>
      <c r="LY15" s="281">
        <v>6.1</v>
      </c>
      <c r="LZ15" s="281">
        <v>7.5</v>
      </c>
      <c r="MA15" s="281">
        <v>7.3</v>
      </c>
      <c r="MB15" s="281">
        <v>5.3</v>
      </c>
      <c r="MC15" s="281">
        <v>4.8</v>
      </c>
      <c r="MD15" s="281">
        <v>5.2</v>
      </c>
      <c r="ME15" s="285" t="s">
        <v>19</v>
      </c>
      <c r="MF15" s="281">
        <v>12.5</v>
      </c>
      <c r="MG15" s="281">
        <v>13.7</v>
      </c>
      <c r="MH15" s="281">
        <v>13</v>
      </c>
      <c r="MI15" s="281">
        <v>12.3</v>
      </c>
      <c r="MJ15" s="281">
        <v>12.4</v>
      </c>
      <c r="MK15" s="281">
        <v>10.4</v>
      </c>
      <c r="ML15" s="281">
        <v>13.2</v>
      </c>
      <c r="MM15" s="281">
        <v>16</v>
      </c>
      <c r="MN15" s="281">
        <v>15.9</v>
      </c>
      <c r="MO15" s="281">
        <v>16</v>
      </c>
      <c r="MP15" s="285" t="s">
        <v>19</v>
      </c>
      <c r="MQ15" s="280">
        <v>17.899999999999999</v>
      </c>
      <c r="MR15" s="280">
        <v>19.600000000000001</v>
      </c>
      <c r="MS15" s="280">
        <v>20.2</v>
      </c>
      <c r="MT15" s="280">
        <v>23.1</v>
      </c>
      <c r="MU15" s="280">
        <v>20.8</v>
      </c>
      <c r="MV15" s="280">
        <v>21.8</v>
      </c>
      <c r="MW15" s="280">
        <v>19.899999999999999</v>
      </c>
      <c r="MX15" s="280">
        <v>17.8</v>
      </c>
      <c r="MY15" s="280">
        <v>18.5</v>
      </c>
      <c r="MZ15" s="280">
        <v>20.100000000000001</v>
      </c>
      <c r="NA15" s="279" t="s">
        <v>19</v>
      </c>
      <c r="NB15" s="281">
        <v>24.9</v>
      </c>
      <c r="NC15" s="281">
        <v>29.9</v>
      </c>
      <c r="ND15" s="280">
        <v>29.6</v>
      </c>
      <c r="NE15" s="281">
        <v>25.7</v>
      </c>
      <c r="NF15" s="281">
        <v>27.8</v>
      </c>
      <c r="NG15" s="281">
        <v>28.8</v>
      </c>
      <c r="NH15" s="280">
        <v>30.9</v>
      </c>
      <c r="NI15" s="281">
        <v>29.3</v>
      </c>
      <c r="NJ15" s="280">
        <v>31.8</v>
      </c>
      <c r="NK15" s="281">
        <v>35.700000000000003</v>
      </c>
      <c r="NL15" s="285" t="s">
        <v>19</v>
      </c>
      <c r="NM15" s="281">
        <v>31.3</v>
      </c>
      <c r="NN15" s="281">
        <v>34</v>
      </c>
      <c r="NO15" s="281">
        <v>27</v>
      </c>
      <c r="NP15" s="281">
        <v>29.5</v>
      </c>
      <c r="NQ15" s="281">
        <v>24.4</v>
      </c>
      <c r="NR15" s="281">
        <v>26.2</v>
      </c>
      <c r="NS15" s="281">
        <v>21</v>
      </c>
      <c r="NT15" s="281">
        <v>30.2</v>
      </c>
      <c r="NU15" s="281">
        <v>34.5</v>
      </c>
      <c r="NV15" s="281">
        <v>32.9</v>
      </c>
      <c r="NW15" s="279" t="s">
        <v>19</v>
      </c>
      <c r="NX15" s="280">
        <v>26.6</v>
      </c>
      <c r="NY15" s="280">
        <v>28.6</v>
      </c>
      <c r="NZ15" s="280">
        <v>28.1</v>
      </c>
      <c r="OA15" s="280">
        <v>28.1</v>
      </c>
      <c r="OB15" s="281">
        <v>29.5</v>
      </c>
      <c r="OC15" s="280">
        <v>30.6</v>
      </c>
      <c r="OD15" s="280">
        <v>31.8</v>
      </c>
      <c r="OE15" s="281">
        <v>32.700000000000003</v>
      </c>
      <c r="OF15" s="281">
        <v>32.6</v>
      </c>
      <c r="OG15" s="281">
        <v>34</v>
      </c>
      <c r="OH15" s="296" t="s">
        <v>19</v>
      </c>
      <c r="OI15" s="297">
        <v>5.9</v>
      </c>
      <c r="OJ15" s="297">
        <v>5.7</v>
      </c>
      <c r="OK15" s="297">
        <v>6</v>
      </c>
      <c r="OL15" s="297">
        <v>4.9000000000000004</v>
      </c>
      <c r="OM15" s="297">
        <v>4.8</v>
      </c>
      <c r="ON15" s="297">
        <v>4.5</v>
      </c>
      <c r="OO15" s="297">
        <v>4.4000000000000004</v>
      </c>
      <c r="OP15" s="297">
        <v>3.9</v>
      </c>
      <c r="OQ15" s="297">
        <v>4</v>
      </c>
      <c r="OR15" s="297">
        <v>3.6</v>
      </c>
      <c r="OS15" s="285" t="s">
        <v>19</v>
      </c>
      <c r="OT15" s="280">
        <v>0.5</v>
      </c>
      <c r="OU15" s="280">
        <v>0.1</v>
      </c>
      <c r="OV15" s="280">
        <v>0.1</v>
      </c>
      <c r="OW15" s="280">
        <v>-0.1</v>
      </c>
      <c r="OX15" s="280">
        <v>1.2</v>
      </c>
      <c r="OY15" s="280">
        <v>0.5</v>
      </c>
      <c r="OZ15" s="280">
        <v>0.5</v>
      </c>
      <c r="PA15" s="280">
        <v>0.7</v>
      </c>
      <c r="PB15" s="280">
        <v>0.7</v>
      </c>
      <c r="PC15" s="280">
        <v>0.6</v>
      </c>
    </row>
    <row r="16" spans="1:419">
      <c r="A16" s="269">
        <v>7</v>
      </c>
      <c r="B16" s="285" t="s">
        <v>20</v>
      </c>
      <c r="C16" s="286">
        <v>8</v>
      </c>
      <c r="D16" s="286">
        <v>9.1999999999999993</v>
      </c>
      <c r="E16" s="286">
        <v>9.3000000000000007</v>
      </c>
      <c r="F16" s="286">
        <v>8.3000000000000007</v>
      </c>
      <c r="G16" s="286">
        <v>14.1</v>
      </c>
      <c r="H16" s="286">
        <v>13.9</v>
      </c>
      <c r="I16" s="286">
        <v>13.1</v>
      </c>
      <c r="J16" s="286">
        <v>13.1</v>
      </c>
      <c r="K16" s="286">
        <v>13.7</v>
      </c>
      <c r="L16" s="286">
        <v>13.1</v>
      </c>
      <c r="M16" s="285" t="s">
        <v>20</v>
      </c>
      <c r="N16" s="286">
        <v>194.4</v>
      </c>
      <c r="O16" s="286">
        <v>225.2</v>
      </c>
      <c r="P16" s="286">
        <v>228.2</v>
      </c>
      <c r="Q16" s="286">
        <v>205.5</v>
      </c>
      <c r="R16" s="286">
        <v>352.6</v>
      </c>
      <c r="S16" s="286">
        <v>352.2</v>
      </c>
      <c r="T16" s="286">
        <v>331.7</v>
      </c>
      <c r="U16" s="286">
        <v>328.6</v>
      </c>
      <c r="V16" s="286">
        <v>342.1</v>
      </c>
      <c r="W16" s="286">
        <v>330.8</v>
      </c>
      <c r="X16" s="285" t="s">
        <v>20</v>
      </c>
      <c r="Y16" s="287">
        <v>6.3</v>
      </c>
      <c r="Z16" s="287">
        <v>6.3</v>
      </c>
      <c r="AA16" s="287">
        <v>4.9000000000000004</v>
      </c>
      <c r="AB16" s="287">
        <v>4.5999999999999996</v>
      </c>
      <c r="AC16" s="287">
        <v>10.4</v>
      </c>
      <c r="AD16" s="287">
        <v>15.4</v>
      </c>
      <c r="AE16" s="287">
        <v>12.8</v>
      </c>
      <c r="AF16" s="287">
        <v>11.3</v>
      </c>
      <c r="AG16" s="287">
        <v>9.6</v>
      </c>
      <c r="AH16" s="287">
        <v>8</v>
      </c>
      <c r="AI16" s="285" t="s">
        <v>20</v>
      </c>
      <c r="AJ16" s="280">
        <v>14.3</v>
      </c>
      <c r="AK16" s="280">
        <v>15.4</v>
      </c>
      <c r="AL16" s="280">
        <v>22.2</v>
      </c>
      <c r="AM16" s="280">
        <v>14.5</v>
      </c>
      <c r="AN16" s="280">
        <v>31.4</v>
      </c>
      <c r="AO16" s="280">
        <v>33.6</v>
      </c>
      <c r="AP16" s="280">
        <v>34.6</v>
      </c>
      <c r="AQ16" s="280">
        <v>40.4</v>
      </c>
      <c r="AR16" s="280">
        <v>22.4</v>
      </c>
      <c r="AS16" s="280">
        <v>22.6</v>
      </c>
      <c r="AT16" s="285" t="s">
        <v>20</v>
      </c>
      <c r="AU16" s="280">
        <v>28.3</v>
      </c>
      <c r="AV16" s="280">
        <v>30.7</v>
      </c>
      <c r="AW16" s="280">
        <v>29.9</v>
      </c>
      <c r="AX16" s="280">
        <v>23.1</v>
      </c>
      <c r="AY16" s="280">
        <v>51.6</v>
      </c>
      <c r="AZ16" s="280">
        <v>55.4</v>
      </c>
      <c r="BA16" s="280">
        <v>50</v>
      </c>
      <c r="BB16" s="280">
        <v>39.4</v>
      </c>
      <c r="BC16" s="280">
        <v>47.3</v>
      </c>
      <c r="BD16" s="280">
        <v>43.2</v>
      </c>
      <c r="BE16" s="285" t="s">
        <v>20</v>
      </c>
      <c r="BF16" s="280">
        <v>38.5</v>
      </c>
      <c r="BG16" s="280">
        <v>46.2</v>
      </c>
      <c r="BH16" s="280">
        <v>44.1</v>
      </c>
      <c r="BI16" s="280">
        <v>39</v>
      </c>
      <c r="BJ16" s="280">
        <v>75.3</v>
      </c>
      <c r="BK16" s="280">
        <v>76.900000000000006</v>
      </c>
      <c r="BL16" s="280">
        <v>65.7</v>
      </c>
      <c r="BM16" s="280">
        <v>67.900000000000006</v>
      </c>
      <c r="BN16" s="280">
        <v>72</v>
      </c>
      <c r="BO16" s="280">
        <v>73.400000000000006</v>
      </c>
      <c r="BP16" s="285" t="s">
        <v>20</v>
      </c>
      <c r="BQ16" s="283">
        <v>38.6</v>
      </c>
      <c r="BR16" s="283">
        <v>36.1</v>
      </c>
      <c r="BS16" s="283">
        <v>44.9</v>
      </c>
      <c r="BT16" s="283">
        <v>37.200000000000003</v>
      </c>
      <c r="BU16" s="283">
        <v>68.699999999999989</v>
      </c>
      <c r="BV16" s="283">
        <v>62.5</v>
      </c>
      <c r="BW16" s="283">
        <v>66.8</v>
      </c>
      <c r="BX16" s="283">
        <v>63.6</v>
      </c>
      <c r="BY16" s="283">
        <v>75.5</v>
      </c>
      <c r="BZ16" s="283">
        <v>68.5</v>
      </c>
      <c r="CA16" s="285" t="s">
        <v>20</v>
      </c>
      <c r="CB16" s="283">
        <v>57.8</v>
      </c>
      <c r="CC16" s="283">
        <v>68.900000000000006</v>
      </c>
      <c r="CD16" s="283">
        <v>55.2</v>
      </c>
      <c r="CE16" s="283">
        <v>56</v>
      </c>
      <c r="CF16" s="283">
        <v>115.19999999999999</v>
      </c>
      <c r="CG16" s="283">
        <v>108.30000000000001</v>
      </c>
      <c r="CH16" s="283">
        <v>101.7</v>
      </c>
      <c r="CI16" s="283">
        <v>105.9</v>
      </c>
      <c r="CJ16" s="283">
        <v>115.30000000000001</v>
      </c>
      <c r="CK16" s="283">
        <v>115</v>
      </c>
      <c r="CL16" s="285" t="s">
        <v>20</v>
      </c>
      <c r="CM16" s="286">
        <v>66.400000000000006</v>
      </c>
      <c r="CN16" s="286">
        <v>76</v>
      </c>
      <c r="CO16" s="286">
        <v>77.099999999999994</v>
      </c>
      <c r="CP16" s="286">
        <v>62.6</v>
      </c>
      <c r="CQ16" s="286">
        <v>97.2</v>
      </c>
      <c r="CR16" s="286">
        <v>102.8</v>
      </c>
      <c r="CS16" s="286">
        <v>92.1</v>
      </c>
      <c r="CT16" s="286">
        <v>91.7</v>
      </c>
      <c r="CU16" s="286">
        <v>119.6</v>
      </c>
      <c r="CV16" s="286">
        <v>109.7</v>
      </c>
      <c r="CW16" s="285" t="s">
        <v>20</v>
      </c>
      <c r="CX16" s="286">
        <v>68.599999999999994</v>
      </c>
      <c r="CY16" s="286">
        <v>79.599999999999994</v>
      </c>
      <c r="CZ16" s="286">
        <v>78.8</v>
      </c>
      <c r="DA16" s="286">
        <v>72.400000000000006</v>
      </c>
      <c r="DB16" s="286">
        <v>139.5</v>
      </c>
      <c r="DC16" s="286">
        <v>129.9</v>
      </c>
      <c r="DD16" s="286">
        <v>126.9</v>
      </c>
      <c r="DE16" s="286">
        <v>124.6</v>
      </c>
      <c r="DF16" s="286">
        <v>104.6</v>
      </c>
      <c r="DG16" s="286">
        <v>115.8</v>
      </c>
      <c r="DH16" s="285" t="s">
        <v>20</v>
      </c>
      <c r="DI16" s="286">
        <v>55.3</v>
      </c>
      <c r="DJ16" s="286">
        <v>65</v>
      </c>
      <c r="DK16" s="286">
        <v>67.900000000000006</v>
      </c>
      <c r="DL16" s="286">
        <v>67</v>
      </c>
      <c r="DM16" s="286">
        <v>96.1</v>
      </c>
      <c r="DN16" s="286">
        <v>99</v>
      </c>
      <c r="DO16" s="286">
        <v>96.1</v>
      </c>
      <c r="DP16" s="286">
        <v>90.1</v>
      </c>
      <c r="DQ16" s="286">
        <v>95.6</v>
      </c>
      <c r="DR16" s="286">
        <v>90.2</v>
      </c>
      <c r="DS16" s="285" t="s">
        <v>20</v>
      </c>
      <c r="DT16" s="287">
        <v>4</v>
      </c>
      <c r="DU16" s="287">
        <v>4.5999999999999996</v>
      </c>
      <c r="DV16" s="287">
        <v>4.4000000000000004</v>
      </c>
      <c r="DW16" s="287"/>
      <c r="DX16" s="287">
        <v>19.8</v>
      </c>
      <c r="DY16" s="287">
        <v>20.5</v>
      </c>
      <c r="DZ16" s="287">
        <v>16.5</v>
      </c>
      <c r="EA16" s="287">
        <v>22.2</v>
      </c>
      <c r="EB16" s="287">
        <v>22.3</v>
      </c>
      <c r="EC16" s="287">
        <v>15.1</v>
      </c>
      <c r="ED16" s="285" t="s">
        <v>20</v>
      </c>
      <c r="EE16" s="281"/>
      <c r="EF16" s="281"/>
      <c r="EG16" s="281"/>
      <c r="EH16" s="281"/>
      <c r="EI16" s="281"/>
      <c r="EJ16" s="281"/>
      <c r="EK16" s="281"/>
      <c r="EL16" s="281"/>
      <c r="EM16" s="281"/>
      <c r="EN16" s="281"/>
      <c r="EO16" s="285" t="s">
        <v>20</v>
      </c>
      <c r="EP16" s="280">
        <v>42</v>
      </c>
      <c r="EQ16" s="280">
        <v>51.7</v>
      </c>
      <c r="ER16" s="280">
        <v>52.5</v>
      </c>
      <c r="ES16" s="280">
        <v>50.1</v>
      </c>
      <c r="ET16" s="280">
        <v>73.7</v>
      </c>
      <c r="EU16" s="280">
        <v>75.3</v>
      </c>
      <c r="EV16" s="280">
        <v>74.400000000000006</v>
      </c>
      <c r="EW16" s="280">
        <v>79.400000000000006</v>
      </c>
      <c r="EX16" s="280">
        <v>72.5</v>
      </c>
      <c r="EY16" s="280">
        <v>70.900000000000006</v>
      </c>
      <c r="EZ16" s="285" t="s">
        <v>20</v>
      </c>
      <c r="FA16" s="280">
        <v>21.2</v>
      </c>
      <c r="FB16" s="280">
        <v>22.7</v>
      </c>
      <c r="FC16" s="280">
        <v>19.7</v>
      </c>
      <c r="FD16" s="280">
        <v>23.6</v>
      </c>
      <c r="FE16" s="280">
        <v>30.6</v>
      </c>
      <c r="FF16" s="280">
        <v>35.6</v>
      </c>
      <c r="FG16" s="280">
        <v>35.4</v>
      </c>
      <c r="FH16" s="280">
        <v>25.5</v>
      </c>
      <c r="FI16" s="280">
        <v>29</v>
      </c>
      <c r="FJ16" s="280">
        <v>35.299999999999997</v>
      </c>
      <c r="FK16" s="285" t="s">
        <v>20</v>
      </c>
      <c r="FL16" s="280">
        <v>17.8</v>
      </c>
      <c r="FM16" s="280">
        <v>16.3</v>
      </c>
      <c r="FN16" s="280">
        <v>21.2</v>
      </c>
      <c r="FO16" s="280">
        <v>16.899999999999999</v>
      </c>
      <c r="FP16" s="280">
        <v>23.9</v>
      </c>
      <c r="FQ16" s="280">
        <v>23.5</v>
      </c>
      <c r="FR16" s="280">
        <v>29.4</v>
      </c>
      <c r="FS16" s="280">
        <v>28</v>
      </c>
      <c r="FT16" s="280">
        <v>23.2</v>
      </c>
      <c r="FU16" s="280">
        <v>22.2</v>
      </c>
      <c r="FV16" s="285" t="s">
        <v>20</v>
      </c>
      <c r="FW16" s="280">
        <v>50.5</v>
      </c>
      <c r="FX16" s="280">
        <v>66.400000000000006</v>
      </c>
      <c r="FY16" s="280">
        <v>65.2</v>
      </c>
      <c r="FZ16" s="280">
        <v>58.8</v>
      </c>
      <c r="GA16" s="280">
        <v>115.9</v>
      </c>
      <c r="GB16" s="280">
        <v>115.4</v>
      </c>
      <c r="GC16" s="280">
        <v>93.5</v>
      </c>
      <c r="GD16" s="280">
        <v>101.8</v>
      </c>
      <c r="GE16" s="280">
        <v>110.4</v>
      </c>
      <c r="GF16" s="280">
        <v>101.8</v>
      </c>
      <c r="GG16" s="285" t="s">
        <v>20</v>
      </c>
      <c r="GH16" s="281">
        <v>4.2</v>
      </c>
      <c r="GI16" s="280"/>
      <c r="GJ16" s="281">
        <v>4.3</v>
      </c>
      <c r="GK16" s="280"/>
      <c r="GL16" s="281"/>
      <c r="GM16" s="281"/>
      <c r="GN16" s="281">
        <v>5.3</v>
      </c>
      <c r="GO16" s="280">
        <v>6.3</v>
      </c>
      <c r="GP16" s="280"/>
      <c r="GQ16" s="281">
        <v>6.2</v>
      </c>
      <c r="GR16" s="285" t="s">
        <v>20</v>
      </c>
      <c r="GS16" s="280">
        <v>28</v>
      </c>
      <c r="GT16" s="280">
        <v>28.1</v>
      </c>
      <c r="GU16" s="280">
        <v>27.4</v>
      </c>
      <c r="GV16" s="280">
        <v>23.2</v>
      </c>
      <c r="GW16" s="280">
        <v>29.4</v>
      </c>
      <c r="GX16" s="280">
        <v>28.9</v>
      </c>
      <c r="GY16" s="280">
        <v>23.4</v>
      </c>
      <c r="GZ16" s="280">
        <v>24.1</v>
      </c>
      <c r="HA16" s="280">
        <v>28.5</v>
      </c>
      <c r="HB16" s="280">
        <v>29.4</v>
      </c>
      <c r="HC16" s="285" t="s">
        <v>20</v>
      </c>
      <c r="HD16" s="280"/>
      <c r="HE16" s="281">
        <v>4.9000000000000004</v>
      </c>
      <c r="HF16" s="280">
        <v>4.8</v>
      </c>
      <c r="HG16" s="280"/>
      <c r="HH16" s="281">
        <v>7.3</v>
      </c>
      <c r="HI16" s="280">
        <v>9.6999999999999993</v>
      </c>
      <c r="HJ16" s="280">
        <v>8.3000000000000007</v>
      </c>
      <c r="HK16" s="280">
        <v>9.6</v>
      </c>
      <c r="HL16" s="280">
        <v>7.5</v>
      </c>
      <c r="HM16" s="280">
        <v>10.6</v>
      </c>
      <c r="HN16" s="285" t="s">
        <v>20</v>
      </c>
      <c r="HO16" s="280">
        <v>26.2</v>
      </c>
      <c r="HP16" s="280">
        <v>30</v>
      </c>
      <c r="HQ16" s="280">
        <v>30.3</v>
      </c>
      <c r="HR16" s="280">
        <v>23.8</v>
      </c>
      <c r="HS16" s="280">
        <v>34.299999999999997</v>
      </c>
      <c r="HT16" s="280">
        <v>54.1</v>
      </c>
      <c r="HU16" s="280">
        <v>54.9</v>
      </c>
      <c r="HV16" s="280">
        <v>48.6</v>
      </c>
      <c r="HW16" s="280">
        <v>54.7</v>
      </c>
      <c r="HX16" s="280">
        <v>50.8</v>
      </c>
      <c r="HY16" s="285" t="s">
        <v>20</v>
      </c>
      <c r="HZ16" s="281"/>
      <c r="IA16" s="281"/>
      <c r="IB16" s="281"/>
      <c r="IC16" s="281"/>
      <c r="ID16" s="281"/>
      <c r="IE16" s="281"/>
      <c r="IF16" s="281"/>
      <c r="IG16" s="281"/>
      <c r="IH16" s="281"/>
      <c r="II16" s="281"/>
      <c r="IJ16" s="285" t="s">
        <v>20</v>
      </c>
      <c r="IK16" s="281"/>
      <c r="IL16" s="281"/>
      <c r="IM16" s="281"/>
      <c r="IN16" s="281"/>
      <c r="IO16" s="281"/>
      <c r="IP16" s="280"/>
      <c r="IQ16" s="281"/>
      <c r="IR16" s="281"/>
      <c r="IS16" s="281"/>
      <c r="IT16" s="280"/>
      <c r="IU16" s="285" t="s">
        <v>20</v>
      </c>
      <c r="IV16" s="280">
        <v>5.0999999999999996</v>
      </c>
      <c r="IW16" s="280"/>
      <c r="IX16" s="280"/>
      <c r="IY16" s="280">
        <v>4.7</v>
      </c>
      <c r="IZ16" s="280"/>
      <c r="JA16" s="280">
        <v>7.5</v>
      </c>
      <c r="JB16" s="280">
        <v>9.6999999999999993</v>
      </c>
      <c r="JC16" s="280">
        <v>9.4</v>
      </c>
      <c r="JD16" s="280">
        <v>5.4</v>
      </c>
      <c r="JE16" s="280">
        <v>6.9</v>
      </c>
      <c r="JF16" s="285" t="s">
        <v>20</v>
      </c>
      <c r="JG16" s="280">
        <v>17.5</v>
      </c>
      <c r="JH16" s="280">
        <v>17.3</v>
      </c>
      <c r="JI16" s="280">
        <v>19.100000000000001</v>
      </c>
      <c r="JJ16" s="280">
        <v>16.600000000000001</v>
      </c>
      <c r="JK16" s="280">
        <v>26</v>
      </c>
      <c r="JL16" s="280">
        <v>25.7</v>
      </c>
      <c r="JM16" s="280">
        <v>24.3</v>
      </c>
      <c r="JN16" s="280">
        <v>23</v>
      </c>
      <c r="JO16" s="280">
        <v>22.1</v>
      </c>
      <c r="JP16" s="280">
        <v>25.1</v>
      </c>
      <c r="JQ16" s="285" t="s">
        <v>20</v>
      </c>
      <c r="JR16" s="280">
        <v>15.9</v>
      </c>
      <c r="JS16" s="280">
        <v>14.5</v>
      </c>
      <c r="JT16" s="280">
        <v>14.2</v>
      </c>
      <c r="JU16" s="280">
        <v>13.9</v>
      </c>
      <c r="JV16" s="280">
        <v>19.8</v>
      </c>
      <c r="JW16" s="280">
        <v>18.399999999999999</v>
      </c>
      <c r="JX16" s="280">
        <v>17.3</v>
      </c>
      <c r="JY16" s="280">
        <v>15.7</v>
      </c>
      <c r="JZ16" s="280">
        <v>20</v>
      </c>
      <c r="KA16" s="280">
        <v>17</v>
      </c>
      <c r="KB16" s="285" t="s">
        <v>20</v>
      </c>
      <c r="KC16" s="280">
        <v>34.1</v>
      </c>
      <c r="KD16" s="280">
        <v>33.700000000000003</v>
      </c>
      <c r="KE16" s="280">
        <v>35</v>
      </c>
      <c r="KF16" s="280">
        <v>28.7</v>
      </c>
      <c r="KG16" s="280">
        <v>44.8</v>
      </c>
      <c r="KH16" s="280">
        <v>47.1</v>
      </c>
      <c r="KI16" s="280">
        <v>47.6</v>
      </c>
      <c r="KJ16" s="280">
        <v>56.5</v>
      </c>
      <c r="KK16" s="280">
        <v>62.7</v>
      </c>
      <c r="KL16" s="280">
        <v>56.7</v>
      </c>
      <c r="KM16" s="285" t="s">
        <v>20</v>
      </c>
      <c r="KN16" s="280"/>
      <c r="KO16" s="280">
        <v>6.6</v>
      </c>
      <c r="KP16" s="280">
        <v>9.4</v>
      </c>
      <c r="KQ16" s="280">
        <v>4.3</v>
      </c>
      <c r="KR16" s="280">
        <v>5.6</v>
      </c>
      <c r="KS16" s="280">
        <v>8.6999999999999993</v>
      </c>
      <c r="KT16" s="280">
        <v>9.4</v>
      </c>
      <c r="KU16" s="280">
        <v>9.8000000000000007</v>
      </c>
      <c r="KV16" s="280">
        <v>10.4</v>
      </c>
      <c r="KW16" s="280">
        <v>13.2</v>
      </c>
      <c r="KX16" s="285" t="s">
        <v>20</v>
      </c>
      <c r="KY16" s="280">
        <v>8</v>
      </c>
      <c r="KZ16" s="280">
        <v>9.6999999999999993</v>
      </c>
      <c r="LA16" s="280">
        <v>15.4</v>
      </c>
      <c r="LB16" s="280">
        <v>9.1</v>
      </c>
      <c r="LC16" s="280">
        <v>17.3</v>
      </c>
      <c r="LD16" s="280">
        <v>20.3</v>
      </c>
      <c r="LE16" s="280">
        <v>20.7</v>
      </c>
      <c r="LF16" s="280">
        <v>13.8</v>
      </c>
      <c r="LG16" s="280">
        <v>14.4</v>
      </c>
      <c r="LH16" s="280">
        <v>18.8</v>
      </c>
      <c r="LI16" s="285" t="s">
        <v>20</v>
      </c>
      <c r="LJ16" s="280">
        <v>6.1</v>
      </c>
      <c r="LK16" s="280">
        <v>6.4</v>
      </c>
      <c r="LL16" s="280">
        <v>5.6</v>
      </c>
      <c r="LM16" s="280">
        <v>5.9</v>
      </c>
      <c r="LN16" s="280">
        <v>12.1</v>
      </c>
      <c r="LO16" s="280">
        <v>10.4</v>
      </c>
      <c r="LP16" s="280">
        <v>9.3000000000000007</v>
      </c>
      <c r="LQ16" s="280">
        <v>7.7</v>
      </c>
      <c r="LR16" s="280">
        <v>10.7</v>
      </c>
      <c r="LS16" s="280">
        <v>9.1</v>
      </c>
      <c r="LT16" s="285" t="s">
        <v>20</v>
      </c>
      <c r="LU16" s="280"/>
      <c r="LV16" s="281"/>
      <c r="LW16" s="281"/>
      <c r="LX16" s="281"/>
      <c r="LY16" s="280"/>
      <c r="LZ16" s="280"/>
      <c r="MA16" s="281"/>
      <c r="MB16" s="281"/>
      <c r="MC16" s="281"/>
      <c r="MD16" s="281"/>
      <c r="ME16" s="285" t="s">
        <v>20</v>
      </c>
      <c r="MF16" s="280">
        <v>5.7</v>
      </c>
      <c r="MG16" s="280">
        <v>6.3</v>
      </c>
      <c r="MH16" s="280">
        <v>4.4000000000000004</v>
      </c>
      <c r="MI16" s="280">
        <v>7.1</v>
      </c>
      <c r="MJ16" s="280">
        <v>11.2</v>
      </c>
      <c r="MK16" s="280">
        <v>10.3</v>
      </c>
      <c r="ML16" s="280">
        <v>13</v>
      </c>
      <c r="MM16" s="280">
        <v>14</v>
      </c>
      <c r="MN16" s="280">
        <v>9</v>
      </c>
      <c r="MO16" s="280">
        <v>6</v>
      </c>
      <c r="MP16" s="285" t="s">
        <v>20</v>
      </c>
      <c r="MQ16" s="280">
        <v>4.9000000000000004</v>
      </c>
      <c r="MR16" s="280">
        <v>4.9000000000000004</v>
      </c>
      <c r="MS16" s="280">
        <v>5.8</v>
      </c>
      <c r="MT16" s="280">
        <v>6.2</v>
      </c>
      <c r="MU16" s="280">
        <v>12.9</v>
      </c>
      <c r="MV16" s="280">
        <v>9.9</v>
      </c>
      <c r="MW16" s="280">
        <v>12.2</v>
      </c>
      <c r="MX16" s="280">
        <v>8.6999999999999993</v>
      </c>
      <c r="MY16" s="280">
        <v>8.1</v>
      </c>
      <c r="MZ16" s="280">
        <v>8.8000000000000007</v>
      </c>
      <c r="NA16" s="285" t="s">
        <v>20</v>
      </c>
      <c r="NB16" s="280">
        <v>9.6</v>
      </c>
      <c r="NC16" s="280">
        <v>10.6</v>
      </c>
      <c r="ND16" s="280">
        <v>9</v>
      </c>
      <c r="NE16" s="280">
        <v>6.8</v>
      </c>
      <c r="NF16" s="280">
        <v>13.5</v>
      </c>
      <c r="NG16" s="280">
        <v>14.4</v>
      </c>
      <c r="NH16" s="280">
        <v>15.6</v>
      </c>
      <c r="NI16" s="280">
        <v>15.5</v>
      </c>
      <c r="NJ16" s="280">
        <v>11.8</v>
      </c>
      <c r="NK16" s="280">
        <v>17.2</v>
      </c>
      <c r="NL16" s="285" t="s">
        <v>20</v>
      </c>
      <c r="NM16" s="280">
        <v>28.8</v>
      </c>
      <c r="NN16" s="280">
        <v>34.700000000000003</v>
      </c>
      <c r="NO16" s="280">
        <v>32.200000000000003</v>
      </c>
      <c r="NP16" s="280">
        <v>30.9</v>
      </c>
      <c r="NQ16" s="280">
        <v>48.2</v>
      </c>
      <c r="NR16" s="280">
        <v>54.2</v>
      </c>
      <c r="NS16" s="280">
        <v>40.9</v>
      </c>
      <c r="NT16" s="280">
        <v>42.1</v>
      </c>
      <c r="NU16" s="280">
        <v>44.7</v>
      </c>
      <c r="NV16" s="280">
        <v>43.8</v>
      </c>
      <c r="NW16" s="285" t="s">
        <v>20</v>
      </c>
      <c r="NX16" s="280">
        <v>37.6</v>
      </c>
      <c r="NY16" s="280">
        <v>52.2</v>
      </c>
      <c r="NZ16" s="280">
        <v>50.8</v>
      </c>
      <c r="OA16" s="280">
        <v>51.1</v>
      </c>
      <c r="OB16" s="280">
        <v>86.3</v>
      </c>
      <c r="OC16" s="280">
        <v>88.4</v>
      </c>
      <c r="OD16" s="280">
        <v>78.599999999999994</v>
      </c>
      <c r="OE16" s="280">
        <v>81.599999999999994</v>
      </c>
      <c r="OF16" s="280">
        <v>75.8</v>
      </c>
      <c r="OG16" s="280">
        <v>77.2</v>
      </c>
      <c r="OH16" s="296" t="s">
        <v>20</v>
      </c>
      <c r="OI16" s="297">
        <v>6.5</v>
      </c>
      <c r="OJ16" s="297">
        <v>6.1</v>
      </c>
      <c r="OK16" s="297">
        <v>6.6</v>
      </c>
      <c r="OL16" s="297">
        <v>6</v>
      </c>
      <c r="OM16" s="297">
        <v>6.2</v>
      </c>
      <c r="ON16" s="297">
        <v>5.8</v>
      </c>
      <c r="OO16" s="297">
        <v>6.3</v>
      </c>
      <c r="OP16" s="297">
        <v>6</v>
      </c>
      <c r="OQ16" s="297">
        <v>6.3</v>
      </c>
      <c r="OR16" s="297">
        <v>6.1</v>
      </c>
      <c r="OS16" s="285" t="s">
        <v>20</v>
      </c>
      <c r="OT16" s="280">
        <v>-1</v>
      </c>
      <c r="OU16" s="280">
        <v>1.5</v>
      </c>
      <c r="OV16" s="280">
        <v>-0.3</v>
      </c>
      <c r="OW16" s="280">
        <v>0.7</v>
      </c>
      <c r="OX16" s="280">
        <v>0.2</v>
      </c>
      <c r="OY16" s="280">
        <v>0.4</v>
      </c>
      <c r="OZ16" s="280">
        <v>1.1000000000000001</v>
      </c>
      <c r="PA16" s="280">
        <v>1.5</v>
      </c>
      <c r="PB16" s="280">
        <v>1</v>
      </c>
      <c r="PC16" s="280">
        <v>1.3</v>
      </c>
    </row>
    <row r="17" spans="1:419">
      <c r="A17" s="272">
        <v>8</v>
      </c>
      <c r="B17" s="303" t="s">
        <v>21</v>
      </c>
      <c r="C17" s="304">
        <v>2.2999999999999998</v>
      </c>
      <c r="D17" s="304">
        <v>3.9</v>
      </c>
      <c r="E17" s="304">
        <v>4</v>
      </c>
      <c r="F17" s="304">
        <v>3.4</v>
      </c>
      <c r="G17" s="304">
        <v>3</v>
      </c>
      <c r="H17" s="304">
        <v>4.0999999999999996</v>
      </c>
      <c r="I17" s="304">
        <v>4.9000000000000004</v>
      </c>
      <c r="J17" s="304">
        <v>2.8</v>
      </c>
      <c r="K17" s="304">
        <v>2.6</v>
      </c>
      <c r="L17" s="304">
        <v>3.3</v>
      </c>
      <c r="M17" s="303" t="s">
        <v>21</v>
      </c>
      <c r="N17" s="304">
        <v>12.2</v>
      </c>
      <c r="O17" s="304">
        <v>21.8</v>
      </c>
      <c r="P17" s="304">
        <v>22.8</v>
      </c>
      <c r="Q17" s="304">
        <v>19.100000000000001</v>
      </c>
      <c r="R17" s="304">
        <v>16.2</v>
      </c>
      <c r="S17" s="304">
        <v>23.2</v>
      </c>
      <c r="T17" s="304">
        <v>27.3</v>
      </c>
      <c r="U17" s="304">
        <v>15.6</v>
      </c>
      <c r="V17" s="304">
        <v>14.5</v>
      </c>
      <c r="W17" s="304">
        <v>18.5</v>
      </c>
      <c r="X17" s="303" t="s">
        <v>21</v>
      </c>
      <c r="Y17" s="303"/>
      <c r="Z17" s="304"/>
      <c r="AA17" s="304"/>
      <c r="AB17" s="304"/>
      <c r="AC17" s="303"/>
      <c r="AD17" s="304"/>
      <c r="AE17" s="304"/>
      <c r="AF17" s="304"/>
      <c r="AG17" s="303"/>
      <c r="AH17" s="304"/>
      <c r="AI17" s="303" t="s">
        <v>21</v>
      </c>
      <c r="AJ17" s="305"/>
      <c r="AK17" s="305"/>
      <c r="AL17" s="305"/>
      <c r="AM17" s="305"/>
      <c r="AN17" s="305"/>
      <c r="AO17" s="305"/>
      <c r="AP17" s="305"/>
      <c r="AQ17" s="305"/>
      <c r="AR17" s="305"/>
      <c r="AS17" s="305"/>
      <c r="AT17" s="303" t="s">
        <v>21</v>
      </c>
      <c r="AU17" s="305"/>
      <c r="AV17" s="305">
        <v>6.8</v>
      </c>
      <c r="AW17" s="305">
        <v>6.9</v>
      </c>
      <c r="AX17" s="305">
        <v>6.3</v>
      </c>
      <c r="AY17" s="305">
        <v>5.9</v>
      </c>
      <c r="AZ17" s="305">
        <v>6.2</v>
      </c>
      <c r="BA17" s="305">
        <v>9.1999999999999993</v>
      </c>
      <c r="BB17" s="305">
        <v>5.8</v>
      </c>
      <c r="BC17" s="305"/>
      <c r="BD17" s="305">
        <v>6.6</v>
      </c>
      <c r="BE17" s="303" t="s">
        <v>21</v>
      </c>
      <c r="BF17" s="305"/>
      <c r="BG17" s="305"/>
      <c r="BH17" s="305"/>
      <c r="BI17" s="305"/>
      <c r="BJ17" s="305"/>
      <c r="BK17" s="305"/>
      <c r="BL17" s="305"/>
      <c r="BM17" s="305"/>
      <c r="BN17" s="305"/>
      <c r="BO17" s="305"/>
      <c r="BP17" s="303" t="s">
        <v>21</v>
      </c>
      <c r="BQ17" s="307"/>
      <c r="BR17" s="307"/>
      <c r="BS17" s="307"/>
      <c r="BT17" s="307"/>
      <c r="BU17" s="307"/>
      <c r="BV17" s="307"/>
      <c r="BW17" s="307"/>
      <c r="BX17" s="307"/>
      <c r="BY17" s="307"/>
      <c r="BZ17" s="307"/>
      <c r="CA17" s="303" t="s">
        <v>21</v>
      </c>
      <c r="CB17" s="307"/>
      <c r="CC17" s="307"/>
      <c r="CD17" s="307"/>
      <c r="CE17" s="307"/>
      <c r="CF17" s="307"/>
      <c r="CG17" s="307"/>
      <c r="CH17" s="307"/>
      <c r="CI17" s="307"/>
      <c r="CJ17" s="307"/>
      <c r="CK17" s="307"/>
      <c r="CL17" s="303" t="s">
        <v>21</v>
      </c>
      <c r="CM17" s="304"/>
      <c r="CN17" s="304">
        <v>5.2</v>
      </c>
      <c r="CO17" s="304">
        <v>5.7</v>
      </c>
      <c r="CP17" s="304"/>
      <c r="CQ17" s="304"/>
      <c r="CR17" s="304">
        <v>7.1</v>
      </c>
      <c r="CS17" s="304">
        <v>9.4</v>
      </c>
      <c r="CT17" s="304"/>
      <c r="CU17" s="304"/>
      <c r="CV17" s="304">
        <v>4.5999999999999996</v>
      </c>
      <c r="CW17" s="303" t="s">
        <v>21</v>
      </c>
      <c r="CX17" s="304">
        <v>5.2</v>
      </c>
      <c r="CY17" s="304">
        <v>12.6</v>
      </c>
      <c r="CZ17" s="304">
        <v>10.7</v>
      </c>
      <c r="DA17" s="304">
        <v>10.8</v>
      </c>
      <c r="DB17" s="304">
        <v>9.5</v>
      </c>
      <c r="DC17" s="304">
        <v>12.4</v>
      </c>
      <c r="DD17" s="304">
        <v>13.8</v>
      </c>
      <c r="DE17" s="304">
        <v>9.1</v>
      </c>
      <c r="DF17" s="304">
        <v>8.1999999999999993</v>
      </c>
      <c r="DG17" s="304">
        <v>10.9</v>
      </c>
      <c r="DH17" s="303" t="s">
        <v>21</v>
      </c>
      <c r="DI17" s="304"/>
      <c r="DJ17" s="304"/>
      <c r="DK17" s="304">
        <v>6.4</v>
      </c>
      <c r="DL17" s="304">
        <v>5.4</v>
      </c>
      <c r="DM17" s="304">
        <v>4.5999999999999996</v>
      </c>
      <c r="DN17" s="304"/>
      <c r="DO17" s="304"/>
      <c r="DP17" s="304">
        <v>4.5</v>
      </c>
      <c r="DQ17" s="304"/>
      <c r="DR17" s="304"/>
      <c r="DS17" s="303" t="s">
        <v>21</v>
      </c>
      <c r="DT17" s="303"/>
      <c r="DU17" s="303"/>
      <c r="DV17" s="303"/>
      <c r="DW17" s="303"/>
      <c r="DX17" s="303"/>
      <c r="DY17" s="303"/>
      <c r="DZ17" s="303"/>
      <c r="EA17" s="303"/>
      <c r="EB17" s="303"/>
      <c r="EC17" s="303"/>
      <c r="ED17" s="303" t="s">
        <v>21</v>
      </c>
      <c r="EE17" s="306"/>
      <c r="EF17" s="306"/>
      <c r="EG17" s="306"/>
      <c r="EH17" s="306"/>
      <c r="EI17" s="306"/>
      <c r="EJ17" s="306"/>
      <c r="EK17" s="306"/>
      <c r="EL17" s="306"/>
      <c r="EM17" s="306"/>
      <c r="EN17" s="306"/>
      <c r="EO17" s="303" t="s">
        <v>21</v>
      </c>
      <c r="EP17" s="306"/>
      <c r="EQ17" s="306"/>
      <c r="ER17" s="306"/>
      <c r="ES17" s="306"/>
      <c r="ET17" s="306"/>
      <c r="EU17" s="306"/>
      <c r="EV17" s="306"/>
      <c r="EW17" s="306"/>
      <c r="EX17" s="306"/>
      <c r="EY17" s="306"/>
      <c r="EZ17" s="303" t="s">
        <v>21</v>
      </c>
      <c r="FA17" s="306"/>
      <c r="FB17" s="306"/>
      <c r="FC17" s="306"/>
      <c r="FD17" s="306"/>
      <c r="FE17" s="306"/>
      <c r="FF17" s="306"/>
      <c r="FG17" s="306"/>
      <c r="FH17" s="306"/>
      <c r="FI17" s="306"/>
      <c r="FJ17" s="306"/>
      <c r="FK17" s="303" t="s">
        <v>21</v>
      </c>
      <c r="FL17" s="306"/>
      <c r="FM17" s="306"/>
      <c r="FN17" s="306"/>
      <c r="FO17" s="306"/>
      <c r="FP17" s="306"/>
      <c r="FQ17" s="306"/>
      <c r="FR17" s="306"/>
      <c r="FS17" s="306"/>
      <c r="FT17" s="306"/>
      <c r="FU17" s="306"/>
      <c r="FV17" s="303" t="s">
        <v>21</v>
      </c>
      <c r="FW17" s="306"/>
      <c r="FX17" s="306"/>
      <c r="FY17" s="306"/>
      <c r="FZ17" s="306"/>
      <c r="GA17" s="306"/>
      <c r="GB17" s="306"/>
      <c r="GC17" s="306"/>
      <c r="GD17" s="305"/>
      <c r="GE17" s="306"/>
      <c r="GF17" s="306"/>
      <c r="GG17" s="303" t="s">
        <v>21</v>
      </c>
      <c r="GH17" s="306"/>
      <c r="GI17" s="306"/>
      <c r="GJ17" s="306"/>
      <c r="GK17" s="306"/>
      <c r="GL17" s="306"/>
      <c r="GM17" s="306"/>
      <c r="GN17" s="306"/>
      <c r="GO17" s="306"/>
      <c r="GP17" s="306"/>
      <c r="GQ17" s="306"/>
      <c r="GR17" s="303" t="s">
        <v>21</v>
      </c>
      <c r="GS17" s="306"/>
      <c r="GT17" s="306"/>
      <c r="GU17" s="305"/>
      <c r="GV17" s="305"/>
      <c r="GW17" s="305"/>
      <c r="GX17" s="306"/>
      <c r="GY17" s="305"/>
      <c r="GZ17" s="305"/>
      <c r="HA17" s="306"/>
      <c r="HB17" s="306"/>
      <c r="HC17" s="303" t="s">
        <v>21</v>
      </c>
      <c r="HD17" s="306"/>
      <c r="HE17" s="306"/>
      <c r="HF17" s="306"/>
      <c r="HG17" s="306"/>
      <c r="HH17" s="306"/>
      <c r="HI17" s="306"/>
      <c r="HJ17" s="306"/>
      <c r="HK17" s="306"/>
      <c r="HL17" s="306"/>
      <c r="HM17" s="306"/>
      <c r="HN17" s="303" t="s">
        <v>21</v>
      </c>
      <c r="HO17" s="306"/>
      <c r="HP17" s="306"/>
      <c r="HQ17" s="305"/>
      <c r="HR17" s="305"/>
      <c r="HS17" s="306"/>
      <c r="HT17" s="306"/>
      <c r="HU17" s="305"/>
      <c r="HV17" s="305"/>
      <c r="HW17" s="306"/>
      <c r="HX17" s="306"/>
      <c r="HY17" s="303" t="s">
        <v>21</v>
      </c>
      <c r="HZ17" s="306"/>
      <c r="IA17" s="306"/>
      <c r="IB17" s="306"/>
      <c r="IC17" s="306"/>
      <c r="ID17" s="306"/>
      <c r="IE17" s="306"/>
      <c r="IF17" s="306"/>
      <c r="IG17" s="306"/>
      <c r="IH17" s="306"/>
      <c r="II17" s="306"/>
      <c r="IJ17" s="303" t="s">
        <v>21</v>
      </c>
      <c r="IK17" s="306"/>
      <c r="IL17" s="306"/>
      <c r="IM17" s="306"/>
      <c r="IN17" s="306"/>
      <c r="IO17" s="306"/>
      <c r="IP17" s="306"/>
      <c r="IQ17" s="306"/>
      <c r="IR17" s="306"/>
      <c r="IS17" s="306"/>
      <c r="IT17" s="306"/>
      <c r="IU17" s="303" t="s">
        <v>21</v>
      </c>
      <c r="IV17" s="305"/>
      <c r="IW17" s="305"/>
      <c r="IX17" s="305"/>
      <c r="IY17" s="305"/>
      <c r="IZ17" s="305"/>
      <c r="JA17" s="305"/>
      <c r="JB17" s="305"/>
      <c r="JC17" s="305"/>
      <c r="JD17" s="305"/>
      <c r="JE17" s="305"/>
      <c r="JF17" s="303" t="s">
        <v>21</v>
      </c>
      <c r="JG17" s="305"/>
      <c r="JH17" s="305"/>
      <c r="JI17" s="305"/>
      <c r="JJ17" s="305"/>
      <c r="JK17" s="305"/>
      <c r="JL17" s="305"/>
      <c r="JM17" s="305"/>
      <c r="JN17" s="305"/>
      <c r="JO17" s="305"/>
      <c r="JP17" s="305"/>
      <c r="JQ17" s="303" t="s">
        <v>21</v>
      </c>
      <c r="JR17" s="305"/>
      <c r="JS17" s="305"/>
      <c r="JT17" s="305"/>
      <c r="JU17" s="305"/>
      <c r="JV17" s="305"/>
      <c r="JW17" s="305"/>
      <c r="JX17" s="305"/>
      <c r="JY17" s="305"/>
      <c r="JZ17" s="305"/>
      <c r="KA17" s="305"/>
      <c r="KB17" s="303" t="s">
        <v>21</v>
      </c>
      <c r="KC17" s="305"/>
      <c r="KD17" s="305"/>
      <c r="KE17" s="305"/>
      <c r="KF17" s="305"/>
      <c r="KG17" s="305"/>
      <c r="KH17" s="305"/>
      <c r="KI17" s="305"/>
      <c r="KJ17" s="305"/>
      <c r="KK17" s="305"/>
      <c r="KL17" s="305"/>
      <c r="KM17" s="303" t="s">
        <v>21</v>
      </c>
      <c r="KN17" s="305"/>
      <c r="KO17" s="305"/>
      <c r="KP17" s="305"/>
      <c r="KQ17" s="305"/>
      <c r="KR17" s="305"/>
      <c r="KS17" s="305"/>
      <c r="KT17" s="305"/>
      <c r="KU17" s="305"/>
      <c r="KV17" s="305"/>
      <c r="KW17" s="305"/>
      <c r="KX17" s="303" t="s">
        <v>21</v>
      </c>
      <c r="KY17" s="305"/>
      <c r="KZ17" s="305"/>
      <c r="LA17" s="305"/>
      <c r="LB17" s="305"/>
      <c r="LC17" s="305"/>
      <c r="LD17" s="305"/>
      <c r="LE17" s="305"/>
      <c r="LF17" s="305"/>
      <c r="LG17" s="305"/>
      <c r="LH17" s="305"/>
      <c r="LI17" s="303" t="s">
        <v>21</v>
      </c>
      <c r="LJ17" s="305"/>
      <c r="LK17" s="305"/>
      <c r="LL17" s="305"/>
      <c r="LM17" s="305"/>
      <c r="LN17" s="305"/>
      <c r="LO17" s="305"/>
      <c r="LP17" s="305"/>
      <c r="LQ17" s="305"/>
      <c r="LR17" s="305"/>
      <c r="LS17" s="305"/>
      <c r="LT17" s="303" t="s">
        <v>21</v>
      </c>
      <c r="LU17" s="305"/>
      <c r="LV17" s="305"/>
      <c r="LW17" s="305"/>
      <c r="LX17" s="305"/>
      <c r="LY17" s="305"/>
      <c r="LZ17" s="305"/>
      <c r="MA17" s="305"/>
      <c r="MB17" s="305"/>
      <c r="MC17" s="305"/>
      <c r="MD17" s="305"/>
      <c r="ME17" s="303" t="s">
        <v>21</v>
      </c>
      <c r="MF17" s="305"/>
      <c r="MG17" s="305"/>
      <c r="MH17" s="305"/>
      <c r="MI17" s="305"/>
      <c r="MJ17" s="305"/>
      <c r="MK17" s="305"/>
      <c r="ML17" s="305"/>
      <c r="MM17" s="305"/>
      <c r="MN17" s="305"/>
      <c r="MO17" s="305"/>
      <c r="MP17" s="303" t="s">
        <v>21</v>
      </c>
      <c r="MQ17" s="305"/>
      <c r="MR17" s="305"/>
      <c r="MS17" s="305"/>
      <c r="MT17" s="305"/>
      <c r="MU17" s="305"/>
      <c r="MV17" s="305"/>
      <c r="MW17" s="305"/>
      <c r="MX17" s="305"/>
      <c r="MY17" s="305"/>
      <c r="MZ17" s="305"/>
      <c r="NA17" s="303" t="s">
        <v>21</v>
      </c>
      <c r="NB17" s="305"/>
      <c r="NC17" s="305"/>
      <c r="ND17" s="305"/>
      <c r="NE17" s="305"/>
      <c r="NF17" s="305"/>
      <c r="NG17" s="305"/>
      <c r="NH17" s="305"/>
      <c r="NI17" s="305"/>
      <c r="NJ17" s="305"/>
      <c r="NK17" s="305"/>
      <c r="NL17" s="303" t="s">
        <v>21</v>
      </c>
      <c r="NM17" s="305"/>
      <c r="NN17" s="305"/>
      <c r="NO17" s="305"/>
      <c r="NP17" s="305"/>
      <c r="NQ17" s="305"/>
      <c r="NR17" s="305"/>
      <c r="NS17" s="305"/>
      <c r="NT17" s="305"/>
      <c r="NU17" s="305"/>
      <c r="NV17" s="305"/>
      <c r="NW17" s="303" t="s">
        <v>21</v>
      </c>
      <c r="NX17" s="305"/>
      <c r="NY17" s="305"/>
      <c r="NZ17" s="305"/>
      <c r="OA17" s="305"/>
      <c r="OB17" s="305"/>
      <c r="OC17" s="305"/>
      <c r="OD17" s="305"/>
      <c r="OE17" s="305"/>
      <c r="OF17" s="305"/>
      <c r="OG17" s="305"/>
      <c r="OH17" s="303" t="s">
        <v>21</v>
      </c>
      <c r="OI17" s="304">
        <v>7.5</v>
      </c>
      <c r="OJ17" s="304">
        <v>6.3</v>
      </c>
      <c r="OK17" s="304">
        <v>6.6</v>
      </c>
      <c r="OL17" s="304">
        <v>6.5</v>
      </c>
      <c r="OM17" s="304">
        <v>5.2</v>
      </c>
      <c r="ON17" s="304">
        <v>6.4</v>
      </c>
      <c r="OO17" s="304">
        <v>6.5</v>
      </c>
      <c r="OP17" s="304">
        <v>6.5</v>
      </c>
      <c r="OQ17" s="304">
        <v>7.5</v>
      </c>
      <c r="OR17" s="304">
        <v>6.6</v>
      </c>
      <c r="OS17" s="303" t="s">
        <v>21</v>
      </c>
      <c r="OT17" s="305">
        <v>-0.8</v>
      </c>
      <c r="OU17" s="305">
        <v>0.9</v>
      </c>
      <c r="OV17" s="305">
        <v>-0.2</v>
      </c>
      <c r="OW17" s="305">
        <v>0.5</v>
      </c>
      <c r="OX17" s="305">
        <v>0.8</v>
      </c>
      <c r="OY17" s="305">
        <v>0</v>
      </c>
      <c r="OZ17" s="305">
        <v>0.9</v>
      </c>
      <c r="PA17" s="305">
        <v>0.6</v>
      </c>
      <c r="PB17" s="305">
        <v>1.2</v>
      </c>
      <c r="PC17" s="305">
        <v>0.8</v>
      </c>
    </row>
    <row r="18" spans="1:419">
      <c r="A18" s="269">
        <v>9</v>
      </c>
      <c r="B18" s="285" t="s">
        <v>41</v>
      </c>
      <c r="C18" s="286">
        <v>13.5</v>
      </c>
      <c r="D18" s="286">
        <v>16.600000000000001</v>
      </c>
      <c r="E18" s="286">
        <v>16.7</v>
      </c>
      <c r="F18" s="286">
        <v>13.6</v>
      </c>
      <c r="G18" s="286">
        <v>13.3</v>
      </c>
      <c r="H18" s="286">
        <v>16.8</v>
      </c>
      <c r="I18" s="286">
        <v>17.7</v>
      </c>
      <c r="J18" s="286">
        <v>14.4</v>
      </c>
      <c r="K18" s="286">
        <v>13.7</v>
      </c>
      <c r="L18" s="286">
        <v>17.5</v>
      </c>
      <c r="M18" s="285" t="s">
        <v>41</v>
      </c>
      <c r="N18" s="286">
        <v>271.3</v>
      </c>
      <c r="O18" s="286">
        <v>346.4</v>
      </c>
      <c r="P18" s="286">
        <v>350.4</v>
      </c>
      <c r="Q18" s="286">
        <v>276</v>
      </c>
      <c r="R18" s="286">
        <v>268</v>
      </c>
      <c r="S18" s="286">
        <v>353.2</v>
      </c>
      <c r="T18" s="286">
        <v>374.1</v>
      </c>
      <c r="U18" s="286">
        <v>296.3</v>
      </c>
      <c r="V18" s="286">
        <v>281.3</v>
      </c>
      <c r="W18" s="286">
        <v>372.9</v>
      </c>
      <c r="X18" s="285" t="s">
        <v>41</v>
      </c>
      <c r="Y18" s="287">
        <v>18.100000000000001</v>
      </c>
      <c r="Z18" s="287">
        <v>26.9</v>
      </c>
      <c r="AA18" s="286">
        <v>24.3</v>
      </c>
      <c r="AB18" s="287">
        <v>24.6</v>
      </c>
      <c r="AC18" s="287">
        <v>22.8</v>
      </c>
      <c r="AD18" s="286">
        <v>21.6</v>
      </c>
      <c r="AE18" s="286">
        <v>22.1</v>
      </c>
      <c r="AF18" s="287">
        <v>22.6</v>
      </c>
      <c r="AG18" s="287">
        <v>16.2</v>
      </c>
      <c r="AH18" s="286">
        <v>23.3</v>
      </c>
      <c r="AI18" s="285" t="s">
        <v>41</v>
      </c>
      <c r="AJ18" s="280">
        <v>33.299999999999997</v>
      </c>
      <c r="AK18" s="280">
        <v>86.3</v>
      </c>
      <c r="AL18" s="280">
        <v>96.4</v>
      </c>
      <c r="AM18" s="280">
        <v>38.9</v>
      </c>
      <c r="AN18" s="280">
        <v>29.8</v>
      </c>
      <c r="AO18" s="280">
        <v>87</v>
      </c>
      <c r="AP18" s="280">
        <v>111.8</v>
      </c>
      <c r="AQ18" s="281">
        <v>47.5</v>
      </c>
      <c r="AR18" s="280">
        <v>37.1</v>
      </c>
      <c r="AS18" s="280">
        <v>91.2</v>
      </c>
      <c r="AT18" s="285" t="s">
        <v>41</v>
      </c>
      <c r="AU18" s="280">
        <v>54</v>
      </c>
      <c r="AV18" s="280">
        <v>75.8</v>
      </c>
      <c r="AW18" s="280">
        <v>81.400000000000006</v>
      </c>
      <c r="AX18" s="280">
        <v>51.9</v>
      </c>
      <c r="AY18" s="280">
        <v>63.1</v>
      </c>
      <c r="AZ18" s="280">
        <v>80.8</v>
      </c>
      <c r="BA18" s="280">
        <v>85.8</v>
      </c>
      <c r="BB18" s="280">
        <v>70.900000000000006</v>
      </c>
      <c r="BC18" s="280">
        <v>63.9</v>
      </c>
      <c r="BD18" s="280">
        <v>94</v>
      </c>
      <c r="BE18" s="285" t="s">
        <v>41</v>
      </c>
      <c r="BF18" s="280">
        <v>98.9</v>
      </c>
      <c r="BG18" s="280">
        <v>91.2</v>
      </c>
      <c r="BH18" s="280">
        <v>77</v>
      </c>
      <c r="BI18" s="280">
        <v>90.3</v>
      </c>
      <c r="BJ18" s="280">
        <v>85.8</v>
      </c>
      <c r="BK18" s="280">
        <v>89.7</v>
      </c>
      <c r="BL18" s="280">
        <v>89</v>
      </c>
      <c r="BM18" s="280">
        <v>90.5</v>
      </c>
      <c r="BN18" s="280">
        <v>97</v>
      </c>
      <c r="BO18" s="280">
        <v>96.7</v>
      </c>
      <c r="BP18" s="285" t="s">
        <v>41</v>
      </c>
      <c r="BQ18" s="283">
        <v>31.799999999999997</v>
      </c>
      <c r="BR18" s="283">
        <v>32</v>
      </c>
      <c r="BS18" s="283">
        <v>41.4</v>
      </c>
      <c r="BT18" s="283">
        <v>34.799999999999997</v>
      </c>
      <c r="BU18" s="283">
        <v>35.5</v>
      </c>
      <c r="BV18" s="283">
        <v>44.4</v>
      </c>
      <c r="BW18" s="283">
        <v>34.700000000000003</v>
      </c>
      <c r="BX18" s="283">
        <v>35.9</v>
      </c>
      <c r="BY18" s="283">
        <v>36</v>
      </c>
      <c r="BZ18" s="283">
        <v>37.299999999999997</v>
      </c>
      <c r="CA18" s="285" t="s">
        <v>41</v>
      </c>
      <c r="CB18" s="283">
        <v>28.5</v>
      </c>
      <c r="CC18" s="283">
        <v>29.599999999999998</v>
      </c>
      <c r="CD18" s="283">
        <v>24.7</v>
      </c>
      <c r="CE18" s="283">
        <v>29</v>
      </c>
      <c r="CF18" s="283">
        <v>26.4</v>
      </c>
      <c r="CG18" s="283">
        <v>23.8</v>
      </c>
      <c r="CH18" s="283">
        <v>25.6</v>
      </c>
      <c r="CI18" s="283">
        <v>22.700000000000003</v>
      </c>
      <c r="CJ18" s="283">
        <v>24.5</v>
      </c>
      <c r="CK18" s="283">
        <v>25.3</v>
      </c>
      <c r="CL18" s="285" t="s">
        <v>41</v>
      </c>
      <c r="CM18" s="286">
        <v>27.5</v>
      </c>
      <c r="CN18" s="286">
        <v>54.7</v>
      </c>
      <c r="CO18" s="286">
        <v>56.8</v>
      </c>
      <c r="CP18" s="286">
        <v>35.9</v>
      </c>
      <c r="CQ18" s="286">
        <v>27.1</v>
      </c>
      <c r="CR18" s="286">
        <v>53.2</v>
      </c>
      <c r="CS18" s="286">
        <v>59.7</v>
      </c>
      <c r="CT18" s="286">
        <v>36.299999999999997</v>
      </c>
      <c r="CU18" s="286">
        <v>37.299999999999997</v>
      </c>
      <c r="CV18" s="286">
        <v>68</v>
      </c>
      <c r="CW18" s="285" t="s">
        <v>41</v>
      </c>
      <c r="CX18" s="286">
        <v>124.3</v>
      </c>
      <c r="CY18" s="286">
        <v>171.2</v>
      </c>
      <c r="CZ18" s="286">
        <v>181.9</v>
      </c>
      <c r="DA18" s="286">
        <v>132</v>
      </c>
      <c r="DB18" s="286">
        <v>118.2</v>
      </c>
      <c r="DC18" s="286">
        <v>175.9</v>
      </c>
      <c r="DD18" s="286">
        <v>191.4</v>
      </c>
      <c r="DE18" s="286">
        <v>141.9</v>
      </c>
      <c r="DF18" s="286">
        <v>130.4</v>
      </c>
      <c r="DG18" s="286">
        <v>191.4</v>
      </c>
      <c r="DH18" s="285" t="s">
        <v>41</v>
      </c>
      <c r="DI18" s="286">
        <v>119.5</v>
      </c>
      <c r="DJ18" s="286">
        <v>120.5</v>
      </c>
      <c r="DK18" s="286">
        <v>111.7</v>
      </c>
      <c r="DL18" s="286">
        <v>108.1</v>
      </c>
      <c r="DM18" s="286">
        <v>122.6</v>
      </c>
      <c r="DN18" s="287">
        <v>124.1</v>
      </c>
      <c r="DO18" s="286">
        <v>123.1</v>
      </c>
      <c r="DP18" s="286">
        <v>117.9</v>
      </c>
      <c r="DQ18" s="286">
        <v>113.6</v>
      </c>
      <c r="DR18" s="286">
        <v>113.5</v>
      </c>
      <c r="DS18" s="285" t="s">
        <v>41</v>
      </c>
      <c r="DT18" s="287"/>
      <c r="DU18" s="287"/>
      <c r="DV18" s="287"/>
      <c r="DW18" s="287"/>
      <c r="DX18" s="287"/>
      <c r="DY18" s="287"/>
      <c r="DZ18" s="287"/>
      <c r="EA18" s="287"/>
      <c r="EB18" s="287"/>
      <c r="EC18" s="287"/>
      <c r="ED18" s="285" t="s">
        <v>41</v>
      </c>
      <c r="EE18" s="281">
        <v>2.2999999999999998</v>
      </c>
      <c r="EF18" s="280">
        <v>2.6</v>
      </c>
      <c r="EG18" s="280">
        <v>2.7</v>
      </c>
      <c r="EH18" s="280">
        <v>2.1</v>
      </c>
      <c r="EI18" s="280">
        <v>3.3</v>
      </c>
      <c r="EJ18" s="280">
        <v>2.5</v>
      </c>
      <c r="EK18" s="280">
        <v>2.8</v>
      </c>
      <c r="EL18" s="280">
        <v>2.4</v>
      </c>
      <c r="EM18" s="280">
        <v>2</v>
      </c>
      <c r="EN18" s="280"/>
      <c r="EO18" s="285" t="s">
        <v>41</v>
      </c>
      <c r="EP18" s="280">
        <v>79.2</v>
      </c>
      <c r="EQ18" s="280">
        <v>76.599999999999994</v>
      </c>
      <c r="ER18" s="280">
        <v>73.099999999999994</v>
      </c>
      <c r="ES18" s="280">
        <v>71.7</v>
      </c>
      <c r="ET18" s="280">
        <v>75.8</v>
      </c>
      <c r="EU18" s="280">
        <v>74.599999999999994</v>
      </c>
      <c r="EV18" s="280">
        <v>72</v>
      </c>
      <c r="EW18" s="280">
        <v>78.400000000000006</v>
      </c>
      <c r="EX18" s="280">
        <v>75.900000000000006</v>
      </c>
      <c r="EY18" s="280">
        <v>78.2</v>
      </c>
      <c r="EZ18" s="285" t="s">
        <v>41</v>
      </c>
      <c r="FA18" s="280">
        <v>47.6</v>
      </c>
      <c r="FB18" s="280">
        <v>57.6</v>
      </c>
      <c r="FC18" s="280">
        <v>55.2</v>
      </c>
      <c r="FD18" s="280">
        <v>49.5</v>
      </c>
      <c r="FE18" s="280">
        <v>50</v>
      </c>
      <c r="FF18" s="280">
        <v>63.6</v>
      </c>
      <c r="FG18" s="280">
        <v>65.5</v>
      </c>
      <c r="FH18" s="280">
        <v>50.3</v>
      </c>
      <c r="FI18" s="280">
        <v>55.5</v>
      </c>
      <c r="FJ18" s="280">
        <v>70.099999999999994</v>
      </c>
      <c r="FK18" s="285" t="s">
        <v>41</v>
      </c>
      <c r="FL18" s="280">
        <v>19.7</v>
      </c>
      <c r="FM18" s="280">
        <v>23.5</v>
      </c>
      <c r="FN18" s="280">
        <v>22.7</v>
      </c>
      <c r="FO18" s="280">
        <v>19.600000000000001</v>
      </c>
      <c r="FP18" s="280">
        <v>18.2</v>
      </c>
      <c r="FQ18" s="280">
        <v>21.1</v>
      </c>
      <c r="FR18" s="280">
        <v>22.2</v>
      </c>
      <c r="FS18" s="280">
        <v>18</v>
      </c>
      <c r="FT18" s="280">
        <v>18.5</v>
      </c>
      <c r="FU18" s="280">
        <v>25.1</v>
      </c>
      <c r="FV18" s="285" t="s">
        <v>41</v>
      </c>
      <c r="FW18" s="280">
        <v>66.400000000000006</v>
      </c>
      <c r="FX18" s="280">
        <v>87.3</v>
      </c>
      <c r="FY18" s="280">
        <v>91.1</v>
      </c>
      <c r="FZ18" s="280">
        <v>68.099999999999994</v>
      </c>
      <c r="GA18" s="280">
        <v>71.7</v>
      </c>
      <c r="GB18" s="280">
        <v>95.8</v>
      </c>
      <c r="GC18" s="280">
        <v>101.8</v>
      </c>
      <c r="GD18" s="280">
        <v>78.900000000000006</v>
      </c>
      <c r="GE18" s="280">
        <v>73.599999999999994</v>
      </c>
      <c r="GF18" s="280">
        <v>94.6</v>
      </c>
      <c r="GG18" s="285" t="s">
        <v>41</v>
      </c>
      <c r="GH18" s="280">
        <v>3.2</v>
      </c>
      <c r="GI18" s="280">
        <v>11.1</v>
      </c>
      <c r="GJ18" s="280">
        <v>10</v>
      </c>
      <c r="GK18" s="280">
        <v>3.8</v>
      </c>
      <c r="GL18" s="280"/>
      <c r="GM18" s="281">
        <v>8</v>
      </c>
      <c r="GN18" s="280">
        <v>9.4</v>
      </c>
      <c r="GO18" s="280">
        <v>4.5</v>
      </c>
      <c r="GP18" s="280">
        <v>2.2000000000000002</v>
      </c>
      <c r="GQ18" s="280">
        <v>9.6999999999999993</v>
      </c>
      <c r="GR18" s="285" t="s">
        <v>41</v>
      </c>
      <c r="GS18" s="280">
        <v>14.5</v>
      </c>
      <c r="GT18" s="280">
        <v>19.7</v>
      </c>
      <c r="GU18" s="280">
        <v>28.4</v>
      </c>
      <c r="GV18" s="280">
        <v>18</v>
      </c>
      <c r="GW18" s="280">
        <v>13.2</v>
      </c>
      <c r="GX18" s="280">
        <v>26.3</v>
      </c>
      <c r="GY18" s="280">
        <v>26.2</v>
      </c>
      <c r="GZ18" s="280">
        <v>20</v>
      </c>
      <c r="HA18" s="280">
        <v>15.2</v>
      </c>
      <c r="HB18" s="280">
        <v>28.8</v>
      </c>
      <c r="HC18" s="285" t="s">
        <v>41</v>
      </c>
      <c r="HD18" s="280">
        <v>11.4</v>
      </c>
      <c r="HE18" s="280">
        <v>20.7</v>
      </c>
      <c r="HF18" s="280">
        <v>21</v>
      </c>
      <c r="HG18" s="280">
        <v>15.4</v>
      </c>
      <c r="HH18" s="280">
        <v>12.7</v>
      </c>
      <c r="HI18" s="280">
        <v>17.399999999999999</v>
      </c>
      <c r="HJ18" s="280">
        <v>22.6</v>
      </c>
      <c r="HK18" s="280">
        <v>14.6</v>
      </c>
      <c r="HL18" s="280">
        <v>11.1</v>
      </c>
      <c r="HM18" s="280">
        <v>20.8</v>
      </c>
      <c r="HN18" s="285" t="s">
        <v>41</v>
      </c>
      <c r="HO18" s="280">
        <v>25</v>
      </c>
      <c r="HP18" s="280">
        <v>44.6</v>
      </c>
      <c r="HQ18" s="280">
        <v>45.2</v>
      </c>
      <c r="HR18" s="280">
        <v>26.9</v>
      </c>
      <c r="HS18" s="280">
        <v>21</v>
      </c>
      <c r="HT18" s="280">
        <v>42.4</v>
      </c>
      <c r="HU18" s="280">
        <v>48.4</v>
      </c>
      <c r="HV18" s="280">
        <v>27.3</v>
      </c>
      <c r="HW18" s="280">
        <v>26.1</v>
      </c>
      <c r="HX18" s="280">
        <v>43.3</v>
      </c>
      <c r="HY18" s="285" t="s">
        <v>41</v>
      </c>
      <c r="HZ18" s="281"/>
      <c r="IA18" s="281"/>
      <c r="IB18" s="281"/>
      <c r="IC18" s="281"/>
      <c r="ID18" s="281"/>
      <c r="IE18" s="281"/>
      <c r="IF18" s="281"/>
      <c r="IG18" s="281"/>
      <c r="IH18" s="281"/>
      <c r="II18" s="281"/>
      <c r="IJ18" s="285" t="s">
        <v>41</v>
      </c>
      <c r="IK18" s="281"/>
      <c r="IL18" s="281"/>
      <c r="IM18" s="280"/>
      <c r="IN18" s="281"/>
      <c r="IO18" s="281"/>
      <c r="IP18" s="281"/>
      <c r="IQ18" s="281"/>
      <c r="IR18" s="281"/>
      <c r="IS18" s="281"/>
      <c r="IT18" s="281"/>
      <c r="IU18" s="285" t="s">
        <v>41</v>
      </c>
      <c r="IV18" s="280">
        <v>4</v>
      </c>
      <c r="IW18" s="280">
        <v>6.8</v>
      </c>
      <c r="IX18" s="280">
        <v>6.5</v>
      </c>
      <c r="IY18" s="280">
        <v>3</v>
      </c>
      <c r="IZ18" s="280"/>
      <c r="JA18" s="280">
        <v>4.9000000000000004</v>
      </c>
      <c r="JB18" s="280">
        <v>8</v>
      </c>
      <c r="JC18" s="280">
        <v>3</v>
      </c>
      <c r="JD18" s="280">
        <v>2.1</v>
      </c>
      <c r="JE18" s="280">
        <v>6.1</v>
      </c>
      <c r="JF18" s="285" t="s">
        <v>41</v>
      </c>
      <c r="JG18" s="280">
        <v>19.899999999999999</v>
      </c>
      <c r="JH18" s="280">
        <v>29.8</v>
      </c>
      <c r="JI18" s="280">
        <v>31.6</v>
      </c>
      <c r="JJ18" s="280">
        <v>20.2</v>
      </c>
      <c r="JK18" s="280">
        <v>19.5</v>
      </c>
      <c r="JL18" s="280">
        <v>31.8</v>
      </c>
      <c r="JM18" s="280">
        <v>34</v>
      </c>
      <c r="JN18" s="280">
        <v>25.8</v>
      </c>
      <c r="JO18" s="280">
        <v>22.7</v>
      </c>
      <c r="JP18" s="280">
        <v>37.200000000000003</v>
      </c>
      <c r="JQ18" s="285" t="s">
        <v>41</v>
      </c>
      <c r="JR18" s="280">
        <v>6.1</v>
      </c>
      <c r="JS18" s="280">
        <v>14.5</v>
      </c>
      <c r="JT18" s="280">
        <v>20.8</v>
      </c>
      <c r="JU18" s="280">
        <v>11.8</v>
      </c>
      <c r="JV18" s="280">
        <v>5.7</v>
      </c>
      <c r="JW18" s="280">
        <v>15.1</v>
      </c>
      <c r="JX18" s="280">
        <v>18</v>
      </c>
      <c r="JY18" s="280">
        <v>11.9</v>
      </c>
      <c r="JZ18" s="280">
        <v>8.6999999999999993</v>
      </c>
      <c r="KA18" s="280">
        <v>17.899999999999999</v>
      </c>
      <c r="KB18" s="285" t="s">
        <v>41</v>
      </c>
      <c r="KC18" s="280">
        <v>20.2</v>
      </c>
      <c r="KD18" s="280">
        <v>34.4</v>
      </c>
      <c r="KE18" s="281">
        <v>36.6</v>
      </c>
      <c r="KF18" s="280">
        <v>24.2</v>
      </c>
      <c r="KG18" s="280">
        <v>22.6</v>
      </c>
      <c r="KH18" s="281">
        <v>39.1</v>
      </c>
      <c r="KI18" s="281">
        <v>43.8</v>
      </c>
      <c r="KJ18" s="281">
        <v>30.8</v>
      </c>
      <c r="KK18" s="281">
        <v>21.2</v>
      </c>
      <c r="KL18" s="281">
        <v>39.799999999999997</v>
      </c>
      <c r="KM18" s="285" t="s">
        <v>41</v>
      </c>
      <c r="KN18" s="281">
        <v>7.9</v>
      </c>
      <c r="KO18" s="281">
        <v>13.5</v>
      </c>
      <c r="KP18" s="281">
        <v>11.6</v>
      </c>
      <c r="KQ18" s="281">
        <v>10.1</v>
      </c>
      <c r="KR18" s="281">
        <v>8.6999999999999993</v>
      </c>
      <c r="KS18" s="281">
        <v>10.3</v>
      </c>
      <c r="KT18" s="281">
        <v>12.6</v>
      </c>
      <c r="KU18" s="281">
        <v>8.3000000000000007</v>
      </c>
      <c r="KV18" s="281">
        <v>8.1</v>
      </c>
      <c r="KW18" s="281">
        <v>10.1</v>
      </c>
      <c r="KX18" s="285" t="s">
        <v>41</v>
      </c>
      <c r="KY18" s="281">
        <v>9.6999999999999993</v>
      </c>
      <c r="KZ18" s="280">
        <v>14.1</v>
      </c>
      <c r="LA18" s="281">
        <v>15.3</v>
      </c>
      <c r="LB18" s="280">
        <v>9.6</v>
      </c>
      <c r="LC18" s="280">
        <v>10</v>
      </c>
      <c r="LD18" s="281">
        <v>14.3</v>
      </c>
      <c r="LE18" s="281">
        <v>20.8</v>
      </c>
      <c r="LF18" s="281">
        <v>10.199999999999999</v>
      </c>
      <c r="LG18" s="280">
        <v>12.6</v>
      </c>
      <c r="LH18" s="280">
        <v>13.1</v>
      </c>
      <c r="LI18" s="285" t="s">
        <v>41</v>
      </c>
      <c r="LJ18" s="281">
        <v>6.7</v>
      </c>
      <c r="LK18" s="281">
        <v>5.8</v>
      </c>
      <c r="LL18" s="281">
        <v>8.6</v>
      </c>
      <c r="LM18" s="281">
        <v>5.4</v>
      </c>
      <c r="LN18" s="281">
        <v>6.6</v>
      </c>
      <c r="LO18" s="281">
        <v>7.4</v>
      </c>
      <c r="LP18" s="281">
        <v>5.9</v>
      </c>
      <c r="LQ18" s="281">
        <v>5.4</v>
      </c>
      <c r="LR18" s="281">
        <v>4.7</v>
      </c>
      <c r="LS18" s="281">
        <v>5.2</v>
      </c>
      <c r="LT18" s="285" t="s">
        <v>41</v>
      </c>
      <c r="LU18" s="281">
        <v>3.5</v>
      </c>
      <c r="LV18" s="281">
        <v>3.7</v>
      </c>
      <c r="LW18" s="281">
        <v>4.2</v>
      </c>
      <c r="LX18" s="281">
        <v>3.5</v>
      </c>
      <c r="LY18" s="281">
        <v>4.2</v>
      </c>
      <c r="LZ18" s="281">
        <v>5.2</v>
      </c>
      <c r="MA18" s="281">
        <v>5.2</v>
      </c>
      <c r="MB18" s="281">
        <v>4.4000000000000004</v>
      </c>
      <c r="MC18" s="281">
        <v>5.6</v>
      </c>
      <c r="MD18" s="281">
        <v>6.5</v>
      </c>
      <c r="ME18" s="285" t="s">
        <v>41</v>
      </c>
      <c r="MF18" s="281">
        <v>18.2</v>
      </c>
      <c r="MG18" s="281">
        <v>19.5</v>
      </c>
      <c r="MH18" s="281">
        <v>18</v>
      </c>
      <c r="MI18" s="281">
        <v>16.2</v>
      </c>
      <c r="MJ18" s="281">
        <v>14</v>
      </c>
      <c r="MK18" s="281">
        <v>17.5</v>
      </c>
      <c r="ML18" s="281">
        <v>18.600000000000001</v>
      </c>
      <c r="MM18" s="281">
        <v>16.2</v>
      </c>
      <c r="MN18" s="281">
        <v>16.5</v>
      </c>
      <c r="MO18" s="281">
        <v>16.600000000000001</v>
      </c>
      <c r="MP18" s="285" t="s">
        <v>41</v>
      </c>
      <c r="MQ18" s="281">
        <v>8</v>
      </c>
      <c r="MR18" s="281">
        <v>16.399999999999999</v>
      </c>
      <c r="MS18" s="281">
        <v>18.7</v>
      </c>
      <c r="MT18" s="281">
        <v>10.5</v>
      </c>
      <c r="MU18" s="281">
        <v>8.9</v>
      </c>
      <c r="MV18" s="281">
        <v>16.399999999999999</v>
      </c>
      <c r="MW18" s="281">
        <v>16</v>
      </c>
      <c r="MX18" s="281">
        <v>10.6</v>
      </c>
      <c r="MY18" s="281">
        <v>10.4</v>
      </c>
      <c r="MZ18" s="281">
        <v>17.600000000000001</v>
      </c>
      <c r="NA18" s="285" t="s">
        <v>41</v>
      </c>
      <c r="NB18" s="281">
        <v>9.8000000000000007</v>
      </c>
      <c r="NC18" s="281">
        <v>11.5</v>
      </c>
      <c r="ND18" s="281">
        <v>12.9</v>
      </c>
      <c r="NE18" s="281">
        <v>12.3</v>
      </c>
      <c r="NF18" s="281">
        <v>12.9</v>
      </c>
      <c r="NG18" s="281">
        <v>17.7</v>
      </c>
      <c r="NH18" s="281">
        <v>20.399999999999999</v>
      </c>
      <c r="NI18" s="281">
        <v>14.8</v>
      </c>
      <c r="NJ18" s="281">
        <v>14.5</v>
      </c>
      <c r="NK18" s="281">
        <v>20.100000000000001</v>
      </c>
      <c r="NL18" s="285" t="s">
        <v>41</v>
      </c>
      <c r="NM18" s="281">
        <v>50.4</v>
      </c>
      <c r="NN18" s="281">
        <v>44.5</v>
      </c>
      <c r="NO18" s="281">
        <v>38.6</v>
      </c>
      <c r="NP18" s="281">
        <v>44.3</v>
      </c>
      <c r="NQ18" s="281">
        <v>47.7</v>
      </c>
      <c r="NR18" s="281">
        <v>43.7</v>
      </c>
      <c r="NS18" s="281">
        <v>36.4</v>
      </c>
      <c r="NT18" s="281">
        <v>44.5</v>
      </c>
      <c r="NU18" s="281">
        <v>46.4</v>
      </c>
      <c r="NV18" s="281">
        <v>42.5</v>
      </c>
      <c r="NW18" s="285" t="s">
        <v>41</v>
      </c>
      <c r="NX18" s="281">
        <v>75.7</v>
      </c>
      <c r="NY18" s="281">
        <v>88</v>
      </c>
      <c r="NZ18" s="281">
        <v>90.7</v>
      </c>
      <c r="OA18" s="281">
        <v>78.099999999999994</v>
      </c>
      <c r="OB18" s="281">
        <v>75.2</v>
      </c>
      <c r="OC18" s="281">
        <v>87.5</v>
      </c>
      <c r="OD18" s="281">
        <v>89.1</v>
      </c>
      <c r="OE18" s="281">
        <v>76.900000000000006</v>
      </c>
      <c r="OF18" s="281">
        <v>76.2</v>
      </c>
      <c r="OG18" s="281">
        <v>95.1</v>
      </c>
      <c r="OH18" s="296" t="s">
        <v>41</v>
      </c>
      <c r="OI18" s="297">
        <v>7.5</v>
      </c>
      <c r="OJ18" s="297">
        <v>8.4</v>
      </c>
      <c r="OK18" s="297">
        <v>9.6999999999999993</v>
      </c>
      <c r="OL18" s="297">
        <v>10.7</v>
      </c>
      <c r="OM18" s="297">
        <v>8.4</v>
      </c>
      <c r="ON18" s="297">
        <v>8.6999999999999993</v>
      </c>
      <c r="OO18" s="297">
        <v>9.6</v>
      </c>
      <c r="OP18" s="297">
        <v>10</v>
      </c>
      <c r="OQ18" s="297">
        <v>7.6</v>
      </c>
      <c r="OR18" s="297">
        <v>8</v>
      </c>
      <c r="OS18" s="285" t="s">
        <v>41</v>
      </c>
      <c r="OT18" s="280">
        <v>0.4</v>
      </c>
      <c r="OU18" s="280">
        <v>0</v>
      </c>
      <c r="OV18" s="280">
        <v>0.4</v>
      </c>
      <c r="OW18" s="280">
        <v>0.3</v>
      </c>
      <c r="OX18" s="280">
        <v>0.6</v>
      </c>
      <c r="OY18" s="280">
        <v>-0.1</v>
      </c>
      <c r="OZ18" s="280">
        <v>0.1</v>
      </c>
      <c r="PA18" s="280">
        <v>0.6</v>
      </c>
      <c r="PB18" s="280">
        <v>0.5</v>
      </c>
      <c r="PC18" s="280">
        <v>0.6</v>
      </c>
    </row>
    <row r="19" spans="1:419">
      <c r="A19" s="269">
        <v>10</v>
      </c>
      <c r="B19" s="285" t="s">
        <v>25</v>
      </c>
      <c r="C19" s="286">
        <v>15</v>
      </c>
      <c r="D19" s="286">
        <v>16.399999999999999</v>
      </c>
      <c r="E19" s="286">
        <v>16.7</v>
      </c>
      <c r="F19" s="286">
        <v>15.9</v>
      </c>
      <c r="G19" s="286">
        <v>15.3</v>
      </c>
      <c r="H19" s="286">
        <v>16.399999999999999</v>
      </c>
      <c r="I19" s="286">
        <v>16.8</v>
      </c>
      <c r="J19" s="286">
        <v>16</v>
      </c>
      <c r="K19" s="286">
        <v>16</v>
      </c>
      <c r="L19" s="286">
        <v>16.899999999999999</v>
      </c>
      <c r="M19" s="285" t="s">
        <v>25</v>
      </c>
      <c r="N19" s="286">
        <v>3453.9</v>
      </c>
      <c r="O19" s="286">
        <v>3803.1</v>
      </c>
      <c r="P19" s="286">
        <v>3916.4</v>
      </c>
      <c r="Q19" s="286">
        <v>3672</v>
      </c>
      <c r="R19" s="286">
        <v>3545.7</v>
      </c>
      <c r="S19" s="286">
        <v>3835.3</v>
      </c>
      <c r="T19" s="286">
        <v>3929.1</v>
      </c>
      <c r="U19" s="286">
        <v>3702.9</v>
      </c>
      <c r="V19" s="286">
        <v>3723.6</v>
      </c>
      <c r="W19" s="286">
        <v>4003.1</v>
      </c>
      <c r="X19" s="285" t="s">
        <v>25</v>
      </c>
      <c r="Y19" s="286">
        <v>466.5</v>
      </c>
      <c r="Z19" s="286">
        <v>529.6</v>
      </c>
      <c r="AA19" s="286">
        <v>580.5</v>
      </c>
      <c r="AB19" s="286">
        <v>506.2</v>
      </c>
      <c r="AC19" s="286">
        <v>471.1</v>
      </c>
      <c r="AD19" s="286">
        <v>548.29999999999995</v>
      </c>
      <c r="AE19" s="286">
        <v>571.20000000000005</v>
      </c>
      <c r="AF19" s="286">
        <v>534.5</v>
      </c>
      <c r="AG19" s="286">
        <v>571.29999999999995</v>
      </c>
      <c r="AH19" s="286">
        <v>601.29999999999995</v>
      </c>
      <c r="AI19" s="285" t="s">
        <v>25</v>
      </c>
      <c r="AJ19" s="280">
        <v>450</v>
      </c>
      <c r="AK19" s="280">
        <v>512.4</v>
      </c>
      <c r="AL19" s="280">
        <v>719.5</v>
      </c>
      <c r="AM19" s="280">
        <v>539.1</v>
      </c>
      <c r="AN19" s="280">
        <v>509.2</v>
      </c>
      <c r="AO19" s="280">
        <v>537.4</v>
      </c>
      <c r="AP19" s="280">
        <v>702.7</v>
      </c>
      <c r="AQ19" s="280">
        <v>557.6</v>
      </c>
      <c r="AR19" s="280">
        <v>533.9</v>
      </c>
      <c r="AS19" s="280">
        <v>559.29999999999995</v>
      </c>
      <c r="AT19" s="285" t="s">
        <v>25</v>
      </c>
      <c r="AU19" s="280">
        <v>442.3</v>
      </c>
      <c r="AV19" s="280">
        <v>527</v>
      </c>
      <c r="AW19" s="280">
        <v>537.79999999999995</v>
      </c>
      <c r="AX19" s="280">
        <v>501.3</v>
      </c>
      <c r="AY19" s="280">
        <v>482</v>
      </c>
      <c r="AZ19" s="280">
        <v>562.6</v>
      </c>
      <c r="BA19" s="280">
        <v>585.20000000000005</v>
      </c>
      <c r="BB19" s="280">
        <v>509.2</v>
      </c>
      <c r="BC19" s="280">
        <v>503.1</v>
      </c>
      <c r="BD19" s="280">
        <v>559.70000000000005</v>
      </c>
      <c r="BE19" s="285" t="s">
        <v>25</v>
      </c>
      <c r="BF19" s="280">
        <v>767.1</v>
      </c>
      <c r="BG19" s="280">
        <v>826.1</v>
      </c>
      <c r="BH19" s="280">
        <v>751</v>
      </c>
      <c r="BI19" s="280">
        <v>795.6</v>
      </c>
      <c r="BJ19" s="280">
        <v>777.5</v>
      </c>
      <c r="BK19" s="280">
        <v>835.5</v>
      </c>
      <c r="BL19" s="280">
        <v>797.2</v>
      </c>
      <c r="BM19" s="280">
        <v>787.8</v>
      </c>
      <c r="BN19" s="280">
        <v>797.9</v>
      </c>
      <c r="BO19" s="280">
        <v>883.9</v>
      </c>
      <c r="BP19" s="285" t="s">
        <v>25</v>
      </c>
      <c r="BQ19" s="283">
        <v>563.79999999999995</v>
      </c>
      <c r="BR19" s="283">
        <v>613.90000000000009</v>
      </c>
      <c r="BS19" s="283">
        <v>594.40000000000009</v>
      </c>
      <c r="BT19" s="283">
        <v>578.6</v>
      </c>
      <c r="BU19" s="283">
        <v>578.1</v>
      </c>
      <c r="BV19" s="283">
        <v>591</v>
      </c>
      <c r="BW19" s="283">
        <v>568.20000000000005</v>
      </c>
      <c r="BX19" s="283">
        <v>624.40000000000009</v>
      </c>
      <c r="BY19" s="283">
        <v>603.59999999999991</v>
      </c>
      <c r="BZ19" s="283">
        <v>626.79999999999995</v>
      </c>
      <c r="CA19" s="285" t="s">
        <v>25</v>
      </c>
      <c r="CB19" s="283">
        <v>332</v>
      </c>
      <c r="CC19" s="283">
        <v>328.4</v>
      </c>
      <c r="CD19" s="283">
        <v>328.2</v>
      </c>
      <c r="CE19" s="283">
        <v>327</v>
      </c>
      <c r="CF19" s="283">
        <v>309</v>
      </c>
      <c r="CG19" s="283">
        <v>298.8</v>
      </c>
      <c r="CH19" s="283">
        <v>309.2</v>
      </c>
      <c r="CI19" s="283">
        <v>325.10000000000002</v>
      </c>
      <c r="CJ19" s="283">
        <v>326.70000000000005</v>
      </c>
      <c r="CK19" s="283">
        <v>329.1</v>
      </c>
      <c r="CL19" s="285" t="s">
        <v>25</v>
      </c>
      <c r="CM19" s="286">
        <v>715</v>
      </c>
      <c r="CN19" s="286">
        <v>761.8</v>
      </c>
      <c r="CO19" s="286">
        <v>792.8</v>
      </c>
      <c r="CP19" s="286">
        <v>753.2</v>
      </c>
      <c r="CQ19" s="286">
        <v>717.4</v>
      </c>
      <c r="CR19" s="286">
        <v>768.1</v>
      </c>
      <c r="CS19" s="286">
        <v>745.4</v>
      </c>
      <c r="CT19" s="286">
        <v>718.8</v>
      </c>
      <c r="CU19" s="286">
        <v>733.4</v>
      </c>
      <c r="CV19" s="286">
        <v>834.2</v>
      </c>
      <c r="CW19" s="285" t="s">
        <v>25</v>
      </c>
      <c r="CX19" s="286">
        <v>1638.3</v>
      </c>
      <c r="CY19" s="286">
        <v>1850.1</v>
      </c>
      <c r="CZ19" s="286">
        <v>1937.7</v>
      </c>
      <c r="DA19" s="286">
        <v>1736.4</v>
      </c>
      <c r="DB19" s="286">
        <v>1665.6</v>
      </c>
      <c r="DC19" s="286">
        <v>1836.5</v>
      </c>
      <c r="DD19" s="286">
        <v>1903</v>
      </c>
      <c r="DE19" s="286">
        <v>1762.1</v>
      </c>
      <c r="DF19" s="286">
        <v>1805.8</v>
      </c>
      <c r="DG19" s="286">
        <v>1913</v>
      </c>
      <c r="DH19" s="285" t="s">
        <v>25</v>
      </c>
      <c r="DI19" s="286">
        <v>1076.9000000000001</v>
      </c>
      <c r="DJ19" s="286">
        <v>1175.9000000000001</v>
      </c>
      <c r="DK19" s="286">
        <v>1172.4000000000001</v>
      </c>
      <c r="DL19" s="286">
        <v>1171.5</v>
      </c>
      <c r="DM19" s="286">
        <v>1139.9000000000001</v>
      </c>
      <c r="DN19" s="286">
        <v>1208.5999999999999</v>
      </c>
      <c r="DO19" s="286">
        <v>1260.4000000000001</v>
      </c>
      <c r="DP19" s="286">
        <v>1204.8</v>
      </c>
      <c r="DQ19" s="286">
        <v>1163.3</v>
      </c>
      <c r="DR19" s="286">
        <v>1240.3</v>
      </c>
      <c r="DS19" s="285" t="s">
        <v>25</v>
      </c>
      <c r="DT19" s="287">
        <v>23.7</v>
      </c>
      <c r="DU19" s="286"/>
      <c r="DV19" s="287"/>
      <c r="DW19" s="286"/>
      <c r="DX19" s="287">
        <v>22.8</v>
      </c>
      <c r="DY19" s="287">
        <v>22.1</v>
      </c>
      <c r="DZ19" s="287">
        <v>20.2</v>
      </c>
      <c r="EA19" s="286"/>
      <c r="EB19" s="286">
        <v>21</v>
      </c>
      <c r="EC19" s="286"/>
      <c r="ED19" s="285" t="s">
        <v>25</v>
      </c>
      <c r="EE19" s="280">
        <v>51.6</v>
      </c>
      <c r="EF19" s="280">
        <v>58.8</v>
      </c>
      <c r="EG19" s="280">
        <v>53.5</v>
      </c>
      <c r="EH19" s="280">
        <v>54.6</v>
      </c>
      <c r="EI19" s="280">
        <v>51.9</v>
      </c>
      <c r="EJ19" s="280">
        <v>58.9</v>
      </c>
      <c r="EK19" s="280">
        <v>60.3</v>
      </c>
      <c r="EL19" s="280">
        <v>56</v>
      </c>
      <c r="EM19" s="280">
        <v>54.8</v>
      </c>
      <c r="EN19" s="280">
        <v>56.4</v>
      </c>
      <c r="EO19" s="285" t="s">
        <v>25</v>
      </c>
      <c r="EP19" s="280">
        <v>458.2</v>
      </c>
      <c r="EQ19" s="280">
        <v>480.6</v>
      </c>
      <c r="ER19" s="280">
        <v>463.3</v>
      </c>
      <c r="ES19" s="280">
        <v>466.2</v>
      </c>
      <c r="ET19" s="280">
        <v>445.5</v>
      </c>
      <c r="EU19" s="280">
        <v>483.3</v>
      </c>
      <c r="EV19" s="280">
        <v>451.1</v>
      </c>
      <c r="EW19" s="280">
        <v>474.5</v>
      </c>
      <c r="EX19" s="280">
        <v>479.4</v>
      </c>
      <c r="EY19" s="280">
        <v>498</v>
      </c>
      <c r="EZ19" s="285" t="s">
        <v>25</v>
      </c>
      <c r="FA19" s="280">
        <v>657.4</v>
      </c>
      <c r="FB19" s="280">
        <v>712.1</v>
      </c>
      <c r="FC19" s="280">
        <v>689.2</v>
      </c>
      <c r="FD19" s="280">
        <v>674.7</v>
      </c>
      <c r="FE19" s="280">
        <v>681.3</v>
      </c>
      <c r="FF19" s="280">
        <v>688.7</v>
      </c>
      <c r="FG19" s="280">
        <v>654.79999999999995</v>
      </c>
      <c r="FH19" s="280">
        <v>640.1</v>
      </c>
      <c r="FI19" s="280">
        <v>666.6</v>
      </c>
      <c r="FJ19" s="280">
        <v>673.1</v>
      </c>
      <c r="FK19" s="285" t="s">
        <v>25</v>
      </c>
      <c r="FL19" s="280">
        <v>309.89999999999998</v>
      </c>
      <c r="FM19" s="280">
        <v>339.3</v>
      </c>
      <c r="FN19" s="280">
        <v>350.7</v>
      </c>
      <c r="FO19" s="280">
        <v>339.3</v>
      </c>
      <c r="FP19" s="280">
        <v>312.10000000000002</v>
      </c>
      <c r="FQ19" s="280">
        <v>333.9</v>
      </c>
      <c r="FR19" s="280">
        <v>360.8</v>
      </c>
      <c r="FS19" s="280">
        <v>362.2</v>
      </c>
      <c r="FT19" s="280">
        <v>349.8</v>
      </c>
      <c r="FU19" s="280">
        <v>389.9</v>
      </c>
      <c r="FV19" s="285" t="s">
        <v>25</v>
      </c>
      <c r="FW19" s="280">
        <v>603.6</v>
      </c>
      <c r="FX19" s="280">
        <v>669</v>
      </c>
      <c r="FY19" s="280">
        <v>709.3</v>
      </c>
      <c r="FZ19" s="280">
        <v>630.79999999999995</v>
      </c>
      <c r="GA19" s="280">
        <v>609.6</v>
      </c>
      <c r="GB19" s="280">
        <v>668.7</v>
      </c>
      <c r="GC19" s="280">
        <v>708.5</v>
      </c>
      <c r="GD19" s="280">
        <v>614.4</v>
      </c>
      <c r="GE19" s="280">
        <v>642.29999999999995</v>
      </c>
      <c r="GF19" s="280">
        <v>705.3</v>
      </c>
      <c r="GG19" s="285" t="s">
        <v>25</v>
      </c>
      <c r="GH19" s="280">
        <v>108.4</v>
      </c>
      <c r="GI19" s="280">
        <v>144.30000000000001</v>
      </c>
      <c r="GJ19" s="280">
        <v>158.80000000000001</v>
      </c>
      <c r="GK19" s="280">
        <v>115.1</v>
      </c>
      <c r="GL19" s="280">
        <v>123.7</v>
      </c>
      <c r="GM19" s="280">
        <v>157.69999999999999</v>
      </c>
      <c r="GN19" s="280">
        <v>159.69999999999999</v>
      </c>
      <c r="GO19" s="280">
        <v>116.4</v>
      </c>
      <c r="GP19" s="280">
        <v>126.9</v>
      </c>
      <c r="GQ19" s="280">
        <v>134</v>
      </c>
      <c r="GR19" s="285" t="s">
        <v>25</v>
      </c>
      <c r="GS19" s="280">
        <v>340.1</v>
      </c>
      <c r="GT19" s="280">
        <v>382.2</v>
      </c>
      <c r="GU19" s="280">
        <v>389.4</v>
      </c>
      <c r="GV19" s="280">
        <v>395.6</v>
      </c>
      <c r="GW19" s="280">
        <v>366.8</v>
      </c>
      <c r="GX19" s="280">
        <v>409.9</v>
      </c>
      <c r="GY19" s="280">
        <v>403.6</v>
      </c>
      <c r="GZ19" s="280">
        <v>414.3</v>
      </c>
      <c r="HA19" s="280">
        <v>386.9</v>
      </c>
      <c r="HB19" s="280">
        <v>415.1</v>
      </c>
      <c r="HC19" s="285" t="s">
        <v>25</v>
      </c>
      <c r="HD19" s="280">
        <v>308.10000000000002</v>
      </c>
      <c r="HE19" s="280">
        <v>361.6</v>
      </c>
      <c r="HF19" s="280">
        <v>385.4</v>
      </c>
      <c r="HG19" s="280">
        <v>363.5</v>
      </c>
      <c r="HH19" s="280">
        <v>329.4</v>
      </c>
      <c r="HI19" s="280">
        <v>379.6</v>
      </c>
      <c r="HJ19" s="280">
        <v>423.1</v>
      </c>
      <c r="HK19" s="280">
        <v>391.3</v>
      </c>
      <c r="HL19" s="280">
        <v>365.7</v>
      </c>
      <c r="HM19" s="280">
        <v>410.2</v>
      </c>
      <c r="HN19" s="285" t="s">
        <v>25</v>
      </c>
      <c r="HO19" s="280">
        <v>584.6</v>
      </c>
      <c r="HP19" s="280">
        <v>629.4</v>
      </c>
      <c r="HQ19" s="280">
        <v>691.8</v>
      </c>
      <c r="HR19" s="280">
        <v>602.9</v>
      </c>
      <c r="HS19" s="280">
        <v>584.79999999999995</v>
      </c>
      <c r="HT19" s="280">
        <v>622.6</v>
      </c>
      <c r="HU19" s="280">
        <v>676.4</v>
      </c>
      <c r="HV19" s="280">
        <v>599.1</v>
      </c>
      <c r="HW19" s="280">
        <v>613.70000000000005</v>
      </c>
      <c r="HX19" s="280">
        <v>680.8</v>
      </c>
      <c r="HY19" s="285" t="s">
        <v>25</v>
      </c>
      <c r="HZ19" s="280">
        <v>26.6</v>
      </c>
      <c r="IA19" s="280">
        <v>22.9</v>
      </c>
      <c r="IB19" s="280"/>
      <c r="IC19" s="281">
        <v>26.5</v>
      </c>
      <c r="ID19" s="280">
        <v>23</v>
      </c>
      <c r="IE19" s="280">
        <v>23.1</v>
      </c>
      <c r="IF19" s="280">
        <v>21.5</v>
      </c>
      <c r="IG19" s="280">
        <v>26.7</v>
      </c>
      <c r="IH19" s="280">
        <v>28.4</v>
      </c>
      <c r="II19" s="280">
        <v>30.1</v>
      </c>
      <c r="IJ19" s="285" t="s">
        <v>25</v>
      </c>
      <c r="IK19" s="281"/>
      <c r="IL19" s="281"/>
      <c r="IM19" s="281"/>
      <c r="IN19" s="281"/>
      <c r="IO19" s="281"/>
      <c r="IP19" s="281"/>
      <c r="IQ19" s="281"/>
      <c r="IR19" s="281"/>
      <c r="IS19" s="281"/>
      <c r="IT19" s="281"/>
      <c r="IU19" s="285" t="s">
        <v>25</v>
      </c>
      <c r="IV19" s="280">
        <v>56.2</v>
      </c>
      <c r="IW19" s="280">
        <v>73.3</v>
      </c>
      <c r="IX19" s="280">
        <v>95.8</v>
      </c>
      <c r="IY19" s="280">
        <v>62.2</v>
      </c>
      <c r="IZ19" s="280">
        <v>72</v>
      </c>
      <c r="JA19" s="280">
        <v>97.2</v>
      </c>
      <c r="JB19" s="280">
        <v>107.3</v>
      </c>
      <c r="JC19" s="280">
        <v>73</v>
      </c>
      <c r="JD19" s="280">
        <v>77.8</v>
      </c>
      <c r="JE19" s="280">
        <v>84.7</v>
      </c>
      <c r="JF19" s="285" t="s">
        <v>25</v>
      </c>
      <c r="JG19" s="280">
        <v>396</v>
      </c>
      <c r="JH19" s="280">
        <v>465.8</v>
      </c>
      <c r="JI19" s="280">
        <v>484</v>
      </c>
      <c r="JJ19" s="280">
        <v>425.5</v>
      </c>
      <c r="JK19" s="280">
        <v>405.6</v>
      </c>
      <c r="JL19" s="280">
        <v>433.1</v>
      </c>
      <c r="JM19" s="280">
        <v>473.9</v>
      </c>
      <c r="JN19" s="280">
        <v>459.5</v>
      </c>
      <c r="JO19" s="280">
        <v>469.9</v>
      </c>
      <c r="JP19" s="280">
        <v>479.2</v>
      </c>
      <c r="JQ19" s="285" t="s">
        <v>25</v>
      </c>
      <c r="JR19" s="280">
        <v>196.1</v>
      </c>
      <c r="JS19" s="280">
        <v>211.9</v>
      </c>
      <c r="JT19" s="280">
        <v>230.2</v>
      </c>
      <c r="JU19" s="280">
        <v>236.7</v>
      </c>
      <c r="JV19" s="280">
        <v>214.9</v>
      </c>
      <c r="JW19" s="280">
        <v>245</v>
      </c>
      <c r="JX19" s="280">
        <v>229.8</v>
      </c>
      <c r="JY19" s="280">
        <v>247.7</v>
      </c>
      <c r="JZ19" s="280">
        <v>240.7</v>
      </c>
      <c r="KA19" s="280">
        <v>267.60000000000002</v>
      </c>
      <c r="KB19" s="285" t="s">
        <v>25</v>
      </c>
      <c r="KC19" s="280">
        <v>337.2</v>
      </c>
      <c r="KD19" s="280">
        <v>364.7</v>
      </c>
      <c r="KE19" s="280">
        <v>432.6</v>
      </c>
      <c r="KF19" s="280">
        <v>370.5</v>
      </c>
      <c r="KG19" s="280">
        <v>337.3</v>
      </c>
      <c r="KH19" s="280">
        <v>384.8</v>
      </c>
      <c r="KI19" s="280">
        <v>438.2</v>
      </c>
      <c r="KJ19" s="280">
        <v>364.8</v>
      </c>
      <c r="KK19" s="280">
        <v>343.8</v>
      </c>
      <c r="KL19" s="280">
        <v>376</v>
      </c>
      <c r="KM19" s="285" t="s">
        <v>25</v>
      </c>
      <c r="KN19" s="280">
        <v>130.30000000000001</v>
      </c>
      <c r="KO19" s="280">
        <v>131</v>
      </c>
      <c r="KP19" s="280">
        <v>157.9</v>
      </c>
      <c r="KQ19" s="280">
        <v>148.80000000000001</v>
      </c>
      <c r="KR19" s="280">
        <v>160.5</v>
      </c>
      <c r="KS19" s="280">
        <v>164</v>
      </c>
      <c r="KT19" s="280">
        <v>167.4</v>
      </c>
      <c r="KU19" s="280">
        <v>152.4</v>
      </c>
      <c r="KV19" s="280">
        <v>152.69999999999999</v>
      </c>
      <c r="KW19" s="280">
        <v>167.3</v>
      </c>
      <c r="KX19" s="285" t="s">
        <v>25</v>
      </c>
      <c r="KY19" s="280">
        <v>134.4</v>
      </c>
      <c r="KZ19" s="280">
        <v>207.6</v>
      </c>
      <c r="LA19" s="280">
        <v>234.8</v>
      </c>
      <c r="LB19" s="280">
        <v>134</v>
      </c>
      <c r="LC19" s="280">
        <v>132.30000000000001</v>
      </c>
      <c r="LD19" s="280">
        <v>189</v>
      </c>
      <c r="LE19" s="280">
        <v>228.1</v>
      </c>
      <c r="LF19" s="280">
        <v>161.30000000000001</v>
      </c>
      <c r="LG19" s="280">
        <v>159.6</v>
      </c>
      <c r="LH19" s="280">
        <v>217.3</v>
      </c>
      <c r="LI19" s="285" t="s">
        <v>25</v>
      </c>
      <c r="LJ19" s="280">
        <v>76.099999999999994</v>
      </c>
      <c r="LK19" s="280">
        <v>73.599999999999994</v>
      </c>
      <c r="LL19" s="280">
        <v>87.3</v>
      </c>
      <c r="LM19" s="280">
        <v>89.8</v>
      </c>
      <c r="LN19" s="280">
        <v>79.099999999999994</v>
      </c>
      <c r="LO19" s="280">
        <v>87.8</v>
      </c>
      <c r="LP19" s="280">
        <v>87.6</v>
      </c>
      <c r="LQ19" s="280">
        <v>94</v>
      </c>
      <c r="LR19" s="280">
        <v>95.5</v>
      </c>
      <c r="LS19" s="280">
        <v>115</v>
      </c>
      <c r="LT19" s="285" t="s">
        <v>25</v>
      </c>
      <c r="LU19" s="280">
        <v>61.9</v>
      </c>
      <c r="LV19" s="280">
        <v>61.2</v>
      </c>
      <c r="LW19" s="280">
        <v>68.2</v>
      </c>
      <c r="LX19" s="280">
        <v>67.599999999999994</v>
      </c>
      <c r="LY19" s="280">
        <v>57.8</v>
      </c>
      <c r="LZ19" s="280">
        <v>74.3</v>
      </c>
      <c r="MA19" s="280">
        <v>75.5</v>
      </c>
      <c r="MB19" s="280">
        <v>63.2</v>
      </c>
      <c r="MC19" s="280">
        <v>67.400000000000006</v>
      </c>
      <c r="MD19" s="280">
        <v>85.6</v>
      </c>
      <c r="ME19" s="285" t="s">
        <v>25</v>
      </c>
      <c r="MF19" s="280">
        <v>137.30000000000001</v>
      </c>
      <c r="MG19" s="280">
        <v>162.69999999999999</v>
      </c>
      <c r="MH19" s="280">
        <v>132.9</v>
      </c>
      <c r="MI19" s="280">
        <v>140.6</v>
      </c>
      <c r="MJ19" s="280">
        <v>134.69999999999999</v>
      </c>
      <c r="MK19" s="280">
        <v>149.9</v>
      </c>
      <c r="ML19" s="280">
        <v>136.80000000000001</v>
      </c>
      <c r="MM19" s="280">
        <v>137</v>
      </c>
      <c r="MN19" s="280">
        <v>128.19999999999999</v>
      </c>
      <c r="MO19" s="280">
        <v>145.69999999999999</v>
      </c>
      <c r="MP19" s="285" t="s">
        <v>25</v>
      </c>
      <c r="MQ19" s="280">
        <v>147.4</v>
      </c>
      <c r="MR19" s="280">
        <v>158.19999999999999</v>
      </c>
      <c r="MS19" s="280">
        <v>161.69999999999999</v>
      </c>
      <c r="MT19" s="280">
        <v>161.30000000000001</v>
      </c>
      <c r="MU19" s="280">
        <v>149.19999999999999</v>
      </c>
      <c r="MV19" s="280">
        <v>179.6</v>
      </c>
      <c r="MW19" s="280">
        <v>200.4</v>
      </c>
      <c r="MX19" s="280">
        <v>186.5</v>
      </c>
      <c r="MY19" s="280">
        <v>165.1</v>
      </c>
      <c r="MZ19" s="280">
        <v>193</v>
      </c>
      <c r="NA19" s="285" t="s">
        <v>25</v>
      </c>
      <c r="NB19" s="280">
        <v>334</v>
      </c>
      <c r="NC19" s="280">
        <v>359</v>
      </c>
      <c r="ND19" s="280">
        <v>350.3</v>
      </c>
      <c r="NE19" s="280">
        <v>359.7</v>
      </c>
      <c r="NF19" s="280">
        <v>357</v>
      </c>
      <c r="NG19" s="280">
        <v>356.9</v>
      </c>
      <c r="NH19" s="280">
        <v>364.5</v>
      </c>
      <c r="NI19" s="280">
        <v>353.5</v>
      </c>
      <c r="NJ19" s="280">
        <v>352.8</v>
      </c>
      <c r="NK19" s="280">
        <v>371.9</v>
      </c>
      <c r="NL19" s="285" t="s">
        <v>25</v>
      </c>
      <c r="NM19" s="280">
        <v>434</v>
      </c>
      <c r="NN19" s="280">
        <v>431.2</v>
      </c>
      <c r="NO19" s="280">
        <v>361.4</v>
      </c>
      <c r="NP19" s="280">
        <v>383.5</v>
      </c>
      <c r="NQ19" s="280">
        <v>394</v>
      </c>
      <c r="NR19" s="280">
        <v>388.5</v>
      </c>
      <c r="NS19" s="280">
        <v>327.2</v>
      </c>
      <c r="NT19" s="280">
        <v>357.7</v>
      </c>
      <c r="NU19" s="280">
        <v>381.7</v>
      </c>
      <c r="NV19" s="280">
        <v>400.7</v>
      </c>
      <c r="NW19" s="285" t="s">
        <v>25</v>
      </c>
      <c r="NX19" s="280">
        <v>536.79999999999995</v>
      </c>
      <c r="NY19" s="280">
        <v>580.29999999999995</v>
      </c>
      <c r="NZ19" s="280">
        <v>619.1</v>
      </c>
      <c r="OA19" s="280">
        <v>595.1</v>
      </c>
      <c r="OB19" s="280">
        <v>570.1</v>
      </c>
      <c r="OC19" s="280">
        <v>574.1</v>
      </c>
      <c r="OD19" s="280">
        <v>582.4</v>
      </c>
      <c r="OE19" s="280">
        <v>580</v>
      </c>
      <c r="OF19" s="280">
        <v>592.9</v>
      </c>
      <c r="OG19" s="280">
        <v>582.29999999999995</v>
      </c>
      <c r="OH19" s="296" t="s">
        <v>25</v>
      </c>
      <c r="OI19" s="297">
        <v>9.9</v>
      </c>
      <c r="OJ19" s="297">
        <v>10.8</v>
      </c>
      <c r="OK19" s="297">
        <v>10.8</v>
      </c>
      <c r="OL19" s="297">
        <v>10.1</v>
      </c>
      <c r="OM19" s="297">
        <v>10</v>
      </c>
      <c r="ON19" s="297">
        <v>10.6</v>
      </c>
      <c r="OO19" s="297">
        <v>10.7</v>
      </c>
      <c r="OP19" s="297">
        <v>9.6</v>
      </c>
      <c r="OQ19" s="297">
        <v>9.6</v>
      </c>
      <c r="OR19" s="297">
        <v>10.3</v>
      </c>
      <c r="OS19" s="285" t="s">
        <v>25</v>
      </c>
      <c r="OT19" s="280">
        <v>0.1</v>
      </c>
      <c r="OU19" s="280">
        <v>0.4</v>
      </c>
      <c r="OV19" s="280">
        <v>0.3</v>
      </c>
      <c r="OW19" s="280">
        <v>0.4</v>
      </c>
      <c r="OX19" s="280">
        <v>0.6</v>
      </c>
      <c r="OY19" s="280">
        <v>0.5</v>
      </c>
      <c r="OZ19" s="280">
        <v>0.3</v>
      </c>
      <c r="PA19" s="280">
        <v>0.4</v>
      </c>
      <c r="PB19" s="280">
        <v>0.9</v>
      </c>
      <c r="PC19" s="280">
        <v>0.6</v>
      </c>
    </row>
    <row r="20" spans="1:419">
      <c r="A20" s="269">
        <v>11</v>
      </c>
      <c r="B20" s="285" t="s">
        <v>49</v>
      </c>
      <c r="C20" s="286">
        <v>13.1</v>
      </c>
      <c r="D20" s="286">
        <v>12.9</v>
      </c>
      <c r="E20" s="286">
        <v>13.2</v>
      </c>
      <c r="F20" s="286">
        <v>13.4</v>
      </c>
      <c r="G20" s="286">
        <v>13</v>
      </c>
      <c r="H20" s="286">
        <v>13.1</v>
      </c>
      <c r="I20" s="286">
        <v>13.2</v>
      </c>
      <c r="J20" s="286">
        <v>13.7</v>
      </c>
      <c r="K20" s="286">
        <v>12.8</v>
      </c>
      <c r="L20" s="286">
        <v>12.8</v>
      </c>
      <c r="M20" s="285" t="s">
        <v>49</v>
      </c>
      <c r="N20" s="286">
        <v>4596</v>
      </c>
      <c r="O20" s="286">
        <v>4527.2</v>
      </c>
      <c r="P20" s="286">
        <v>4648.2</v>
      </c>
      <c r="Q20" s="286">
        <v>4763</v>
      </c>
      <c r="R20" s="286">
        <v>4690.2</v>
      </c>
      <c r="S20" s="286">
        <v>4709.7</v>
      </c>
      <c r="T20" s="286">
        <v>4785.8999999999996</v>
      </c>
      <c r="U20" s="286">
        <v>5004.3999999999996</v>
      </c>
      <c r="V20" s="286">
        <v>4656.2</v>
      </c>
      <c r="W20" s="286">
        <v>4652.3</v>
      </c>
      <c r="X20" s="285" t="s">
        <v>49</v>
      </c>
      <c r="Y20" s="286"/>
      <c r="Z20" s="286"/>
      <c r="AA20" s="286"/>
      <c r="AB20" s="286"/>
      <c r="AC20" s="286"/>
      <c r="AD20" s="286"/>
      <c r="AE20" s="286"/>
      <c r="AF20" s="286"/>
      <c r="AG20" s="286"/>
      <c r="AH20" s="286"/>
      <c r="AI20" s="285" t="s">
        <v>49</v>
      </c>
      <c r="AJ20" s="280">
        <v>149.80000000000001</v>
      </c>
      <c r="AK20" s="280">
        <v>184.7</v>
      </c>
      <c r="AL20" s="280">
        <v>199.6</v>
      </c>
      <c r="AM20" s="280">
        <v>159.4</v>
      </c>
      <c r="AN20" s="280">
        <v>151.6</v>
      </c>
      <c r="AO20" s="280">
        <v>182.3</v>
      </c>
      <c r="AP20" s="280">
        <v>186.7</v>
      </c>
      <c r="AQ20" s="280">
        <v>166.2</v>
      </c>
      <c r="AR20" s="280">
        <v>137.80000000000001</v>
      </c>
      <c r="AS20" s="280">
        <v>149.80000000000001</v>
      </c>
      <c r="AT20" s="285" t="s">
        <v>49</v>
      </c>
      <c r="AU20" s="280">
        <v>525.4</v>
      </c>
      <c r="AV20" s="280">
        <v>557.29999999999995</v>
      </c>
      <c r="AW20" s="280">
        <v>540</v>
      </c>
      <c r="AX20" s="280">
        <v>531.20000000000005</v>
      </c>
      <c r="AY20" s="280">
        <v>543.29999999999995</v>
      </c>
      <c r="AZ20" s="280">
        <v>571.20000000000005</v>
      </c>
      <c r="BA20" s="280">
        <v>564.1</v>
      </c>
      <c r="BB20" s="280">
        <v>576.4</v>
      </c>
      <c r="BC20" s="280">
        <v>529.5</v>
      </c>
      <c r="BD20" s="280">
        <v>532.5</v>
      </c>
      <c r="BE20" s="285" t="s">
        <v>49</v>
      </c>
      <c r="BF20" s="280">
        <v>1274.8</v>
      </c>
      <c r="BG20" s="280">
        <v>1292.5</v>
      </c>
      <c r="BH20" s="280">
        <v>1355.8</v>
      </c>
      <c r="BI20" s="280">
        <v>1355.7</v>
      </c>
      <c r="BJ20" s="280">
        <v>1367.9</v>
      </c>
      <c r="BK20" s="280">
        <v>1359.7</v>
      </c>
      <c r="BL20" s="280">
        <v>1369.5</v>
      </c>
      <c r="BM20" s="280">
        <v>1418.2</v>
      </c>
      <c r="BN20" s="280">
        <v>1328</v>
      </c>
      <c r="BO20" s="280">
        <v>1353.3</v>
      </c>
      <c r="BP20" s="285" t="s">
        <v>49</v>
      </c>
      <c r="BQ20" s="283">
        <v>668.30000000000007</v>
      </c>
      <c r="BR20" s="283">
        <v>661.30000000000007</v>
      </c>
      <c r="BS20" s="283">
        <v>710.1</v>
      </c>
      <c r="BT20" s="283">
        <v>692.5</v>
      </c>
      <c r="BU20" s="283">
        <v>743.59999999999991</v>
      </c>
      <c r="BV20" s="283">
        <v>735</v>
      </c>
      <c r="BW20" s="283">
        <v>738</v>
      </c>
      <c r="BX20" s="283">
        <v>759</v>
      </c>
      <c r="BY20" s="283">
        <v>732.5</v>
      </c>
      <c r="BZ20" s="283">
        <v>717.4</v>
      </c>
      <c r="CA20" s="285" t="s">
        <v>49</v>
      </c>
      <c r="CB20" s="283">
        <v>1860.5</v>
      </c>
      <c r="CC20" s="283">
        <v>1726.3000000000002</v>
      </c>
      <c r="CD20" s="283">
        <v>1728.6999999999998</v>
      </c>
      <c r="CE20" s="283">
        <v>1906.2</v>
      </c>
      <c r="CF20" s="283">
        <v>1766.1</v>
      </c>
      <c r="CG20" s="283">
        <v>1718.8</v>
      </c>
      <c r="CH20" s="283">
        <v>1772</v>
      </c>
      <c r="CI20" s="283">
        <v>1940.8</v>
      </c>
      <c r="CJ20" s="283">
        <v>1787.1</v>
      </c>
      <c r="CK20" s="283">
        <v>1756.6000000000001</v>
      </c>
      <c r="CL20" s="285" t="s">
        <v>49</v>
      </c>
      <c r="CM20" s="286">
        <v>1452.6</v>
      </c>
      <c r="CN20" s="286">
        <v>1387.2</v>
      </c>
      <c r="CO20" s="286">
        <v>1424.2</v>
      </c>
      <c r="CP20" s="286">
        <v>1516.1</v>
      </c>
      <c r="CQ20" s="286">
        <v>1379.5</v>
      </c>
      <c r="CR20" s="286">
        <v>1395.7</v>
      </c>
      <c r="CS20" s="286">
        <v>1397.8</v>
      </c>
      <c r="CT20" s="286">
        <v>1538.3</v>
      </c>
      <c r="CU20" s="286">
        <v>1427.3</v>
      </c>
      <c r="CV20" s="286">
        <v>1376.9</v>
      </c>
      <c r="CW20" s="285" t="s">
        <v>49</v>
      </c>
      <c r="CX20" s="286">
        <v>2231.1999999999998</v>
      </c>
      <c r="CY20" s="286">
        <v>2176.4</v>
      </c>
      <c r="CZ20" s="286">
        <v>2239.5</v>
      </c>
      <c r="DA20" s="286">
        <v>2292.8000000000002</v>
      </c>
      <c r="DB20" s="286">
        <v>2326.1999999999998</v>
      </c>
      <c r="DC20" s="286">
        <v>2315.4</v>
      </c>
      <c r="DD20" s="286">
        <v>2332.5</v>
      </c>
      <c r="DE20" s="286">
        <v>2427.1999999999998</v>
      </c>
      <c r="DF20" s="286">
        <v>2229.3000000000002</v>
      </c>
      <c r="DG20" s="286">
        <v>2271.3000000000002</v>
      </c>
      <c r="DH20" s="285" t="s">
        <v>49</v>
      </c>
      <c r="DI20" s="286">
        <v>904.3</v>
      </c>
      <c r="DJ20" s="286">
        <v>957.8</v>
      </c>
      <c r="DK20" s="286">
        <v>975.7</v>
      </c>
      <c r="DL20" s="286">
        <v>945.9</v>
      </c>
      <c r="DM20" s="286">
        <v>976.1</v>
      </c>
      <c r="DN20" s="286">
        <v>989.6</v>
      </c>
      <c r="DO20" s="286">
        <v>1043.7</v>
      </c>
      <c r="DP20" s="286">
        <v>1028.4000000000001</v>
      </c>
      <c r="DQ20" s="286">
        <v>984.7</v>
      </c>
      <c r="DR20" s="286">
        <v>991.6</v>
      </c>
      <c r="DS20" s="285" t="s">
        <v>49</v>
      </c>
      <c r="DT20" s="287"/>
      <c r="DU20" s="287"/>
      <c r="DV20" s="287"/>
      <c r="DW20" s="287"/>
      <c r="DX20" s="287"/>
      <c r="DY20" s="287"/>
      <c r="DZ20" s="287"/>
      <c r="EA20" s="287"/>
      <c r="EB20" s="287"/>
      <c r="EC20" s="287"/>
      <c r="ED20" s="285" t="s">
        <v>49</v>
      </c>
      <c r="EE20" s="280">
        <v>47.2</v>
      </c>
      <c r="EF20" s="280">
        <v>48.1</v>
      </c>
      <c r="EG20" s="280">
        <v>49.9</v>
      </c>
      <c r="EH20" s="280">
        <v>46.4</v>
      </c>
      <c r="EI20" s="280">
        <v>46.1</v>
      </c>
      <c r="EJ20" s="280">
        <v>53.5</v>
      </c>
      <c r="EK20" s="280">
        <v>59.3</v>
      </c>
      <c r="EL20" s="280">
        <v>57</v>
      </c>
      <c r="EM20" s="280">
        <v>43</v>
      </c>
      <c r="EN20" s="280">
        <v>47.9</v>
      </c>
      <c r="EO20" s="285" t="s">
        <v>49</v>
      </c>
      <c r="EP20" s="280">
        <v>734.5</v>
      </c>
      <c r="EQ20" s="280">
        <v>728.1</v>
      </c>
      <c r="ER20" s="280">
        <v>741.5</v>
      </c>
      <c r="ES20" s="280">
        <v>719.6</v>
      </c>
      <c r="ET20" s="280">
        <v>767.1</v>
      </c>
      <c r="EU20" s="280">
        <v>769.6</v>
      </c>
      <c r="EV20" s="280">
        <v>800.8</v>
      </c>
      <c r="EW20" s="280">
        <v>795</v>
      </c>
      <c r="EX20" s="280">
        <v>764.2</v>
      </c>
      <c r="EY20" s="280">
        <v>787</v>
      </c>
      <c r="EZ20" s="285" t="s">
        <v>49</v>
      </c>
      <c r="FA20" s="280">
        <v>977.4</v>
      </c>
      <c r="FB20" s="280">
        <v>944.6</v>
      </c>
      <c r="FC20" s="280">
        <v>963</v>
      </c>
      <c r="FD20" s="280">
        <v>998.4</v>
      </c>
      <c r="FE20" s="280">
        <v>1035.4000000000001</v>
      </c>
      <c r="FF20" s="280">
        <v>1005.9</v>
      </c>
      <c r="FG20" s="280">
        <v>992.8</v>
      </c>
      <c r="FH20" s="280">
        <v>1055</v>
      </c>
      <c r="FI20" s="280">
        <v>1008.9</v>
      </c>
      <c r="FJ20" s="280">
        <v>992.1</v>
      </c>
      <c r="FK20" s="285" t="s">
        <v>49</v>
      </c>
      <c r="FL20" s="280">
        <v>595.9</v>
      </c>
      <c r="FM20" s="280">
        <v>619.29999999999995</v>
      </c>
      <c r="FN20" s="280">
        <v>607.79999999999995</v>
      </c>
      <c r="FO20" s="280">
        <v>598.1</v>
      </c>
      <c r="FP20" s="280">
        <v>612.1</v>
      </c>
      <c r="FQ20" s="280">
        <v>619.20000000000005</v>
      </c>
      <c r="FR20" s="280">
        <v>615.9</v>
      </c>
      <c r="FS20" s="280">
        <v>644.70000000000005</v>
      </c>
      <c r="FT20" s="280">
        <v>598.5</v>
      </c>
      <c r="FU20" s="280">
        <v>607.6</v>
      </c>
      <c r="FV20" s="285" t="s">
        <v>49</v>
      </c>
      <c r="FW20" s="280">
        <v>780.2</v>
      </c>
      <c r="FX20" s="280">
        <v>791</v>
      </c>
      <c r="FY20" s="280">
        <v>779.3</v>
      </c>
      <c r="FZ20" s="280">
        <v>832.5</v>
      </c>
      <c r="GA20" s="280">
        <v>794.3</v>
      </c>
      <c r="GB20" s="280">
        <v>831.2</v>
      </c>
      <c r="GC20" s="280">
        <v>818.1</v>
      </c>
      <c r="GD20" s="280">
        <v>849.3</v>
      </c>
      <c r="GE20" s="280">
        <v>793.4</v>
      </c>
      <c r="GF20" s="280">
        <v>816.3</v>
      </c>
      <c r="GG20" s="285" t="s">
        <v>49</v>
      </c>
      <c r="GH20" s="280">
        <v>61.9</v>
      </c>
      <c r="GI20" s="280">
        <v>42.6</v>
      </c>
      <c r="GJ20" s="280">
        <v>51.1</v>
      </c>
      <c r="GK20" s="280">
        <v>56.1</v>
      </c>
      <c r="GL20" s="280">
        <v>48.6</v>
      </c>
      <c r="GM20" s="280">
        <v>43.9</v>
      </c>
      <c r="GN20" s="280">
        <v>43.8</v>
      </c>
      <c r="GO20" s="280">
        <v>48.9</v>
      </c>
      <c r="GP20" s="280">
        <v>41.4</v>
      </c>
      <c r="GQ20" s="280">
        <v>42.3</v>
      </c>
      <c r="GR20" s="285" t="s">
        <v>49</v>
      </c>
      <c r="GS20" s="280">
        <v>663</v>
      </c>
      <c r="GT20" s="280">
        <v>630.5</v>
      </c>
      <c r="GU20" s="280">
        <v>670.9</v>
      </c>
      <c r="GV20" s="280">
        <v>744.6</v>
      </c>
      <c r="GW20" s="280">
        <v>685.7</v>
      </c>
      <c r="GX20" s="280">
        <v>626.29999999999995</v>
      </c>
      <c r="GY20" s="280">
        <v>665.5</v>
      </c>
      <c r="GZ20" s="280">
        <v>741.4</v>
      </c>
      <c r="HA20" s="280">
        <v>651.79999999999995</v>
      </c>
      <c r="HB20" s="280">
        <v>633.20000000000005</v>
      </c>
      <c r="HC20" s="285" t="s">
        <v>49</v>
      </c>
      <c r="HD20" s="280">
        <v>223.5</v>
      </c>
      <c r="HE20" s="280">
        <v>219.9</v>
      </c>
      <c r="HF20" s="280">
        <v>229.3</v>
      </c>
      <c r="HG20" s="280">
        <v>229</v>
      </c>
      <c r="HH20" s="280">
        <v>225.4</v>
      </c>
      <c r="HI20" s="280">
        <v>222.6</v>
      </c>
      <c r="HJ20" s="280">
        <v>244.9</v>
      </c>
      <c r="HK20" s="280">
        <v>248.2</v>
      </c>
      <c r="HL20" s="280">
        <v>209.4</v>
      </c>
      <c r="HM20" s="280">
        <v>229.5</v>
      </c>
      <c r="HN20" s="285" t="s">
        <v>49</v>
      </c>
      <c r="HO20" s="280">
        <v>389.5</v>
      </c>
      <c r="HP20" s="280">
        <v>392.9</v>
      </c>
      <c r="HQ20" s="280">
        <v>438.9</v>
      </c>
      <c r="HR20" s="280">
        <v>424.6</v>
      </c>
      <c r="HS20" s="280">
        <v>368.7</v>
      </c>
      <c r="HT20" s="280">
        <v>434</v>
      </c>
      <c r="HU20" s="280">
        <v>443.1</v>
      </c>
      <c r="HV20" s="280">
        <v>437.5</v>
      </c>
      <c r="HW20" s="280">
        <v>429.1</v>
      </c>
      <c r="HX20" s="280">
        <v>385</v>
      </c>
      <c r="HY20" s="285" t="s">
        <v>49</v>
      </c>
      <c r="HZ20" s="280">
        <v>109.8</v>
      </c>
      <c r="IA20" s="280">
        <v>98.5</v>
      </c>
      <c r="IB20" s="280">
        <v>105.1</v>
      </c>
      <c r="IC20" s="280">
        <v>102.9</v>
      </c>
      <c r="ID20" s="280">
        <v>96.3</v>
      </c>
      <c r="IE20" s="280">
        <v>92</v>
      </c>
      <c r="IF20" s="280">
        <v>86.9</v>
      </c>
      <c r="IG20" s="280">
        <v>110.8</v>
      </c>
      <c r="IH20" s="280">
        <v>103.1</v>
      </c>
      <c r="II20" s="280">
        <v>98.9</v>
      </c>
      <c r="IJ20" s="285" t="s">
        <v>49</v>
      </c>
      <c r="IK20" s="281"/>
      <c r="IL20" s="281"/>
      <c r="IM20" s="281"/>
      <c r="IN20" s="281"/>
      <c r="IO20" s="281"/>
      <c r="IP20" s="281"/>
      <c r="IQ20" s="281"/>
      <c r="IR20" s="281"/>
      <c r="IS20" s="281"/>
      <c r="IT20" s="281"/>
      <c r="IU20" s="285" t="s">
        <v>49</v>
      </c>
      <c r="IV20" s="280">
        <v>42.7</v>
      </c>
      <c r="IW20" s="280">
        <v>39.200000000000003</v>
      </c>
      <c r="IX20" s="280">
        <v>44.3</v>
      </c>
      <c r="IY20" s="280">
        <v>38.1</v>
      </c>
      <c r="IZ20" s="280">
        <v>29.2</v>
      </c>
      <c r="JA20" s="280">
        <v>32.1</v>
      </c>
      <c r="JB20" s="280">
        <v>37.4</v>
      </c>
      <c r="JC20" s="280">
        <v>25</v>
      </c>
      <c r="JD20" s="280">
        <v>32.4</v>
      </c>
      <c r="JE20" s="280">
        <v>24.9</v>
      </c>
      <c r="JF20" s="285" t="s">
        <v>49</v>
      </c>
      <c r="JG20" s="280">
        <v>784.7</v>
      </c>
      <c r="JH20" s="280">
        <v>730.3</v>
      </c>
      <c r="JI20" s="280">
        <v>803.1</v>
      </c>
      <c r="JJ20" s="280">
        <v>847.8</v>
      </c>
      <c r="JK20" s="280">
        <v>764.3</v>
      </c>
      <c r="JL20" s="280">
        <v>757.6</v>
      </c>
      <c r="JM20" s="280">
        <v>831.5</v>
      </c>
      <c r="JN20" s="280">
        <v>852.2</v>
      </c>
      <c r="JO20" s="280">
        <v>777.2</v>
      </c>
      <c r="JP20" s="280">
        <v>762.3</v>
      </c>
      <c r="JQ20" s="285" t="s">
        <v>49</v>
      </c>
      <c r="JR20" s="280">
        <v>243</v>
      </c>
      <c r="JS20" s="280">
        <v>228.9</v>
      </c>
      <c r="JT20" s="280">
        <v>231.2</v>
      </c>
      <c r="JU20" s="280">
        <v>244.2</v>
      </c>
      <c r="JV20" s="280">
        <v>236</v>
      </c>
      <c r="JW20" s="280">
        <v>245</v>
      </c>
      <c r="JX20" s="280">
        <v>238.6</v>
      </c>
      <c r="JY20" s="280">
        <v>256.39999999999998</v>
      </c>
      <c r="JZ20" s="280">
        <v>222.2</v>
      </c>
      <c r="KA20" s="280">
        <v>250.3</v>
      </c>
      <c r="KB20" s="285" t="s">
        <v>49</v>
      </c>
      <c r="KC20" s="280">
        <v>615.79999999999995</v>
      </c>
      <c r="KD20" s="280">
        <v>622.9</v>
      </c>
      <c r="KE20" s="280">
        <v>630.29999999999995</v>
      </c>
      <c r="KF20" s="280">
        <v>685.1</v>
      </c>
      <c r="KG20" s="280">
        <v>665.5</v>
      </c>
      <c r="KH20" s="280">
        <v>634.6</v>
      </c>
      <c r="KI20" s="280">
        <v>629.20000000000005</v>
      </c>
      <c r="KJ20" s="280">
        <v>725.5</v>
      </c>
      <c r="KK20" s="280">
        <v>705</v>
      </c>
      <c r="KL20" s="280">
        <v>638.9</v>
      </c>
      <c r="KM20" s="285" t="s">
        <v>49</v>
      </c>
      <c r="KN20" s="280">
        <v>190.3</v>
      </c>
      <c r="KO20" s="280">
        <v>194.1</v>
      </c>
      <c r="KP20" s="280">
        <v>185.6</v>
      </c>
      <c r="KQ20" s="280">
        <v>187.2</v>
      </c>
      <c r="KR20" s="280">
        <v>202.5</v>
      </c>
      <c r="KS20" s="280">
        <v>205.1</v>
      </c>
      <c r="KT20" s="280">
        <v>218.2</v>
      </c>
      <c r="KU20" s="280">
        <v>216</v>
      </c>
      <c r="KV20" s="280">
        <v>189.9</v>
      </c>
      <c r="KW20" s="280">
        <v>210.4</v>
      </c>
      <c r="KX20" s="285" t="s">
        <v>49</v>
      </c>
      <c r="KY20" s="280">
        <v>208.3</v>
      </c>
      <c r="KZ20" s="280">
        <v>207.1</v>
      </c>
      <c r="LA20" s="280">
        <v>223.5</v>
      </c>
      <c r="LB20" s="280">
        <v>210.8</v>
      </c>
      <c r="LC20" s="280">
        <v>202.1</v>
      </c>
      <c r="LD20" s="280">
        <v>238.7</v>
      </c>
      <c r="LE20" s="280">
        <v>229.5</v>
      </c>
      <c r="LF20" s="280">
        <v>209.9</v>
      </c>
      <c r="LG20" s="280">
        <v>183.6</v>
      </c>
      <c r="LH20" s="280">
        <v>192.8</v>
      </c>
      <c r="LI20" s="285" t="s">
        <v>49</v>
      </c>
      <c r="LJ20" s="280">
        <v>109</v>
      </c>
      <c r="LK20" s="280">
        <v>105.5</v>
      </c>
      <c r="LL20" s="280">
        <v>96.3</v>
      </c>
      <c r="LM20" s="280">
        <v>91.3</v>
      </c>
      <c r="LN20" s="280">
        <v>109.3</v>
      </c>
      <c r="LO20" s="280">
        <v>115.2</v>
      </c>
      <c r="LP20" s="280">
        <v>119</v>
      </c>
      <c r="LQ20" s="280">
        <v>119</v>
      </c>
      <c r="LR20" s="280">
        <v>107.8</v>
      </c>
      <c r="LS20" s="280">
        <v>107.2</v>
      </c>
      <c r="LT20" s="285" t="s">
        <v>49</v>
      </c>
      <c r="LU20" s="280">
        <v>76.099999999999994</v>
      </c>
      <c r="LV20" s="280">
        <v>79.900000000000006</v>
      </c>
      <c r="LW20" s="280">
        <v>89.2</v>
      </c>
      <c r="LX20" s="280">
        <v>88.5</v>
      </c>
      <c r="LY20" s="280">
        <v>87.2</v>
      </c>
      <c r="LZ20" s="280">
        <v>90.9</v>
      </c>
      <c r="MA20" s="280">
        <v>94.7</v>
      </c>
      <c r="MB20" s="280">
        <v>93.1</v>
      </c>
      <c r="MC20" s="280">
        <v>73.599999999999994</v>
      </c>
      <c r="MD20" s="280">
        <v>90.1</v>
      </c>
      <c r="ME20" s="285" t="s">
        <v>49</v>
      </c>
      <c r="MF20" s="280">
        <v>200.4</v>
      </c>
      <c r="MG20" s="280">
        <v>216.6</v>
      </c>
      <c r="MH20" s="280">
        <v>224.3</v>
      </c>
      <c r="MI20" s="280">
        <v>221.7</v>
      </c>
      <c r="MJ20" s="280">
        <v>227.7</v>
      </c>
      <c r="MK20" s="280">
        <v>222.5</v>
      </c>
      <c r="ML20" s="280">
        <v>243.9</v>
      </c>
      <c r="MM20" s="280">
        <v>247.4</v>
      </c>
      <c r="MN20" s="280">
        <v>213.7</v>
      </c>
      <c r="MO20" s="280">
        <v>223.8</v>
      </c>
      <c r="MP20" s="285" t="s">
        <v>49</v>
      </c>
      <c r="MQ20" s="280">
        <v>236.7</v>
      </c>
      <c r="MR20" s="280">
        <v>247.9</v>
      </c>
      <c r="MS20" s="280">
        <v>255.7</v>
      </c>
      <c r="MT20" s="280">
        <v>246.9</v>
      </c>
      <c r="MU20" s="280">
        <v>240.2</v>
      </c>
      <c r="MV20" s="280">
        <v>246.6</v>
      </c>
      <c r="MW20" s="280">
        <v>262</v>
      </c>
      <c r="MX20" s="280">
        <v>248.3</v>
      </c>
      <c r="MY20" s="280">
        <v>231.8</v>
      </c>
      <c r="MZ20" s="280">
        <v>245</v>
      </c>
      <c r="NA20" s="285" t="s">
        <v>49</v>
      </c>
      <c r="NB20" s="280">
        <v>360</v>
      </c>
      <c r="NC20" s="280">
        <v>325.2</v>
      </c>
      <c r="ND20" s="280">
        <v>337.6</v>
      </c>
      <c r="NE20" s="280">
        <v>356.3</v>
      </c>
      <c r="NF20" s="280">
        <v>359.8</v>
      </c>
      <c r="NG20" s="280">
        <v>358.8</v>
      </c>
      <c r="NH20" s="280">
        <v>350.2</v>
      </c>
      <c r="NI20" s="280">
        <v>371.7</v>
      </c>
      <c r="NJ20" s="280">
        <v>362</v>
      </c>
      <c r="NK20" s="280">
        <v>339.8</v>
      </c>
      <c r="NL20" s="285" t="s">
        <v>49</v>
      </c>
      <c r="NM20" s="280">
        <v>506.9</v>
      </c>
      <c r="NN20" s="280">
        <v>535.29999999999995</v>
      </c>
      <c r="NO20" s="280">
        <v>506.3</v>
      </c>
      <c r="NP20" s="280">
        <v>497.3</v>
      </c>
      <c r="NQ20" s="280">
        <v>521.70000000000005</v>
      </c>
      <c r="NR20" s="280">
        <v>521.6</v>
      </c>
      <c r="NS20" s="280">
        <v>486</v>
      </c>
      <c r="NT20" s="280">
        <v>549.9</v>
      </c>
      <c r="NU20" s="280">
        <v>523.79999999999995</v>
      </c>
      <c r="NV20" s="280">
        <v>523.20000000000005</v>
      </c>
      <c r="NW20" s="285" t="s">
        <v>49</v>
      </c>
      <c r="NX20" s="280">
        <v>741.1</v>
      </c>
      <c r="NY20" s="280">
        <v>715.6</v>
      </c>
      <c r="NZ20" s="280">
        <v>731</v>
      </c>
      <c r="OA20" s="280">
        <v>760.9</v>
      </c>
      <c r="OB20" s="280">
        <v>768.2</v>
      </c>
      <c r="OC20" s="280">
        <v>779.8</v>
      </c>
      <c r="OD20" s="280">
        <v>746</v>
      </c>
      <c r="OE20" s="280">
        <v>803.1</v>
      </c>
      <c r="OF20" s="280">
        <v>750.5</v>
      </c>
      <c r="OG20" s="280">
        <v>768.4</v>
      </c>
      <c r="OH20" s="296" t="s">
        <v>49</v>
      </c>
      <c r="OI20" s="297">
        <v>4.8</v>
      </c>
      <c r="OJ20" s="297">
        <v>4.8</v>
      </c>
      <c r="OK20" s="297">
        <v>5</v>
      </c>
      <c r="OL20" s="297">
        <v>4.7</v>
      </c>
      <c r="OM20" s="297">
        <v>4.4000000000000004</v>
      </c>
      <c r="ON20" s="297">
        <v>4.5</v>
      </c>
      <c r="OO20" s="297">
        <v>4.5</v>
      </c>
      <c r="OP20" s="297">
        <v>4.2</v>
      </c>
      <c r="OQ20" s="297">
        <v>4</v>
      </c>
      <c r="OR20" s="297">
        <v>3.8</v>
      </c>
      <c r="OS20" s="285" t="s">
        <v>49</v>
      </c>
      <c r="OT20" s="280">
        <v>0.3</v>
      </c>
      <c r="OU20" s="280">
        <v>0.2</v>
      </c>
      <c r="OV20" s="280">
        <v>-1.6</v>
      </c>
      <c r="OW20" s="280">
        <v>1.6</v>
      </c>
      <c r="OX20" s="280">
        <v>-0.6</v>
      </c>
      <c r="OY20" s="280">
        <v>-0.4</v>
      </c>
      <c r="OZ20" s="280">
        <v>0.6</v>
      </c>
      <c r="PA20" s="280">
        <v>-0.5</v>
      </c>
      <c r="PB20" s="280">
        <v>0.7</v>
      </c>
      <c r="PC20" s="280">
        <v>0.8</v>
      </c>
    </row>
    <row r="21" spans="1:419">
      <c r="A21" s="269">
        <v>12</v>
      </c>
      <c r="B21" s="285" t="s">
        <v>23</v>
      </c>
      <c r="C21" s="286">
        <v>10.7</v>
      </c>
      <c r="D21" s="286">
        <v>12.3</v>
      </c>
      <c r="E21" s="286">
        <v>13</v>
      </c>
      <c r="F21" s="286">
        <v>11.6</v>
      </c>
      <c r="G21" s="286">
        <v>10.6</v>
      </c>
      <c r="H21" s="286">
        <v>12.1</v>
      </c>
      <c r="I21" s="286">
        <v>12.1</v>
      </c>
      <c r="J21" s="286">
        <v>10</v>
      </c>
      <c r="K21" s="286">
        <v>9.5</v>
      </c>
      <c r="L21" s="286">
        <v>12.6</v>
      </c>
      <c r="M21" s="285" t="s">
        <v>23</v>
      </c>
      <c r="N21" s="286">
        <v>239.7</v>
      </c>
      <c r="O21" s="286">
        <v>287.10000000000002</v>
      </c>
      <c r="P21" s="286">
        <v>310.7</v>
      </c>
      <c r="Q21" s="286">
        <v>277.2</v>
      </c>
      <c r="R21" s="286">
        <v>250</v>
      </c>
      <c r="S21" s="286">
        <v>293.10000000000002</v>
      </c>
      <c r="T21" s="286">
        <v>298.39999999999998</v>
      </c>
      <c r="U21" s="286">
        <v>238.7</v>
      </c>
      <c r="V21" s="286">
        <v>225.4</v>
      </c>
      <c r="W21" s="286">
        <v>313.39999999999998</v>
      </c>
      <c r="X21" s="285" t="s">
        <v>23</v>
      </c>
      <c r="Y21" s="286">
        <v>9.9</v>
      </c>
      <c r="Z21" s="286">
        <v>9.1</v>
      </c>
      <c r="AA21" s="286">
        <v>11.8</v>
      </c>
      <c r="AB21" s="286">
        <v>11.1</v>
      </c>
      <c r="AC21" s="286">
        <v>9.1</v>
      </c>
      <c r="AD21" s="286">
        <v>6.8</v>
      </c>
      <c r="AE21" s="286">
        <v>6.5</v>
      </c>
      <c r="AF21" s="286">
        <v>6</v>
      </c>
      <c r="AG21" s="287">
        <v>5.7</v>
      </c>
      <c r="AH21" s="287">
        <v>8.5</v>
      </c>
      <c r="AI21" s="285" t="s">
        <v>23</v>
      </c>
      <c r="AJ21" s="280">
        <v>25.8</v>
      </c>
      <c r="AK21" s="280">
        <v>28.3</v>
      </c>
      <c r="AL21" s="281">
        <v>33.700000000000003</v>
      </c>
      <c r="AM21" s="281">
        <v>31.2</v>
      </c>
      <c r="AN21" s="280">
        <v>26.9</v>
      </c>
      <c r="AO21" s="280">
        <v>28.7</v>
      </c>
      <c r="AP21" s="281">
        <v>37</v>
      </c>
      <c r="AQ21" s="281">
        <v>29</v>
      </c>
      <c r="AR21" s="280">
        <v>25.5</v>
      </c>
      <c r="AS21" s="280">
        <v>29.2</v>
      </c>
      <c r="AT21" s="285" t="s">
        <v>23</v>
      </c>
      <c r="AU21" s="281">
        <v>54.3</v>
      </c>
      <c r="AV21" s="280">
        <v>100.9</v>
      </c>
      <c r="AW21" s="280">
        <v>124.6</v>
      </c>
      <c r="AX21" s="281">
        <v>90.1</v>
      </c>
      <c r="AY21" s="280">
        <v>61</v>
      </c>
      <c r="AZ21" s="280">
        <v>100.1</v>
      </c>
      <c r="BA21" s="280">
        <v>110.6</v>
      </c>
      <c r="BB21" s="280">
        <v>64.900000000000006</v>
      </c>
      <c r="BC21" s="280">
        <v>46.1</v>
      </c>
      <c r="BD21" s="280">
        <v>94.2</v>
      </c>
      <c r="BE21" s="285" t="s">
        <v>23</v>
      </c>
      <c r="BF21" s="281">
        <v>84.8</v>
      </c>
      <c r="BG21" s="281">
        <v>89.2</v>
      </c>
      <c r="BH21" s="281">
        <v>78.8</v>
      </c>
      <c r="BI21" s="281">
        <v>86.7</v>
      </c>
      <c r="BJ21" s="281">
        <v>90</v>
      </c>
      <c r="BK21" s="281">
        <v>91.7</v>
      </c>
      <c r="BL21" s="281">
        <v>83</v>
      </c>
      <c r="BM21" s="281">
        <v>81.7</v>
      </c>
      <c r="BN21" s="281">
        <v>91.5</v>
      </c>
      <c r="BO21" s="281">
        <v>125.9</v>
      </c>
      <c r="BP21" s="285" t="s">
        <v>23</v>
      </c>
      <c r="BQ21" s="283">
        <v>24.299999999999997</v>
      </c>
      <c r="BR21" s="283">
        <v>22.200000000000003</v>
      </c>
      <c r="BS21" s="283">
        <v>27.400000000000002</v>
      </c>
      <c r="BT21" s="283">
        <v>26.200000000000003</v>
      </c>
      <c r="BU21" s="283">
        <v>27.4</v>
      </c>
      <c r="BV21" s="283">
        <v>29.3</v>
      </c>
      <c r="BW21" s="283">
        <v>26</v>
      </c>
      <c r="BX21" s="283">
        <v>22.1</v>
      </c>
      <c r="BY21" s="283">
        <v>21.1</v>
      </c>
      <c r="BZ21" s="283">
        <v>20</v>
      </c>
      <c r="CA21" s="285" t="s">
        <v>23</v>
      </c>
      <c r="CB21" s="283">
        <v>40.5</v>
      </c>
      <c r="CC21" s="283">
        <v>37.5</v>
      </c>
      <c r="CD21" s="283">
        <v>34.5</v>
      </c>
      <c r="CE21" s="283">
        <v>31.900000000000002</v>
      </c>
      <c r="CF21" s="283">
        <v>35.700000000000003</v>
      </c>
      <c r="CG21" s="283">
        <v>36.6</v>
      </c>
      <c r="CH21" s="283">
        <v>35.5</v>
      </c>
      <c r="CI21" s="283">
        <v>35</v>
      </c>
      <c r="CJ21" s="283">
        <v>35.5</v>
      </c>
      <c r="CK21" s="283">
        <v>35.6</v>
      </c>
      <c r="CL21" s="285" t="s">
        <v>23</v>
      </c>
      <c r="CM21" s="287">
        <v>63.4</v>
      </c>
      <c r="CN21" s="286">
        <v>78.3</v>
      </c>
      <c r="CO21" s="287">
        <v>83.4</v>
      </c>
      <c r="CP21" s="287">
        <v>68.099999999999994</v>
      </c>
      <c r="CQ21" s="286">
        <v>57.1</v>
      </c>
      <c r="CR21" s="286">
        <v>69.099999999999994</v>
      </c>
      <c r="CS21" s="287">
        <v>76.599999999999994</v>
      </c>
      <c r="CT21" s="287">
        <v>57.8</v>
      </c>
      <c r="CU21" s="286">
        <v>49.4</v>
      </c>
      <c r="CV21" s="286">
        <v>82.7</v>
      </c>
      <c r="CW21" s="285" t="s">
        <v>23</v>
      </c>
      <c r="CX21" s="286">
        <v>100.8</v>
      </c>
      <c r="CY21" s="286">
        <v>128.80000000000001</v>
      </c>
      <c r="CZ21" s="286">
        <v>150.6</v>
      </c>
      <c r="DA21" s="286">
        <v>129.19999999999999</v>
      </c>
      <c r="DB21" s="286">
        <v>107.4</v>
      </c>
      <c r="DC21" s="286">
        <v>136.6</v>
      </c>
      <c r="DD21" s="286">
        <v>144</v>
      </c>
      <c r="DE21" s="286">
        <v>106.3</v>
      </c>
      <c r="DF21" s="286">
        <v>96.2</v>
      </c>
      <c r="DG21" s="286">
        <v>137.4</v>
      </c>
      <c r="DH21" s="285" t="s">
        <v>23</v>
      </c>
      <c r="DI21" s="286">
        <v>75.5</v>
      </c>
      <c r="DJ21" s="286">
        <v>80</v>
      </c>
      <c r="DK21" s="287">
        <v>76.8</v>
      </c>
      <c r="DL21" s="287">
        <v>80</v>
      </c>
      <c r="DM21" s="287">
        <v>85.5</v>
      </c>
      <c r="DN21" s="286">
        <v>87.4</v>
      </c>
      <c r="DO21" s="286">
        <v>77.8</v>
      </c>
      <c r="DP21" s="287">
        <v>74.7</v>
      </c>
      <c r="DQ21" s="287">
        <v>79.900000000000006</v>
      </c>
      <c r="DR21" s="287">
        <v>93.3</v>
      </c>
      <c r="DS21" s="285" t="s">
        <v>23</v>
      </c>
      <c r="DT21" s="287"/>
      <c r="DU21" s="287"/>
      <c r="DV21" s="287"/>
      <c r="DW21" s="287"/>
      <c r="DX21" s="287"/>
      <c r="DY21" s="287"/>
      <c r="DZ21" s="287"/>
      <c r="EA21" s="287"/>
      <c r="EB21" s="287"/>
      <c r="EC21" s="287"/>
      <c r="ED21" s="285" t="s">
        <v>23</v>
      </c>
      <c r="EE21" s="281"/>
      <c r="EF21" s="281"/>
      <c r="EG21" s="281"/>
      <c r="EH21" s="281"/>
      <c r="EI21" s="281"/>
      <c r="EJ21" s="281"/>
      <c r="EK21" s="281"/>
      <c r="EL21" s="281"/>
      <c r="EM21" s="281"/>
      <c r="EN21" s="281"/>
      <c r="EO21" s="285" t="s">
        <v>23</v>
      </c>
      <c r="EP21" s="280">
        <v>51.2</v>
      </c>
      <c r="EQ21" s="280">
        <v>51.7</v>
      </c>
      <c r="ER21" s="280">
        <v>40.799999999999997</v>
      </c>
      <c r="ES21" s="280">
        <v>48.4</v>
      </c>
      <c r="ET21" s="280">
        <v>56.5</v>
      </c>
      <c r="EU21" s="280">
        <v>50.7</v>
      </c>
      <c r="EV21" s="280">
        <v>36.299999999999997</v>
      </c>
      <c r="EW21" s="280">
        <v>44.6</v>
      </c>
      <c r="EX21" s="280">
        <v>53.5</v>
      </c>
      <c r="EY21" s="280">
        <v>53.2</v>
      </c>
      <c r="EZ21" s="285" t="s">
        <v>23</v>
      </c>
      <c r="FA21" s="280">
        <v>13.1</v>
      </c>
      <c r="FB21" s="280">
        <v>14.7</v>
      </c>
      <c r="FC21" s="280">
        <v>14.5</v>
      </c>
      <c r="FD21" s="280">
        <v>14.1</v>
      </c>
      <c r="FE21" s="280">
        <v>13.9</v>
      </c>
      <c r="FF21" s="280">
        <v>17.600000000000001</v>
      </c>
      <c r="FG21" s="280">
        <v>16.899999999999999</v>
      </c>
      <c r="FH21" s="280">
        <v>16.5</v>
      </c>
      <c r="FI21" s="280">
        <v>16.399999999999999</v>
      </c>
      <c r="FJ21" s="280">
        <v>17.5</v>
      </c>
      <c r="FK21" s="285" t="s">
        <v>23</v>
      </c>
      <c r="FL21" s="280">
        <v>24.8</v>
      </c>
      <c r="FM21" s="280">
        <v>28.3</v>
      </c>
      <c r="FN21" s="280">
        <v>37.5</v>
      </c>
      <c r="FO21" s="280">
        <v>34.799999999999997</v>
      </c>
      <c r="FP21" s="280">
        <v>29.3</v>
      </c>
      <c r="FQ21" s="280">
        <v>33.4</v>
      </c>
      <c r="FR21" s="280">
        <v>33</v>
      </c>
      <c r="FS21" s="280">
        <v>22.4</v>
      </c>
      <c r="FT21" s="280">
        <v>18.899999999999999</v>
      </c>
      <c r="FU21" s="280">
        <v>32.200000000000003</v>
      </c>
      <c r="FV21" s="285" t="s">
        <v>23</v>
      </c>
      <c r="FW21" s="280">
        <v>55.7</v>
      </c>
      <c r="FX21" s="280">
        <v>77.400000000000006</v>
      </c>
      <c r="FY21" s="280">
        <v>97.1</v>
      </c>
      <c r="FZ21" s="280">
        <v>72.3</v>
      </c>
      <c r="GA21" s="280">
        <v>55.4</v>
      </c>
      <c r="GB21" s="280">
        <v>80.099999999999994</v>
      </c>
      <c r="GC21" s="280">
        <v>93.2</v>
      </c>
      <c r="GD21" s="280">
        <v>66.8</v>
      </c>
      <c r="GE21" s="280">
        <v>55.1</v>
      </c>
      <c r="GF21" s="280">
        <v>85.9</v>
      </c>
      <c r="GG21" s="285" t="s">
        <v>23</v>
      </c>
      <c r="GH21" s="280">
        <v>4.5</v>
      </c>
      <c r="GI21" s="280">
        <v>4.4000000000000004</v>
      </c>
      <c r="GJ21" s="280">
        <v>3.6</v>
      </c>
      <c r="GK21" s="280">
        <v>5.4</v>
      </c>
      <c r="GL21" s="280">
        <v>4.2</v>
      </c>
      <c r="GM21" s="280">
        <v>3.4</v>
      </c>
      <c r="GN21" s="280">
        <v>2.2999999999999998</v>
      </c>
      <c r="GO21" s="280">
        <v>3</v>
      </c>
      <c r="GP21" s="280">
        <v>2.7</v>
      </c>
      <c r="GQ21" s="280">
        <v>2.8</v>
      </c>
      <c r="GR21" s="285" t="s">
        <v>23</v>
      </c>
      <c r="GS21" s="280">
        <v>25.7</v>
      </c>
      <c r="GT21" s="280">
        <v>29.8</v>
      </c>
      <c r="GU21" s="280">
        <v>31.5</v>
      </c>
      <c r="GV21" s="280">
        <v>29.3</v>
      </c>
      <c r="GW21" s="280">
        <v>27.8</v>
      </c>
      <c r="GX21" s="280">
        <v>31.4</v>
      </c>
      <c r="GY21" s="280">
        <v>30.4</v>
      </c>
      <c r="GZ21" s="280">
        <v>24.5</v>
      </c>
      <c r="HA21" s="280">
        <v>23.3</v>
      </c>
      <c r="HB21" s="280">
        <v>27.9</v>
      </c>
      <c r="HC21" s="285" t="s">
        <v>23</v>
      </c>
      <c r="HD21" s="280">
        <v>14.2</v>
      </c>
      <c r="HE21" s="280">
        <v>11.1</v>
      </c>
      <c r="HF21" s="280">
        <v>11.8</v>
      </c>
      <c r="HG21" s="280">
        <v>10.9</v>
      </c>
      <c r="HH21" s="280">
        <v>12.5</v>
      </c>
      <c r="HI21" s="280">
        <v>14.6</v>
      </c>
      <c r="HJ21" s="280">
        <v>18.2</v>
      </c>
      <c r="HK21" s="280">
        <v>13.9</v>
      </c>
      <c r="HL21" s="280">
        <v>13.7</v>
      </c>
      <c r="HM21" s="280">
        <v>19.100000000000001</v>
      </c>
      <c r="HN21" s="285" t="s">
        <v>23</v>
      </c>
      <c r="HO21" s="280">
        <v>48</v>
      </c>
      <c r="HP21" s="280">
        <v>68.400000000000006</v>
      </c>
      <c r="HQ21" s="280">
        <v>71.900000000000006</v>
      </c>
      <c r="HR21" s="280">
        <v>60.9</v>
      </c>
      <c r="HS21" s="280">
        <v>49</v>
      </c>
      <c r="HT21" s="280">
        <v>61.1</v>
      </c>
      <c r="HU21" s="280">
        <v>66.3</v>
      </c>
      <c r="HV21" s="280">
        <v>45.6</v>
      </c>
      <c r="HW21" s="280">
        <v>41.3</v>
      </c>
      <c r="HX21" s="280">
        <v>73.599999999999994</v>
      </c>
      <c r="HY21" s="285" t="s">
        <v>23</v>
      </c>
      <c r="HZ21" s="281"/>
      <c r="IA21" s="281"/>
      <c r="IB21" s="281"/>
      <c r="IC21" s="281"/>
      <c r="ID21" s="281"/>
      <c r="IE21" s="281"/>
      <c r="IF21" s="281"/>
      <c r="IG21" s="281"/>
      <c r="IH21" s="281"/>
      <c r="II21" s="281"/>
      <c r="IJ21" s="285" t="s">
        <v>23</v>
      </c>
      <c r="IK21" s="281"/>
      <c r="IL21" s="281"/>
      <c r="IM21" s="281"/>
      <c r="IN21" s="281"/>
      <c r="IO21" s="281"/>
      <c r="IP21" s="281"/>
      <c r="IQ21" s="281"/>
      <c r="IR21" s="281"/>
      <c r="IS21" s="281"/>
      <c r="IT21" s="281"/>
      <c r="IU21" s="285" t="s">
        <v>23</v>
      </c>
      <c r="IV21" s="281">
        <v>12.6</v>
      </c>
      <c r="IW21" s="281">
        <v>14.3</v>
      </c>
      <c r="IX21" s="281">
        <v>15.3</v>
      </c>
      <c r="IY21" s="281">
        <v>15.9</v>
      </c>
      <c r="IZ21" s="281">
        <v>14.2</v>
      </c>
      <c r="JA21" s="281">
        <v>14.4</v>
      </c>
      <c r="JB21" s="281">
        <v>13.3</v>
      </c>
      <c r="JC21" s="281">
        <v>11.4</v>
      </c>
      <c r="JD21" s="281">
        <v>11.5</v>
      </c>
      <c r="JE21" s="281">
        <v>12.9</v>
      </c>
      <c r="JF21" s="285" t="s">
        <v>23</v>
      </c>
      <c r="JG21" s="281">
        <v>14.5</v>
      </c>
      <c r="JH21" s="281">
        <v>13.4</v>
      </c>
      <c r="JI21" s="281">
        <v>15.2</v>
      </c>
      <c r="JJ21" s="281">
        <v>13.6</v>
      </c>
      <c r="JK21" s="281">
        <v>14.7</v>
      </c>
      <c r="JL21" s="281">
        <v>18.3</v>
      </c>
      <c r="JM21" s="281">
        <v>24.2</v>
      </c>
      <c r="JN21" s="281">
        <v>18.3</v>
      </c>
      <c r="JO21" s="281">
        <v>16.399999999999999</v>
      </c>
      <c r="JP21" s="280">
        <v>19.600000000000001</v>
      </c>
      <c r="JQ21" s="285" t="s">
        <v>23</v>
      </c>
      <c r="JR21" s="281">
        <v>20.3</v>
      </c>
      <c r="JS21" s="281">
        <v>21.2</v>
      </c>
      <c r="JT21" s="281">
        <v>21.9</v>
      </c>
      <c r="JU21" s="281">
        <v>19.5</v>
      </c>
      <c r="JV21" s="280">
        <v>19.5</v>
      </c>
      <c r="JW21" s="280">
        <v>18.2</v>
      </c>
      <c r="JX21" s="281">
        <v>15.6</v>
      </c>
      <c r="JY21" s="281">
        <v>13.1</v>
      </c>
      <c r="JZ21" s="281">
        <v>13.2</v>
      </c>
      <c r="KA21" s="280">
        <v>14.6</v>
      </c>
      <c r="KB21" s="285" t="s">
        <v>23</v>
      </c>
      <c r="KC21" s="281">
        <v>24.7</v>
      </c>
      <c r="KD21" s="281">
        <v>29.3</v>
      </c>
      <c r="KE21" s="281">
        <v>32.6</v>
      </c>
      <c r="KF21" s="281">
        <v>28.5</v>
      </c>
      <c r="KG21" s="281">
        <v>23.8</v>
      </c>
      <c r="KH21" s="281">
        <v>26.8</v>
      </c>
      <c r="KI21" s="281">
        <v>27.1</v>
      </c>
      <c r="KJ21" s="281">
        <v>21.7</v>
      </c>
      <c r="KK21" s="281">
        <v>23.2</v>
      </c>
      <c r="KL21" s="281">
        <v>27.2</v>
      </c>
      <c r="KM21" s="285" t="s">
        <v>23</v>
      </c>
      <c r="KN21" s="281">
        <v>8</v>
      </c>
      <c r="KO21" s="281">
        <v>10.6</v>
      </c>
      <c r="KP21" s="281">
        <v>9.9</v>
      </c>
      <c r="KQ21" s="281">
        <v>8.4</v>
      </c>
      <c r="KR21" s="281">
        <v>9</v>
      </c>
      <c r="KS21" s="281">
        <v>11.8</v>
      </c>
      <c r="KT21" s="281">
        <v>11.3</v>
      </c>
      <c r="KU21" s="281">
        <v>8.6999999999999993</v>
      </c>
      <c r="KV21" s="281">
        <v>8.4</v>
      </c>
      <c r="KW21" s="281">
        <v>11.8</v>
      </c>
      <c r="KX21" s="285" t="s">
        <v>23</v>
      </c>
      <c r="KY21" s="281">
        <v>35.9</v>
      </c>
      <c r="KZ21" s="281">
        <v>72.5</v>
      </c>
      <c r="LA21" s="281">
        <v>95.5</v>
      </c>
      <c r="LB21" s="281">
        <v>62.9</v>
      </c>
      <c r="LC21" s="281">
        <v>37.9</v>
      </c>
      <c r="LD21" s="281">
        <v>73.7</v>
      </c>
      <c r="LE21" s="281">
        <v>93.4</v>
      </c>
      <c r="LF21" s="281">
        <v>49.6</v>
      </c>
      <c r="LG21" s="281">
        <v>29.2</v>
      </c>
      <c r="LH21" s="281">
        <v>89.6</v>
      </c>
      <c r="LI21" s="285" t="s">
        <v>23</v>
      </c>
      <c r="LJ21" s="281">
        <v>5.6</v>
      </c>
      <c r="LK21" s="281">
        <v>6.1</v>
      </c>
      <c r="LL21" s="281">
        <v>4.5999999999999996</v>
      </c>
      <c r="LM21" s="281">
        <v>5.2</v>
      </c>
      <c r="LN21" s="281">
        <v>4.9000000000000004</v>
      </c>
      <c r="LO21" s="281">
        <v>3.2</v>
      </c>
      <c r="LP21" s="281"/>
      <c r="LQ21" s="281">
        <v>2.7</v>
      </c>
      <c r="LR21" s="281">
        <v>2.8</v>
      </c>
      <c r="LS21" s="281">
        <v>2.5</v>
      </c>
      <c r="LT21" s="285" t="s">
        <v>23</v>
      </c>
      <c r="LU21" s="281">
        <v>2.2999999999999998</v>
      </c>
      <c r="LV21" s="281"/>
      <c r="LW21" s="281">
        <v>2.8</v>
      </c>
      <c r="LX21" s="281">
        <v>3.1</v>
      </c>
      <c r="LY21" s="281">
        <v>2.2999999999999998</v>
      </c>
      <c r="LZ21" s="281">
        <v>2.4</v>
      </c>
      <c r="MA21" s="281">
        <v>2.4</v>
      </c>
      <c r="MB21" s="281"/>
      <c r="MC21" s="281">
        <v>2.2999999999999998</v>
      </c>
      <c r="MD21" s="281"/>
      <c r="ME21" s="285" t="s">
        <v>23</v>
      </c>
      <c r="MF21" s="281">
        <v>7.4</v>
      </c>
      <c r="MG21" s="281">
        <v>8.3000000000000007</v>
      </c>
      <c r="MH21" s="281">
        <v>9.4</v>
      </c>
      <c r="MI21" s="281">
        <v>9.1</v>
      </c>
      <c r="MJ21" s="281">
        <v>13</v>
      </c>
      <c r="MK21" s="281">
        <v>8.9</v>
      </c>
      <c r="ML21" s="281">
        <v>8.1999999999999993</v>
      </c>
      <c r="MM21" s="281">
        <v>7.1</v>
      </c>
      <c r="MN21" s="281">
        <v>6.2</v>
      </c>
      <c r="MO21" s="281">
        <v>5.8</v>
      </c>
      <c r="MP21" s="285" t="s">
        <v>23</v>
      </c>
      <c r="MQ21" s="281">
        <v>9.5</v>
      </c>
      <c r="MR21" s="281">
        <v>10.4</v>
      </c>
      <c r="MS21" s="281">
        <v>13.6</v>
      </c>
      <c r="MT21" s="281">
        <v>10.1</v>
      </c>
      <c r="MU21" s="281">
        <v>7.4</v>
      </c>
      <c r="MV21" s="281">
        <v>8.6999999999999993</v>
      </c>
      <c r="MW21" s="281">
        <v>10.9</v>
      </c>
      <c r="MX21" s="281">
        <v>9.1999999999999993</v>
      </c>
      <c r="MY21" s="281">
        <v>8.9</v>
      </c>
      <c r="MZ21" s="281">
        <v>14.2</v>
      </c>
      <c r="NA21" s="285" t="s">
        <v>23</v>
      </c>
      <c r="NB21" s="281">
        <v>17.3</v>
      </c>
      <c r="NC21" s="281">
        <v>15.3</v>
      </c>
      <c r="ND21" s="281">
        <v>18.600000000000001</v>
      </c>
      <c r="NE21" s="281">
        <v>17.600000000000001</v>
      </c>
      <c r="NF21" s="281">
        <v>17.7</v>
      </c>
      <c r="NG21" s="281">
        <v>20.6</v>
      </c>
      <c r="NH21" s="281">
        <v>19.8</v>
      </c>
      <c r="NI21" s="281">
        <v>18.899999999999999</v>
      </c>
      <c r="NJ21" s="281">
        <v>19.5</v>
      </c>
      <c r="NK21" s="281">
        <v>21.9</v>
      </c>
      <c r="NL21" s="285" t="s">
        <v>23</v>
      </c>
      <c r="NM21" s="281">
        <v>38.200000000000003</v>
      </c>
      <c r="NN21" s="281">
        <v>38.5</v>
      </c>
      <c r="NO21" s="281">
        <v>22</v>
      </c>
      <c r="NP21" s="281">
        <v>34.200000000000003</v>
      </c>
      <c r="NQ21" s="281">
        <v>40.200000000000003</v>
      </c>
      <c r="NR21" s="281">
        <v>39.1</v>
      </c>
      <c r="NS21" s="281">
        <v>25.7</v>
      </c>
      <c r="NT21" s="281">
        <v>34.799999999999997</v>
      </c>
      <c r="NU21" s="281">
        <v>40.9</v>
      </c>
      <c r="NV21" s="281">
        <v>40.1</v>
      </c>
      <c r="NW21" s="285" t="s">
        <v>23</v>
      </c>
      <c r="NX21" s="281">
        <v>15.4</v>
      </c>
      <c r="NY21" s="281">
        <v>17.5</v>
      </c>
      <c r="NZ21" s="281">
        <v>19.399999999999999</v>
      </c>
      <c r="OA21" s="281">
        <v>19.5</v>
      </c>
      <c r="OB21" s="281">
        <v>19</v>
      </c>
      <c r="OC21" s="281">
        <v>20.399999999999999</v>
      </c>
      <c r="OD21" s="281">
        <v>19.600000000000001</v>
      </c>
      <c r="OE21" s="281">
        <v>19.600000000000001</v>
      </c>
      <c r="OF21" s="281">
        <v>22</v>
      </c>
      <c r="OG21" s="281">
        <v>23.4</v>
      </c>
      <c r="OH21" s="296" t="s">
        <v>23</v>
      </c>
      <c r="OI21" s="297">
        <v>25.6</v>
      </c>
      <c r="OJ21" s="297">
        <v>26.1</v>
      </c>
      <c r="OK21" s="297">
        <v>26.7</v>
      </c>
      <c r="OL21" s="297">
        <v>24.6</v>
      </c>
      <c r="OM21" s="297">
        <v>24.1</v>
      </c>
      <c r="ON21" s="297">
        <v>24.4</v>
      </c>
      <c r="OO21" s="297">
        <v>24.9</v>
      </c>
      <c r="OP21" s="297">
        <v>23.1</v>
      </c>
      <c r="OQ21" s="297">
        <v>22.6</v>
      </c>
      <c r="OR21" s="297">
        <v>23.6</v>
      </c>
      <c r="OS21" s="285" t="s">
        <v>23</v>
      </c>
      <c r="OT21" s="280">
        <v>1.4</v>
      </c>
      <c r="OU21" s="280">
        <v>0.2</v>
      </c>
      <c r="OV21" s="280">
        <v>0.7</v>
      </c>
      <c r="OW21" s="280">
        <v>1</v>
      </c>
      <c r="OX21" s="280">
        <v>-0.4</v>
      </c>
      <c r="OY21" s="280">
        <v>1.2</v>
      </c>
      <c r="OZ21" s="280">
        <v>0.5</v>
      </c>
      <c r="PA21" s="280">
        <v>0.8</v>
      </c>
      <c r="PB21" s="280">
        <v>1.3</v>
      </c>
      <c r="PC21" s="280">
        <v>0.9</v>
      </c>
    </row>
    <row r="22" spans="1:419">
      <c r="A22" s="269">
        <v>13</v>
      </c>
      <c r="B22" s="285" t="s">
        <v>32</v>
      </c>
      <c r="C22" s="286">
        <v>10</v>
      </c>
      <c r="D22" s="286">
        <v>11.3</v>
      </c>
      <c r="E22" s="286">
        <v>12.1</v>
      </c>
      <c r="F22" s="286">
        <v>12</v>
      </c>
      <c r="G22" s="286">
        <v>9.4</v>
      </c>
      <c r="H22" s="286">
        <v>10.1</v>
      </c>
      <c r="I22" s="286">
        <v>10.1</v>
      </c>
      <c r="J22" s="286">
        <v>9.3000000000000007</v>
      </c>
      <c r="K22" s="286">
        <v>8.6</v>
      </c>
      <c r="L22" s="286">
        <v>9.1999999999999993</v>
      </c>
      <c r="M22" s="285" t="s">
        <v>32</v>
      </c>
      <c r="N22" s="286">
        <v>363.6</v>
      </c>
      <c r="O22" s="286">
        <v>421.9</v>
      </c>
      <c r="P22" s="286">
        <v>457.7</v>
      </c>
      <c r="Q22" s="286">
        <v>451.3</v>
      </c>
      <c r="R22" s="286">
        <v>355.1</v>
      </c>
      <c r="S22" s="286">
        <v>387.7</v>
      </c>
      <c r="T22" s="286">
        <v>394.8</v>
      </c>
      <c r="U22" s="286">
        <v>365.5</v>
      </c>
      <c r="V22" s="286">
        <v>334.8</v>
      </c>
      <c r="W22" s="286">
        <v>364.6</v>
      </c>
      <c r="X22" s="285" t="s">
        <v>32</v>
      </c>
      <c r="Y22" s="287">
        <v>20.3</v>
      </c>
      <c r="Z22" s="287">
        <v>24.9</v>
      </c>
      <c r="AA22" s="286">
        <v>22.6</v>
      </c>
      <c r="AB22" s="287">
        <v>19.7</v>
      </c>
      <c r="AC22" s="287">
        <v>17</v>
      </c>
      <c r="AD22" s="287">
        <v>19.3</v>
      </c>
      <c r="AE22" s="286">
        <v>23</v>
      </c>
      <c r="AF22" s="287">
        <v>21</v>
      </c>
      <c r="AG22" s="287">
        <v>19.8</v>
      </c>
      <c r="AH22" s="287">
        <v>23.3</v>
      </c>
      <c r="AI22" s="285" t="s">
        <v>32</v>
      </c>
      <c r="AJ22" s="280">
        <v>102.6</v>
      </c>
      <c r="AK22" s="280">
        <v>103.1</v>
      </c>
      <c r="AL22" s="280">
        <v>117.7</v>
      </c>
      <c r="AM22" s="280">
        <v>120.2</v>
      </c>
      <c r="AN22" s="280">
        <v>72.400000000000006</v>
      </c>
      <c r="AO22" s="280">
        <v>62.5</v>
      </c>
      <c r="AP22" s="280">
        <v>68</v>
      </c>
      <c r="AQ22" s="280">
        <v>55.9</v>
      </c>
      <c r="AR22" s="280">
        <v>53</v>
      </c>
      <c r="AS22" s="280">
        <v>64.599999999999994</v>
      </c>
      <c r="AT22" s="285" t="s">
        <v>32</v>
      </c>
      <c r="AU22" s="280">
        <v>98.5</v>
      </c>
      <c r="AV22" s="280">
        <v>122.9</v>
      </c>
      <c r="AW22" s="280">
        <v>128</v>
      </c>
      <c r="AX22" s="280">
        <v>112.7</v>
      </c>
      <c r="AY22" s="280">
        <v>83.3</v>
      </c>
      <c r="AZ22" s="280">
        <v>88.4</v>
      </c>
      <c r="BA22" s="280">
        <v>74.599999999999994</v>
      </c>
      <c r="BB22" s="280">
        <v>69.2</v>
      </c>
      <c r="BC22" s="280">
        <v>62.8</v>
      </c>
      <c r="BD22" s="280">
        <v>68.3</v>
      </c>
      <c r="BE22" s="285" t="s">
        <v>32</v>
      </c>
      <c r="BF22" s="281">
        <v>105.9</v>
      </c>
      <c r="BG22" s="281">
        <v>139.6</v>
      </c>
      <c r="BH22" s="280">
        <v>153.69999999999999</v>
      </c>
      <c r="BI22" s="280">
        <v>161.80000000000001</v>
      </c>
      <c r="BJ22" s="280">
        <v>155.6</v>
      </c>
      <c r="BK22" s="281">
        <v>183.2</v>
      </c>
      <c r="BL22" s="280">
        <v>196.1</v>
      </c>
      <c r="BM22" s="280">
        <v>190.6</v>
      </c>
      <c r="BN22" s="280">
        <v>175.3</v>
      </c>
      <c r="BO22" s="281">
        <v>180.7</v>
      </c>
      <c r="BP22" s="285" t="s">
        <v>32</v>
      </c>
      <c r="BQ22" s="283">
        <v>21.9</v>
      </c>
      <c r="BR22" s="283">
        <v>16.8</v>
      </c>
      <c r="BS22" s="283">
        <v>16.8</v>
      </c>
      <c r="BT22" s="283">
        <v>17.7</v>
      </c>
      <c r="BU22" s="283">
        <v>12.8</v>
      </c>
      <c r="BV22" s="283">
        <v>17.3</v>
      </c>
      <c r="BW22" s="283">
        <v>17.8</v>
      </c>
      <c r="BX22" s="283">
        <v>18.600000000000001</v>
      </c>
      <c r="BY22" s="283">
        <v>13.8</v>
      </c>
      <c r="BZ22" s="283">
        <v>17.5</v>
      </c>
      <c r="CA22" s="285" t="s">
        <v>32</v>
      </c>
      <c r="CB22" s="283">
        <v>14.5</v>
      </c>
      <c r="CC22" s="283">
        <v>14.5</v>
      </c>
      <c r="CD22" s="283">
        <v>18.899999999999999</v>
      </c>
      <c r="CE22" s="283">
        <v>19.100000000000001</v>
      </c>
      <c r="CF22" s="283">
        <v>13.9</v>
      </c>
      <c r="CG22" s="283">
        <v>16.899999999999999</v>
      </c>
      <c r="CH22" s="283">
        <v>15.2</v>
      </c>
      <c r="CI22" s="283">
        <v>10</v>
      </c>
      <c r="CJ22" s="283">
        <v>10.1</v>
      </c>
      <c r="CK22" s="283">
        <v>10.3</v>
      </c>
      <c r="CL22" s="285" t="s">
        <v>32</v>
      </c>
      <c r="CM22" s="286">
        <v>115.4</v>
      </c>
      <c r="CN22" s="286">
        <v>151.30000000000001</v>
      </c>
      <c r="CO22" s="286">
        <v>171.5</v>
      </c>
      <c r="CP22" s="286">
        <v>169.2</v>
      </c>
      <c r="CQ22" s="286">
        <v>142.69999999999999</v>
      </c>
      <c r="CR22" s="286">
        <v>164.1</v>
      </c>
      <c r="CS22" s="286">
        <v>165.5</v>
      </c>
      <c r="CT22" s="286">
        <v>162.80000000000001</v>
      </c>
      <c r="CU22" s="286">
        <v>147.5</v>
      </c>
      <c r="CV22" s="286">
        <v>153.19999999999999</v>
      </c>
      <c r="CW22" s="285" t="s">
        <v>32</v>
      </c>
      <c r="CX22" s="286">
        <v>203.7</v>
      </c>
      <c r="CY22" s="286">
        <v>228.5</v>
      </c>
      <c r="CZ22" s="286">
        <v>238.8</v>
      </c>
      <c r="DA22" s="286">
        <v>233.8</v>
      </c>
      <c r="DB22" s="286">
        <v>180.9</v>
      </c>
      <c r="DC22" s="286">
        <v>186.9</v>
      </c>
      <c r="DD22" s="286">
        <v>201.3</v>
      </c>
      <c r="DE22" s="286">
        <v>170.2</v>
      </c>
      <c r="DF22" s="286">
        <v>159.80000000000001</v>
      </c>
      <c r="DG22" s="286">
        <v>179.5</v>
      </c>
      <c r="DH22" s="285" t="s">
        <v>32</v>
      </c>
      <c r="DI22" s="286">
        <v>44.5</v>
      </c>
      <c r="DJ22" s="287">
        <v>42.2</v>
      </c>
      <c r="DK22" s="286">
        <v>47.3</v>
      </c>
      <c r="DL22" s="286">
        <v>48.3</v>
      </c>
      <c r="DM22" s="286">
        <v>31.5</v>
      </c>
      <c r="DN22" s="286">
        <v>36.700000000000003</v>
      </c>
      <c r="DO22" s="286">
        <v>28</v>
      </c>
      <c r="DP22" s="286">
        <v>32.4</v>
      </c>
      <c r="DQ22" s="286">
        <v>27.6</v>
      </c>
      <c r="DR22" s="286">
        <v>31.9</v>
      </c>
      <c r="DS22" s="285" t="s">
        <v>32</v>
      </c>
      <c r="DT22" s="287"/>
      <c r="DU22" s="287"/>
      <c r="DV22" s="287"/>
      <c r="DW22" s="287"/>
      <c r="DX22" s="287"/>
      <c r="DY22" s="287"/>
      <c r="DZ22" s="287"/>
      <c r="EA22" s="287"/>
      <c r="EB22" s="287"/>
      <c r="EC22" s="287"/>
      <c r="ED22" s="285" t="s">
        <v>32</v>
      </c>
      <c r="EE22" s="280">
        <v>4.2</v>
      </c>
      <c r="EF22" s="280">
        <v>3.4</v>
      </c>
      <c r="EG22" s="280">
        <v>2.7</v>
      </c>
      <c r="EH22" s="280">
        <v>3.1</v>
      </c>
      <c r="EI22" s="280">
        <v>3.6</v>
      </c>
      <c r="EJ22" s="280">
        <v>2.7</v>
      </c>
      <c r="EK22" s="280">
        <v>2.8</v>
      </c>
      <c r="EL22" s="280">
        <v>2.8</v>
      </c>
      <c r="EM22" s="280"/>
      <c r="EN22" s="281">
        <v>3.7</v>
      </c>
      <c r="EO22" s="285" t="s">
        <v>32</v>
      </c>
      <c r="EP22" s="280">
        <v>21.6</v>
      </c>
      <c r="EQ22" s="280">
        <v>22.3</v>
      </c>
      <c r="ER22" s="280">
        <v>26</v>
      </c>
      <c r="ES22" s="280">
        <v>27.3</v>
      </c>
      <c r="ET22" s="280">
        <v>16.7</v>
      </c>
      <c r="EU22" s="280">
        <v>16.600000000000001</v>
      </c>
      <c r="EV22" s="280">
        <v>12.7</v>
      </c>
      <c r="EW22" s="280">
        <v>15.4</v>
      </c>
      <c r="EX22" s="280">
        <v>13.2</v>
      </c>
      <c r="EY22" s="280">
        <v>13.9</v>
      </c>
      <c r="EZ22" s="285" t="s">
        <v>32</v>
      </c>
      <c r="FA22" s="280">
        <v>24.2</v>
      </c>
      <c r="FB22" s="280">
        <v>25.2</v>
      </c>
      <c r="FC22" s="280">
        <v>28</v>
      </c>
      <c r="FD22" s="280">
        <v>24.8</v>
      </c>
      <c r="FE22" s="280">
        <v>19.5</v>
      </c>
      <c r="FF22" s="280">
        <v>21.5</v>
      </c>
      <c r="FG22" s="280">
        <v>21.4</v>
      </c>
      <c r="FH22" s="280">
        <v>16.8</v>
      </c>
      <c r="FI22" s="280">
        <v>16.7</v>
      </c>
      <c r="FJ22" s="280">
        <v>22.1</v>
      </c>
      <c r="FK22" s="285" t="s">
        <v>32</v>
      </c>
      <c r="FL22" s="280">
        <v>23.4</v>
      </c>
      <c r="FM22" s="280">
        <v>23.8</v>
      </c>
      <c r="FN22" s="280">
        <v>26.5</v>
      </c>
      <c r="FO22" s="280">
        <v>27.3</v>
      </c>
      <c r="FP22" s="280">
        <v>22.5</v>
      </c>
      <c r="FQ22" s="280">
        <v>24.3</v>
      </c>
      <c r="FR22" s="280">
        <v>24.4</v>
      </c>
      <c r="FS22" s="280">
        <v>20.399999999999999</v>
      </c>
      <c r="FT22" s="280">
        <v>21.8</v>
      </c>
      <c r="FU22" s="280">
        <v>24.2</v>
      </c>
      <c r="FV22" s="285" t="s">
        <v>32</v>
      </c>
      <c r="FW22" s="280">
        <v>36.1</v>
      </c>
      <c r="FX22" s="280">
        <v>42.7</v>
      </c>
      <c r="FY22" s="280">
        <v>46.7</v>
      </c>
      <c r="FZ22" s="280">
        <v>45.3</v>
      </c>
      <c r="GA22" s="280">
        <v>32</v>
      </c>
      <c r="GB22" s="280">
        <v>32.799999999999997</v>
      </c>
      <c r="GC22" s="280">
        <v>39.799999999999997</v>
      </c>
      <c r="GD22" s="280">
        <v>35.1</v>
      </c>
      <c r="GE22" s="280">
        <v>30.7</v>
      </c>
      <c r="GF22" s="280">
        <v>33.9</v>
      </c>
      <c r="GG22" s="285" t="s">
        <v>32</v>
      </c>
      <c r="GH22" s="280">
        <v>8.8000000000000007</v>
      </c>
      <c r="GI22" s="280">
        <v>9.6999999999999993</v>
      </c>
      <c r="GJ22" s="280">
        <v>10.199999999999999</v>
      </c>
      <c r="GK22" s="280">
        <v>10.4</v>
      </c>
      <c r="GL22" s="280">
        <v>8.6</v>
      </c>
      <c r="GM22" s="280">
        <v>9.5</v>
      </c>
      <c r="GN22" s="280">
        <v>9.5</v>
      </c>
      <c r="GO22" s="280">
        <v>10.4</v>
      </c>
      <c r="GP22" s="280">
        <v>11.9</v>
      </c>
      <c r="GQ22" s="280">
        <v>9.9</v>
      </c>
      <c r="GR22" s="285" t="s">
        <v>32</v>
      </c>
      <c r="GS22" s="280">
        <v>43.7</v>
      </c>
      <c r="GT22" s="280">
        <v>49</v>
      </c>
      <c r="GU22" s="280">
        <v>49.2</v>
      </c>
      <c r="GV22" s="280">
        <v>44.2</v>
      </c>
      <c r="GW22" s="280">
        <v>30.6</v>
      </c>
      <c r="GX22" s="280">
        <v>33.4</v>
      </c>
      <c r="GY22" s="280">
        <v>40.200000000000003</v>
      </c>
      <c r="GZ22" s="280">
        <v>32.799999999999997</v>
      </c>
      <c r="HA22" s="280">
        <v>35.4</v>
      </c>
      <c r="HB22" s="280">
        <v>39.6</v>
      </c>
      <c r="HC22" s="285" t="s">
        <v>32</v>
      </c>
      <c r="HD22" s="280">
        <v>45.9</v>
      </c>
      <c r="HE22" s="280">
        <v>43.6</v>
      </c>
      <c r="HF22" s="280">
        <v>47</v>
      </c>
      <c r="HG22" s="280">
        <v>52.1</v>
      </c>
      <c r="HH22" s="280">
        <v>35.200000000000003</v>
      </c>
      <c r="HI22" s="280">
        <v>37.200000000000003</v>
      </c>
      <c r="HJ22" s="280">
        <v>37.299999999999997</v>
      </c>
      <c r="HK22" s="280">
        <v>36.4</v>
      </c>
      <c r="HL22" s="280">
        <v>32.4</v>
      </c>
      <c r="HM22" s="280">
        <v>35.299999999999997</v>
      </c>
      <c r="HN22" s="285" t="s">
        <v>32</v>
      </c>
      <c r="HO22" s="280">
        <v>153.30000000000001</v>
      </c>
      <c r="HP22" s="280">
        <v>200.9</v>
      </c>
      <c r="HQ22" s="280">
        <v>218.8</v>
      </c>
      <c r="HR22" s="280">
        <v>214.1</v>
      </c>
      <c r="HS22" s="280">
        <v>184.8</v>
      </c>
      <c r="HT22" s="280">
        <v>208.3</v>
      </c>
      <c r="HU22" s="280">
        <v>203.6</v>
      </c>
      <c r="HV22" s="280">
        <v>191.9</v>
      </c>
      <c r="HW22" s="280">
        <v>167.4</v>
      </c>
      <c r="HX22" s="280">
        <v>180.1</v>
      </c>
      <c r="HY22" s="285" t="s">
        <v>32</v>
      </c>
      <c r="HZ22" s="280"/>
      <c r="IA22" s="281"/>
      <c r="IB22" s="281">
        <v>2.6</v>
      </c>
      <c r="IC22" s="280">
        <v>2.6</v>
      </c>
      <c r="ID22" s="280"/>
      <c r="IE22" s="281"/>
      <c r="IF22" s="281">
        <v>3.2</v>
      </c>
      <c r="IG22" s="280">
        <v>3.4</v>
      </c>
      <c r="IH22" s="280">
        <v>2.9</v>
      </c>
      <c r="II22" s="280"/>
      <c r="IJ22" s="285" t="s">
        <v>32</v>
      </c>
      <c r="IK22" s="281"/>
      <c r="IL22" s="281"/>
      <c r="IM22" s="281"/>
      <c r="IN22" s="281"/>
      <c r="IO22" s="281"/>
      <c r="IP22" s="281"/>
      <c r="IQ22" s="281"/>
      <c r="IR22" s="281"/>
      <c r="IS22" s="281"/>
      <c r="IT22" s="281"/>
      <c r="IU22" s="285" t="s">
        <v>32</v>
      </c>
      <c r="IV22" s="281">
        <v>22.9</v>
      </c>
      <c r="IW22" s="281">
        <v>32.4</v>
      </c>
      <c r="IX22" s="281">
        <v>36</v>
      </c>
      <c r="IY22" s="281">
        <v>31.3</v>
      </c>
      <c r="IZ22" s="281">
        <v>19.899999999999999</v>
      </c>
      <c r="JA22" s="281">
        <v>30.9</v>
      </c>
      <c r="JB22" s="281">
        <v>27.3</v>
      </c>
      <c r="JC22" s="281">
        <v>20.6</v>
      </c>
      <c r="JD22" s="280">
        <v>17.8</v>
      </c>
      <c r="JE22" s="281">
        <v>26.9</v>
      </c>
      <c r="JF22" s="285" t="s">
        <v>32</v>
      </c>
      <c r="JG22" s="281">
        <v>58.9</v>
      </c>
      <c r="JH22" s="281">
        <v>57.5</v>
      </c>
      <c r="JI22" s="281">
        <v>60.8</v>
      </c>
      <c r="JJ22" s="281">
        <v>61.6</v>
      </c>
      <c r="JK22" s="281">
        <v>43.9</v>
      </c>
      <c r="JL22" s="281">
        <v>41.2</v>
      </c>
      <c r="JM22" s="281">
        <v>42</v>
      </c>
      <c r="JN22" s="281">
        <v>41.7</v>
      </c>
      <c r="JO22" s="281">
        <v>36.6</v>
      </c>
      <c r="JP22" s="281">
        <v>41.8</v>
      </c>
      <c r="JQ22" s="285" t="s">
        <v>32</v>
      </c>
      <c r="JR22" s="281">
        <v>20.8</v>
      </c>
      <c r="JS22" s="281">
        <v>28</v>
      </c>
      <c r="JT22" s="281">
        <v>29.7</v>
      </c>
      <c r="JU22" s="280">
        <v>27</v>
      </c>
      <c r="JV22" s="280">
        <v>16.399999999999999</v>
      </c>
      <c r="JW22" s="280">
        <v>18.899999999999999</v>
      </c>
      <c r="JX22" s="280">
        <v>21.2</v>
      </c>
      <c r="JY22" s="280">
        <v>16.7</v>
      </c>
      <c r="JZ22" s="281">
        <v>17.899999999999999</v>
      </c>
      <c r="KA22" s="280">
        <v>22.5</v>
      </c>
      <c r="KB22" s="285" t="s">
        <v>32</v>
      </c>
      <c r="KC22" s="281">
        <v>22</v>
      </c>
      <c r="KD22" s="281">
        <v>19.899999999999999</v>
      </c>
      <c r="KE22" s="281">
        <v>21.4</v>
      </c>
      <c r="KF22" s="281">
        <v>24.4</v>
      </c>
      <c r="KG22" s="281">
        <v>13.7</v>
      </c>
      <c r="KH22" s="280">
        <v>14.4</v>
      </c>
      <c r="KI22" s="281">
        <v>18.899999999999999</v>
      </c>
      <c r="KJ22" s="281">
        <v>18.3</v>
      </c>
      <c r="KK22" s="280">
        <v>14.2</v>
      </c>
      <c r="KL22" s="281">
        <v>16.8</v>
      </c>
      <c r="KM22" s="285" t="s">
        <v>32</v>
      </c>
      <c r="KN22" s="281">
        <v>8.1</v>
      </c>
      <c r="KO22" s="280">
        <v>8.1999999999999993</v>
      </c>
      <c r="KP22" s="281">
        <v>9.8000000000000007</v>
      </c>
      <c r="KQ22" s="281">
        <v>9.8000000000000007</v>
      </c>
      <c r="KR22" s="281">
        <v>9.4</v>
      </c>
      <c r="KS22" s="281">
        <v>11.3</v>
      </c>
      <c r="KT22" s="280">
        <v>9.6999999999999993</v>
      </c>
      <c r="KU22" s="281">
        <v>8.6</v>
      </c>
      <c r="KV22" s="281">
        <v>7</v>
      </c>
      <c r="KW22" s="281">
        <v>7.3</v>
      </c>
      <c r="KX22" s="285" t="s">
        <v>32</v>
      </c>
      <c r="KY22" s="281">
        <v>13.8</v>
      </c>
      <c r="KZ22" s="281">
        <v>18.600000000000001</v>
      </c>
      <c r="LA22" s="281">
        <v>21.1</v>
      </c>
      <c r="LB22" s="281">
        <v>16.8</v>
      </c>
      <c r="LC22" s="281">
        <v>14</v>
      </c>
      <c r="LD22" s="281">
        <v>13.1</v>
      </c>
      <c r="LE22" s="281">
        <v>17.2</v>
      </c>
      <c r="LF22" s="281">
        <v>13.7</v>
      </c>
      <c r="LG22" s="281">
        <v>10.4</v>
      </c>
      <c r="LH22" s="281">
        <v>12.4</v>
      </c>
      <c r="LI22" s="285" t="s">
        <v>32</v>
      </c>
      <c r="LJ22" s="281"/>
      <c r="LK22" s="281">
        <v>2.9</v>
      </c>
      <c r="LL22" s="281">
        <v>4.3</v>
      </c>
      <c r="LM22" s="281">
        <v>4.3</v>
      </c>
      <c r="LN22" s="281"/>
      <c r="LO22" s="281">
        <v>4.7</v>
      </c>
      <c r="LP22" s="281">
        <v>3.2</v>
      </c>
      <c r="LQ22" s="281"/>
      <c r="LR22" s="281"/>
      <c r="LS22" s="281">
        <v>2.7</v>
      </c>
      <c r="LT22" s="285" t="s">
        <v>32</v>
      </c>
      <c r="LU22" s="281"/>
      <c r="LV22" s="281"/>
      <c r="LW22" s="281"/>
      <c r="LX22" s="281"/>
      <c r="LY22" s="281"/>
      <c r="LZ22" s="281"/>
      <c r="MA22" s="281"/>
      <c r="MB22" s="281"/>
      <c r="MC22" s="281"/>
      <c r="MD22" s="281"/>
      <c r="ME22" s="285" t="s">
        <v>32</v>
      </c>
      <c r="MF22" s="281">
        <v>5.2</v>
      </c>
      <c r="MG22" s="281">
        <v>6.2</v>
      </c>
      <c r="MH22" s="281">
        <v>7.3</v>
      </c>
      <c r="MI22" s="281">
        <v>5.0999999999999996</v>
      </c>
      <c r="MJ22" s="281"/>
      <c r="MK22" s="281">
        <v>3.1</v>
      </c>
      <c r="ML22" s="281">
        <v>3.7</v>
      </c>
      <c r="MM22" s="281">
        <v>4.5</v>
      </c>
      <c r="MN22" s="281">
        <v>4.8</v>
      </c>
      <c r="MO22" s="281">
        <v>4.9000000000000004</v>
      </c>
      <c r="MP22" s="285" t="s">
        <v>32</v>
      </c>
      <c r="MQ22" s="280">
        <v>20.100000000000001</v>
      </c>
      <c r="MR22" s="281">
        <v>21.3</v>
      </c>
      <c r="MS22" s="281">
        <v>23.6</v>
      </c>
      <c r="MT22" s="281">
        <v>23.7</v>
      </c>
      <c r="MU22" s="281">
        <v>20.2</v>
      </c>
      <c r="MV22" s="281">
        <v>21.6</v>
      </c>
      <c r="MW22" s="281">
        <v>22.2</v>
      </c>
      <c r="MX22" s="281">
        <v>19.899999999999999</v>
      </c>
      <c r="MY22" s="281">
        <v>17</v>
      </c>
      <c r="MZ22" s="281">
        <v>19.899999999999999</v>
      </c>
      <c r="NA22" s="285" t="s">
        <v>32</v>
      </c>
      <c r="NB22" s="281">
        <v>120.9</v>
      </c>
      <c r="NC22" s="281">
        <v>155.5</v>
      </c>
      <c r="ND22" s="281">
        <v>169.5</v>
      </c>
      <c r="NE22" s="281">
        <v>173.8</v>
      </c>
      <c r="NF22" s="281">
        <v>158.6</v>
      </c>
      <c r="NG22" s="281">
        <v>172.6</v>
      </c>
      <c r="NH22" s="281">
        <v>168.1</v>
      </c>
      <c r="NI22" s="281">
        <v>159.5</v>
      </c>
      <c r="NJ22" s="281">
        <v>156.30000000000001</v>
      </c>
      <c r="NK22" s="281">
        <v>154.4</v>
      </c>
      <c r="NL22" s="285" t="s">
        <v>32</v>
      </c>
      <c r="NM22" s="281">
        <v>25</v>
      </c>
      <c r="NN22" s="281">
        <v>24.2</v>
      </c>
      <c r="NO22" s="281">
        <v>21.3</v>
      </c>
      <c r="NP22" s="281">
        <v>23.5</v>
      </c>
      <c r="NQ22" s="281">
        <v>18.7</v>
      </c>
      <c r="NR22" s="281">
        <v>19</v>
      </c>
      <c r="NS22" s="280">
        <v>19.5</v>
      </c>
      <c r="NT22" s="281">
        <v>21.8</v>
      </c>
      <c r="NU22" s="281">
        <v>19.600000000000001</v>
      </c>
      <c r="NV22" s="281">
        <v>18</v>
      </c>
      <c r="NW22" s="285" t="s">
        <v>32</v>
      </c>
      <c r="NX22" s="281">
        <v>18.899999999999999</v>
      </c>
      <c r="NY22" s="281">
        <v>17.600000000000001</v>
      </c>
      <c r="NZ22" s="281">
        <v>17.100000000000001</v>
      </c>
      <c r="OA22" s="281">
        <v>15.4</v>
      </c>
      <c r="OB22" s="281">
        <v>12.4</v>
      </c>
      <c r="OC22" s="281">
        <v>12</v>
      </c>
      <c r="OD22" s="281">
        <v>10.7</v>
      </c>
      <c r="OE22" s="281">
        <v>11.5</v>
      </c>
      <c r="OF22" s="281">
        <v>10.4</v>
      </c>
      <c r="OG22" s="281">
        <v>11.8</v>
      </c>
      <c r="OH22" s="296" t="s">
        <v>32</v>
      </c>
      <c r="OI22" s="297">
        <v>7.4</v>
      </c>
      <c r="OJ22" s="297">
        <v>7.1</v>
      </c>
      <c r="OK22" s="297">
        <v>7.8</v>
      </c>
      <c r="OL22" s="297">
        <v>6.9</v>
      </c>
      <c r="OM22" s="297">
        <v>6.4</v>
      </c>
      <c r="ON22" s="297">
        <v>6.2</v>
      </c>
      <c r="OO22" s="297">
        <v>6</v>
      </c>
      <c r="OP22" s="297">
        <v>5.0999999999999996</v>
      </c>
      <c r="OQ22" s="297">
        <v>4.9000000000000004</v>
      </c>
      <c r="OR22" s="297">
        <v>4.4000000000000004</v>
      </c>
      <c r="OS22" s="285" t="s">
        <v>32</v>
      </c>
      <c r="OT22" s="280"/>
      <c r="OU22" s="280"/>
      <c r="OV22" s="280"/>
      <c r="OW22" s="280"/>
      <c r="OX22" s="280"/>
      <c r="OY22" s="280"/>
      <c r="OZ22" s="280"/>
      <c r="PA22" s="280"/>
      <c r="PB22" s="280"/>
      <c r="PC22" s="280"/>
    </row>
    <row r="23" spans="1:419">
      <c r="A23" s="269">
        <v>14</v>
      </c>
      <c r="B23" s="285" t="s">
        <v>44</v>
      </c>
      <c r="C23" s="286">
        <v>10.199999999999999</v>
      </c>
      <c r="D23" s="286">
        <v>15.3</v>
      </c>
      <c r="E23" s="286">
        <v>15.9</v>
      </c>
      <c r="F23" s="286">
        <v>10.6</v>
      </c>
      <c r="G23" s="286">
        <v>9.1999999999999993</v>
      </c>
      <c r="H23" s="286">
        <v>14.4</v>
      </c>
      <c r="I23" s="286">
        <v>14</v>
      </c>
      <c r="J23" s="286">
        <v>10.4</v>
      </c>
      <c r="K23" s="286">
        <v>8.6</v>
      </c>
      <c r="L23" s="286">
        <v>12.6</v>
      </c>
      <c r="M23" s="285" t="s">
        <v>44</v>
      </c>
      <c r="N23" s="286">
        <v>15.2</v>
      </c>
      <c r="O23" s="286">
        <v>23.6</v>
      </c>
      <c r="P23" s="286">
        <v>24.4</v>
      </c>
      <c r="Q23" s="286">
        <v>16.100000000000001</v>
      </c>
      <c r="R23" s="286">
        <v>13.9</v>
      </c>
      <c r="S23" s="286">
        <v>22.5</v>
      </c>
      <c r="T23" s="286">
        <v>22.6</v>
      </c>
      <c r="U23" s="286">
        <v>16.7</v>
      </c>
      <c r="V23" s="286">
        <v>13.5</v>
      </c>
      <c r="W23" s="286">
        <v>20.8</v>
      </c>
      <c r="X23" s="285" t="s">
        <v>44</v>
      </c>
      <c r="Y23" s="286"/>
      <c r="Z23" s="286"/>
      <c r="AA23" s="286"/>
      <c r="AB23" s="286"/>
      <c r="AC23" s="286"/>
      <c r="AD23" s="286"/>
      <c r="AE23" s="286"/>
      <c r="AF23" s="286"/>
      <c r="AG23" s="286"/>
      <c r="AH23" s="286"/>
      <c r="AI23" s="285" t="s">
        <v>44</v>
      </c>
      <c r="AJ23" s="280">
        <v>2.8</v>
      </c>
      <c r="AK23" s="280">
        <v>9.1</v>
      </c>
      <c r="AL23" s="280">
        <v>10.199999999999999</v>
      </c>
      <c r="AM23" s="280">
        <v>3.8</v>
      </c>
      <c r="AN23" s="280">
        <v>3.4</v>
      </c>
      <c r="AO23" s="280">
        <v>9.1</v>
      </c>
      <c r="AP23" s="280">
        <v>8.6</v>
      </c>
      <c r="AQ23" s="280">
        <v>3.6</v>
      </c>
      <c r="AR23" s="280">
        <v>2.2999999999999998</v>
      </c>
      <c r="AS23" s="280">
        <v>8</v>
      </c>
      <c r="AT23" s="285" t="s">
        <v>44</v>
      </c>
      <c r="AU23" s="280">
        <v>3.6</v>
      </c>
      <c r="AV23" s="280">
        <v>5</v>
      </c>
      <c r="AW23" s="280">
        <v>5.2</v>
      </c>
      <c r="AX23" s="280">
        <v>3.1</v>
      </c>
      <c r="AY23" s="280">
        <v>2.8</v>
      </c>
      <c r="AZ23" s="280">
        <v>4.4000000000000004</v>
      </c>
      <c r="BA23" s="280">
        <v>5.3</v>
      </c>
      <c r="BB23" s="280">
        <v>4.4000000000000004</v>
      </c>
      <c r="BC23" s="280">
        <v>3.3</v>
      </c>
      <c r="BD23" s="280">
        <v>3.8</v>
      </c>
      <c r="BE23" s="285" t="s">
        <v>44</v>
      </c>
      <c r="BF23" s="280">
        <v>4.5999999999999996</v>
      </c>
      <c r="BG23" s="280">
        <v>5.5</v>
      </c>
      <c r="BH23" s="280">
        <v>4.5999999999999996</v>
      </c>
      <c r="BI23" s="280">
        <v>4.8</v>
      </c>
      <c r="BJ23" s="280">
        <v>4.3</v>
      </c>
      <c r="BK23" s="280">
        <v>5</v>
      </c>
      <c r="BL23" s="280">
        <v>4.2</v>
      </c>
      <c r="BM23" s="280">
        <v>4.4000000000000004</v>
      </c>
      <c r="BN23" s="280">
        <v>4.8</v>
      </c>
      <c r="BO23" s="280">
        <v>5.2</v>
      </c>
      <c r="BP23" s="285" t="s">
        <v>44</v>
      </c>
      <c r="BQ23" s="283">
        <v>0</v>
      </c>
      <c r="BR23" s="283">
        <v>0</v>
      </c>
      <c r="BS23" s="283">
        <v>0</v>
      </c>
      <c r="BT23" s="283">
        <v>0</v>
      </c>
      <c r="BU23" s="283">
        <v>0</v>
      </c>
      <c r="BV23" s="283">
        <v>0</v>
      </c>
      <c r="BW23" s="283">
        <v>0</v>
      </c>
      <c r="BX23" s="283">
        <v>0</v>
      </c>
      <c r="BY23" s="283">
        <v>0</v>
      </c>
      <c r="BZ23" s="283">
        <v>0</v>
      </c>
      <c r="CA23" s="285" t="s">
        <v>44</v>
      </c>
      <c r="CB23" s="283"/>
      <c r="CC23" s="283"/>
      <c r="CD23" s="283"/>
      <c r="CE23" s="283"/>
      <c r="CF23" s="283"/>
      <c r="CG23" s="283"/>
      <c r="CH23" s="283"/>
      <c r="CI23" s="283"/>
      <c r="CJ23" s="283"/>
      <c r="CK23" s="283"/>
      <c r="CL23" s="285" t="s">
        <v>44</v>
      </c>
      <c r="CM23" s="286">
        <v>4.0999999999999996</v>
      </c>
      <c r="CN23" s="286">
        <v>8.6</v>
      </c>
      <c r="CO23" s="286">
        <v>9.6</v>
      </c>
      <c r="CP23" s="286">
        <v>4.9000000000000004</v>
      </c>
      <c r="CQ23" s="286">
        <v>4</v>
      </c>
      <c r="CR23" s="286">
        <v>7.3</v>
      </c>
      <c r="CS23" s="286">
        <v>6.9</v>
      </c>
      <c r="CT23" s="286">
        <v>5</v>
      </c>
      <c r="CU23" s="286">
        <v>3.2</v>
      </c>
      <c r="CV23" s="286">
        <v>6.1</v>
      </c>
      <c r="CW23" s="285" t="s">
        <v>44</v>
      </c>
      <c r="CX23" s="286">
        <v>5.5</v>
      </c>
      <c r="CY23" s="286">
        <v>8.5</v>
      </c>
      <c r="CZ23" s="286">
        <v>8.8000000000000007</v>
      </c>
      <c r="DA23" s="286">
        <v>6.3</v>
      </c>
      <c r="DB23" s="286">
        <v>4.5999999999999996</v>
      </c>
      <c r="DC23" s="286">
        <v>7.4</v>
      </c>
      <c r="DD23" s="286">
        <v>7.7</v>
      </c>
      <c r="DE23" s="286">
        <v>5.8</v>
      </c>
      <c r="DF23" s="286">
        <v>5.0999999999999996</v>
      </c>
      <c r="DG23" s="286">
        <v>7.5</v>
      </c>
      <c r="DH23" s="285" t="s">
        <v>44</v>
      </c>
      <c r="DI23" s="286">
        <v>5.6</v>
      </c>
      <c r="DJ23" s="286">
        <v>6.4</v>
      </c>
      <c r="DK23" s="286">
        <v>6</v>
      </c>
      <c r="DL23" s="286">
        <v>4.9000000000000004</v>
      </c>
      <c r="DM23" s="286">
        <v>5.3</v>
      </c>
      <c r="DN23" s="286">
        <v>7.7</v>
      </c>
      <c r="DO23" s="286">
        <v>8</v>
      </c>
      <c r="DP23" s="286">
        <v>5.9</v>
      </c>
      <c r="DQ23" s="286">
        <v>5.2</v>
      </c>
      <c r="DR23" s="286">
        <v>7.2</v>
      </c>
      <c r="DS23" s="285" t="s">
        <v>44</v>
      </c>
      <c r="DT23" s="287"/>
      <c r="DU23" s="287"/>
      <c r="DV23" s="287"/>
      <c r="DW23" s="287"/>
      <c r="DX23" s="287"/>
      <c r="DY23" s="287"/>
      <c r="DZ23" s="287"/>
      <c r="EA23" s="287"/>
      <c r="EB23" s="287"/>
      <c r="EC23" s="287"/>
      <c r="ED23" s="285" t="s">
        <v>44</v>
      </c>
      <c r="EE23" s="281"/>
      <c r="EF23" s="281"/>
      <c r="EG23" s="281"/>
      <c r="EH23" s="281"/>
      <c r="EI23" s="281"/>
      <c r="EJ23" s="281"/>
      <c r="EK23" s="281"/>
      <c r="EL23" s="281"/>
      <c r="EM23" s="281"/>
      <c r="EN23" s="281"/>
      <c r="EO23" s="285" t="s">
        <v>44</v>
      </c>
      <c r="EP23" s="280">
        <v>5.0999999999999996</v>
      </c>
      <c r="EQ23" s="280">
        <v>5.8</v>
      </c>
      <c r="ER23" s="280">
        <v>4.3</v>
      </c>
      <c r="ES23" s="280">
        <v>4.2</v>
      </c>
      <c r="ET23" s="280">
        <v>4</v>
      </c>
      <c r="EU23" s="280">
        <v>5.2</v>
      </c>
      <c r="EV23" s="280">
        <v>4.4000000000000004</v>
      </c>
      <c r="EW23" s="280">
        <v>3.5</v>
      </c>
      <c r="EX23" s="280">
        <v>3.3</v>
      </c>
      <c r="EY23" s="280">
        <v>4.4000000000000004</v>
      </c>
      <c r="EZ23" s="285" t="s">
        <v>44</v>
      </c>
      <c r="FA23" s="280">
        <v>2.2000000000000002</v>
      </c>
      <c r="FB23" s="280">
        <v>2.7</v>
      </c>
      <c r="FC23" s="280">
        <v>2.9</v>
      </c>
      <c r="FD23" s="280">
        <v>2.4</v>
      </c>
      <c r="FE23" s="280">
        <v>2.5</v>
      </c>
      <c r="FF23" s="280">
        <v>2.7</v>
      </c>
      <c r="FG23" s="280">
        <v>2.5</v>
      </c>
      <c r="FH23" s="280">
        <v>2.9</v>
      </c>
      <c r="FI23" s="280">
        <v>2.6</v>
      </c>
      <c r="FJ23" s="280">
        <v>2.6</v>
      </c>
      <c r="FK23" s="285" t="s">
        <v>44</v>
      </c>
      <c r="FL23" s="281"/>
      <c r="FM23" s="281"/>
      <c r="FN23" s="281"/>
      <c r="FO23" s="280"/>
      <c r="FP23" s="281"/>
      <c r="FQ23" s="281"/>
      <c r="FR23" s="280"/>
      <c r="FS23" s="280"/>
      <c r="FT23" s="281"/>
      <c r="FU23" s="281"/>
      <c r="FV23" s="285" t="s">
        <v>44</v>
      </c>
      <c r="FW23" s="280">
        <v>3.9</v>
      </c>
      <c r="FX23" s="280">
        <v>6.5</v>
      </c>
      <c r="FY23" s="280">
        <v>7.2</v>
      </c>
      <c r="FZ23" s="280">
        <v>4.8</v>
      </c>
      <c r="GA23" s="280">
        <v>3.2</v>
      </c>
      <c r="GB23" s="280">
        <v>5.8</v>
      </c>
      <c r="GC23" s="280">
        <v>7.2</v>
      </c>
      <c r="GD23" s="280">
        <v>5.2</v>
      </c>
      <c r="GE23" s="280">
        <v>4.0999999999999996</v>
      </c>
      <c r="GF23" s="280">
        <v>6.8</v>
      </c>
      <c r="GG23" s="285" t="s">
        <v>44</v>
      </c>
      <c r="GH23" s="281"/>
      <c r="GI23" s="281"/>
      <c r="GJ23" s="281"/>
      <c r="GK23" s="281"/>
      <c r="GL23" s="281"/>
      <c r="GM23" s="281"/>
      <c r="GN23" s="281"/>
      <c r="GO23" s="281"/>
      <c r="GP23" s="281"/>
      <c r="GQ23" s="281"/>
      <c r="GR23" s="285" t="s">
        <v>44</v>
      </c>
      <c r="GS23" s="280"/>
      <c r="GT23" s="281">
        <v>1.3</v>
      </c>
      <c r="GU23" s="280">
        <v>1.7</v>
      </c>
      <c r="GV23" s="280">
        <v>1</v>
      </c>
      <c r="GW23" s="280"/>
      <c r="GX23" s="281">
        <v>1.1000000000000001</v>
      </c>
      <c r="GY23" s="280"/>
      <c r="GZ23" s="281"/>
      <c r="HA23" s="281"/>
      <c r="HB23" s="281"/>
      <c r="HC23" s="285" t="s">
        <v>44</v>
      </c>
      <c r="HD23" s="281"/>
      <c r="HE23" s="281"/>
      <c r="HF23" s="281"/>
      <c r="HG23" s="280"/>
      <c r="HH23" s="281"/>
      <c r="HI23" s="281"/>
      <c r="HJ23" s="281"/>
      <c r="HK23" s="280"/>
      <c r="HL23" s="281"/>
      <c r="HM23" s="281"/>
      <c r="HN23" s="285" t="s">
        <v>44</v>
      </c>
      <c r="HO23" s="280"/>
      <c r="HP23" s="281">
        <v>4.8</v>
      </c>
      <c r="HQ23" s="280">
        <v>4.5999999999999996</v>
      </c>
      <c r="HR23" s="280">
        <v>1.7</v>
      </c>
      <c r="HS23" s="280"/>
      <c r="HT23" s="281">
        <v>4.3</v>
      </c>
      <c r="HU23" s="280">
        <v>3.9</v>
      </c>
      <c r="HV23" s="280">
        <v>1.7</v>
      </c>
      <c r="HW23" s="280"/>
      <c r="HX23" s="281">
        <v>2.7</v>
      </c>
      <c r="HY23" s="285" t="s">
        <v>44</v>
      </c>
      <c r="HZ23" s="281"/>
      <c r="IA23" s="281"/>
      <c r="IB23" s="281"/>
      <c r="IC23" s="281"/>
      <c r="ID23" s="281"/>
      <c r="IE23" s="281"/>
      <c r="IF23" s="281"/>
      <c r="IG23" s="281"/>
      <c r="IH23" s="281"/>
      <c r="II23" s="281"/>
      <c r="IJ23" s="285" t="s">
        <v>44</v>
      </c>
      <c r="IK23" s="281"/>
      <c r="IL23" s="281"/>
      <c r="IM23" s="281"/>
      <c r="IN23" s="281"/>
      <c r="IO23" s="281"/>
      <c r="IP23" s="281"/>
      <c r="IQ23" s="281"/>
      <c r="IR23" s="281"/>
      <c r="IS23" s="281"/>
      <c r="IT23" s="281"/>
      <c r="IU23" s="285" t="s">
        <v>44</v>
      </c>
      <c r="IV23" s="280"/>
      <c r="IW23" s="280"/>
      <c r="IX23" s="280"/>
      <c r="IY23" s="280"/>
      <c r="IZ23" s="280"/>
      <c r="JA23" s="280"/>
      <c r="JB23" s="280"/>
      <c r="JC23" s="280"/>
      <c r="JD23" s="280"/>
      <c r="JE23" s="280"/>
      <c r="JF23" s="285" t="s">
        <v>44</v>
      </c>
      <c r="JG23" s="280"/>
      <c r="JH23" s="280">
        <v>2</v>
      </c>
      <c r="JI23" s="280">
        <v>2.1</v>
      </c>
      <c r="JJ23" s="280">
        <v>1.2</v>
      </c>
      <c r="JK23" s="280">
        <v>1.4</v>
      </c>
      <c r="JL23" s="280">
        <v>1.8</v>
      </c>
      <c r="JM23" s="280">
        <v>1.9</v>
      </c>
      <c r="JN23" s="280">
        <v>1.9</v>
      </c>
      <c r="JO23" s="280">
        <v>1.1000000000000001</v>
      </c>
      <c r="JP23" s="280"/>
      <c r="JQ23" s="285" t="s">
        <v>44</v>
      </c>
      <c r="JR23" s="280"/>
      <c r="JS23" s="280"/>
      <c r="JT23" s="280">
        <v>1.5</v>
      </c>
      <c r="JU23" s="280"/>
      <c r="JV23" s="280"/>
      <c r="JW23" s="280">
        <v>1.1000000000000001</v>
      </c>
      <c r="JX23" s="280">
        <v>1</v>
      </c>
      <c r="JY23" s="280"/>
      <c r="JZ23" s="280"/>
      <c r="KA23" s="280"/>
      <c r="KB23" s="285" t="s">
        <v>44</v>
      </c>
      <c r="KC23" s="280">
        <v>1.8</v>
      </c>
      <c r="KD23" s="280">
        <v>1.4</v>
      </c>
      <c r="KE23" s="280">
        <v>2.7</v>
      </c>
      <c r="KF23" s="280">
        <v>2.1</v>
      </c>
      <c r="KG23" s="280">
        <v>1.4</v>
      </c>
      <c r="KH23" s="280">
        <v>2.1</v>
      </c>
      <c r="KI23" s="280">
        <v>2.9</v>
      </c>
      <c r="KJ23" s="280">
        <v>1.9</v>
      </c>
      <c r="KK23" s="280">
        <v>1.2</v>
      </c>
      <c r="KL23" s="280">
        <v>1.7</v>
      </c>
      <c r="KM23" s="285" t="s">
        <v>44</v>
      </c>
      <c r="KN23" s="280"/>
      <c r="KO23" s="280"/>
      <c r="KP23" s="280">
        <v>1.5</v>
      </c>
      <c r="KQ23" s="280"/>
      <c r="KR23" s="280"/>
      <c r="KS23" s="280">
        <v>1.6</v>
      </c>
      <c r="KT23" s="280">
        <v>2.2000000000000002</v>
      </c>
      <c r="KU23" s="280">
        <v>1.1000000000000001</v>
      </c>
      <c r="KV23" s="280">
        <v>1.3</v>
      </c>
      <c r="KW23" s="280">
        <v>1.5</v>
      </c>
      <c r="KX23" s="285" t="s">
        <v>44</v>
      </c>
      <c r="KY23" s="280"/>
      <c r="KZ23" s="280">
        <v>1.6</v>
      </c>
      <c r="LA23" s="280">
        <v>2.2999999999999998</v>
      </c>
      <c r="LB23" s="280"/>
      <c r="LC23" s="280">
        <v>1.3</v>
      </c>
      <c r="LD23" s="280">
        <v>2.5</v>
      </c>
      <c r="LE23" s="280">
        <v>2.2999999999999998</v>
      </c>
      <c r="LF23" s="280"/>
      <c r="LG23" s="280"/>
      <c r="LH23" s="280">
        <v>1.5</v>
      </c>
      <c r="LI23" s="285" t="s">
        <v>44</v>
      </c>
      <c r="LJ23" s="280"/>
      <c r="LK23" s="280"/>
      <c r="LL23" s="280"/>
      <c r="LM23" s="280"/>
      <c r="LN23" s="280"/>
      <c r="LO23" s="280"/>
      <c r="LP23" s="280"/>
      <c r="LQ23" s="280"/>
      <c r="LR23" s="280"/>
      <c r="LS23" s="280"/>
      <c r="LT23" s="285" t="s">
        <v>44</v>
      </c>
      <c r="LU23" s="280"/>
      <c r="LV23" s="280"/>
      <c r="LW23" s="280"/>
      <c r="LX23" s="280"/>
      <c r="LY23" s="280"/>
      <c r="LZ23" s="280"/>
      <c r="MA23" s="280"/>
      <c r="MB23" s="280"/>
      <c r="MC23" s="280"/>
      <c r="MD23" s="280"/>
      <c r="ME23" s="285" t="s">
        <v>44</v>
      </c>
      <c r="MF23" s="280"/>
      <c r="MG23" s="280"/>
      <c r="MH23" s="280"/>
      <c r="MI23" s="280"/>
      <c r="MJ23" s="280"/>
      <c r="MK23" s="280"/>
      <c r="ML23" s="280"/>
      <c r="MM23" s="280"/>
      <c r="MN23" s="280"/>
      <c r="MO23" s="280"/>
      <c r="MP23" s="285" t="s">
        <v>44</v>
      </c>
      <c r="MQ23" s="280"/>
      <c r="MR23" s="280"/>
      <c r="MS23" s="280"/>
      <c r="MT23" s="280"/>
      <c r="MU23" s="280"/>
      <c r="MV23" s="280"/>
      <c r="MW23" s="280"/>
      <c r="MX23" s="280"/>
      <c r="MY23" s="280"/>
      <c r="MZ23" s="280"/>
      <c r="NA23" s="285" t="s">
        <v>44</v>
      </c>
      <c r="NB23" s="280"/>
      <c r="NC23" s="280"/>
      <c r="ND23" s="280"/>
      <c r="NE23" s="280"/>
      <c r="NF23" s="280"/>
      <c r="NG23" s="280"/>
      <c r="NH23" s="280"/>
      <c r="NI23" s="280"/>
      <c r="NJ23" s="280"/>
      <c r="NK23" s="280"/>
      <c r="NL23" s="285" t="s">
        <v>44</v>
      </c>
      <c r="NM23" s="280">
        <v>3.9</v>
      </c>
      <c r="NN23" s="280">
        <v>4.4000000000000004</v>
      </c>
      <c r="NO23" s="280">
        <v>2.6</v>
      </c>
      <c r="NP23" s="280">
        <v>3.3</v>
      </c>
      <c r="NQ23" s="280">
        <v>3.6</v>
      </c>
      <c r="NR23" s="280">
        <v>3.7</v>
      </c>
      <c r="NS23" s="280">
        <v>3.2</v>
      </c>
      <c r="NT23" s="280">
        <v>3.4</v>
      </c>
      <c r="NU23" s="280">
        <v>3.2</v>
      </c>
      <c r="NV23" s="280">
        <v>4.0999999999999996</v>
      </c>
      <c r="NW23" s="285" t="s">
        <v>44</v>
      </c>
      <c r="NX23" s="280">
        <v>2.1</v>
      </c>
      <c r="NY23" s="280">
        <v>3.4</v>
      </c>
      <c r="NZ23" s="280">
        <v>3.8</v>
      </c>
      <c r="OA23" s="280">
        <v>2.7</v>
      </c>
      <c r="OB23" s="280">
        <v>1.8</v>
      </c>
      <c r="OC23" s="280">
        <v>2.5</v>
      </c>
      <c r="OD23" s="280">
        <v>2.7</v>
      </c>
      <c r="OE23" s="280">
        <v>1.4</v>
      </c>
      <c r="OF23" s="280">
        <v>1.3</v>
      </c>
      <c r="OG23" s="280">
        <v>2.2999999999999998</v>
      </c>
      <c r="OH23" s="296" t="s">
        <v>44</v>
      </c>
      <c r="OI23" s="297">
        <v>4</v>
      </c>
      <c r="OJ23" s="297">
        <v>4.0999999999999996</v>
      </c>
      <c r="OK23" s="297">
        <v>4.2</v>
      </c>
      <c r="OL23" s="297">
        <v>5</v>
      </c>
      <c r="OM23" s="297">
        <v>3.5</v>
      </c>
      <c r="ON23" s="297">
        <v>3.1</v>
      </c>
      <c r="OO23" s="297">
        <v>3.2</v>
      </c>
      <c r="OP23" s="297">
        <v>3.6</v>
      </c>
      <c r="OQ23" s="297">
        <v>2.6</v>
      </c>
      <c r="OR23" s="297">
        <v>2.5</v>
      </c>
      <c r="OS23" s="285" t="s">
        <v>44</v>
      </c>
      <c r="OT23" s="280">
        <v>21.4</v>
      </c>
      <c r="OU23" s="280">
        <v>-1.5</v>
      </c>
      <c r="OV23" s="280">
        <v>4.7</v>
      </c>
      <c r="OW23" s="280">
        <v>0.2</v>
      </c>
      <c r="OX23" s="280">
        <v>-0.5</v>
      </c>
      <c r="OY23" s="280">
        <v>1.2</v>
      </c>
      <c r="OZ23" s="280">
        <v>2.2000000000000002</v>
      </c>
      <c r="PA23" s="280">
        <v>5.8</v>
      </c>
      <c r="PB23" s="280">
        <v>-3.5</v>
      </c>
      <c r="PC23" s="280">
        <v>1.4</v>
      </c>
    </row>
    <row r="24" spans="1:419">
      <c r="A24" s="269">
        <v>15</v>
      </c>
      <c r="B24" s="285" t="s">
        <v>22</v>
      </c>
      <c r="C24" s="286">
        <v>8.5</v>
      </c>
      <c r="D24" s="286">
        <v>8.9</v>
      </c>
      <c r="E24" s="286">
        <v>9.1999999999999993</v>
      </c>
      <c r="F24" s="286">
        <v>8.1</v>
      </c>
      <c r="G24" s="286">
        <v>7.9</v>
      </c>
      <c r="H24" s="286">
        <v>8.6</v>
      </c>
      <c r="I24" s="286">
        <v>8.6999999999999993</v>
      </c>
      <c r="J24" s="286">
        <v>7.8</v>
      </c>
      <c r="K24" s="286">
        <v>7.1</v>
      </c>
      <c r="L24" s="286">
        <v>7.1</v>
      </c>
      <c r="M24" s="285" t="s">
        <v>22</v>
      </c>
      <c r="N24" s="286">
        <v>132.30000000000001</v>
      </c>
      <c r="O24" s="286">
        <v>140.5</v>
      </c>
      <c r="P24" s="286">
        <v>147.80000000000001</v>
      </c>
      <c r="Q24" s="286">
        <v>129.19999999999999</v>
      </c>
      <c r="R24" s="286">
        <v>125.3</v>
      </c>
      <c r="S24" s="286">
        <v>139.5</v>
      </c>
      <c r="T24" s="286">
        <v>143.1</v>
      </c>
      <c r="U24" s="286">
        <v>130.4</v>
      </c>
      <c r="V24" s="286">
        <v>119.1</v>
      </c>
      <c r="W24" s="286">
        <v>119.1</v>
      </c>
      <c r="X24" s="285" t="s">
        <v>22</v>
      </c>
      <c r="Y24" s="287"/>
      <c r="Z24" s="287">
        <v>4.0999999999999996</v>
      </c>
      <c r="AA24" s="287">
        <v>4</v>
      </c>
      <c r="AB24" s="287">
        <v>4.0999999999999996</v>
      </c>
      <c r="AC24" s="287"/>
      <c r="AD24" s="286"/>
      <c r="AE24" s="286">
        <v>3.6</v>
      </c>
      <c r="AF24" s="286">
        <v>2.7</v>
      </c>
      <c r="AG24" s="286"/>
      <c r="AH24" s="286"/>
      <c r="AI24" s="285" t="s">
        <v>22</v>
      </c>
      <c r="AJ24" s="280">
        <v>2.8</v>
      </c>
      <c r="AK24" s="280">
        <v>7.3</v>
      </c>
      <c r="AL24" s="280">
        <v>14.7</v>
      </c>
      <c r="AM24" s="280">
        <v>8</v>
      </c>
      <c r="AN24" s="280">
        <v>5.0999999999999996</v>
      </c>
      <c r="AO24" s="280">
        <v>7.1</v>
      </c>
      <c r="AP24" s="280">
        <v>14.5</v>
      </c>
      <c r="AQ24" s="280">
        <v>9.1</v>
      </c>
      <c r="AR24" s="280">
        <v>3.5</v>
      </c>
      <c r="AS24" s="280">
        <v>6.6</v>
      </c>
      <c r="AT24" s="285" t="s">
        <v>22</v>
      </c>
      <c r="AU24" s="280">
        <v>7.1</v>
      </c>
      <c r="AV24" s="280">
        <v>9.6</v>
      </c>
      <c r="AW24" s="280">
        <v>10.4</v>
      </c>
      <c r="AX24" s="280">
        <v>8.1</v>
      </c>
      <c r="AY24" s="280">
        <v>4.2</v>
      </c>
      <c r="AZ24" s="280">
        <v>8.6</v>
      </c>
      <c r="BA24" s="280">
        <v>10.3</v>
      </c>
      <c r="BB24" s="280">
        <v>8.1</v>
      </c>
      <c r="BC24" s="280">
        <v>5.3</v>
      </c>
      <c r="BD24" s="280">
        <v>7.9</v>
      </c>
      <c r="BE24" s="285" t="s">
        <v>22</v>
      </c>
      <c r="BF24" s="280">
        <v>19.3</v>
      </c>
      <c r="BG24" s="280">
        <v>21.6</v>
      </c>
      <c r="BH24" s="280">
        <v>22.2</v>
      </c>
      <c r="BI24" s="280">
        <v>18</v>
      </c>
      <c r="BJ24" s="280">
        <v>18</v>
      </c>
      <c r="BK24" s="280">
        <v>19</v>
      </c>
      <c r="BL24" s="280">
        <v>19.899999999999999</v>
      </c>
      <c r="BM24" s="280">
        <v>17.8</v>
      </c>
      <c r="BN24" s="280">
        <v>16.399999999999999</v>
      </c>
      <c r="BO24" s="280">
        <v>16.399999999999999</v>
      </c>
      <c r="BP24" s="285" t="s">
        <v>22</v>
      </c>
      <c r="BQ24" s="283">
        <v>8.4</v>
      </c>
      <c r="BR24" s="283">
        <v>9.6999999999999993</v>
      </c>
      <c r="BS24" s="283">
        <v>13.100000000000001</v>
      </c>
      <c r="BT24" s="283">
        <v>12.399999999999999</v>
      </c>
      <c r="BU24" s="283">
        <v>8.4</v>
      </c>
      <c r="BV24" s="283">
        <v>11.7</v>
      </c>
      <c r="BW24" s="283">
        <v>11.5</v>
      </c>
      <c r="BX24" s="283">
        <v>11.6</v>
      </c>
      <c r="BY24" s="283">
        <v>9.4</v>
      </c>
      <c r="BZ24" s="283">
        <v>9.6999999999999993</v>
      </c>
      <c r="CA24" s="285" t="s">
        <v>22</v>
      </c>
      <c r="CB24" s="283">
        <v>18.2</v>
      </c>
      <c r="CC24" s="283">
        <v>20.100000000000001</v>
      </c>
      <c r="CD24" s="283">
        <v>18.7</v>
      </c>
      <c r="CE24" s="283">
        <v>18.100000000000001</v>
      </c>
      <c r="CF24" s="283">
        <v>15</v>
      </c>
      <c r="CG24" s="283">
        <v>18</v>
      </c>
      <c r="CH24" s="283">
        <v>17</v>
      </c>
      <c r="CI24" s="283">
        <v>16.399999999999999</v>
      </c>
      <c r="CJ24" s="283">
        <v>12.5</v>
      </c>
      <c r="CK24" s="283">
        <v>12</v>
      </c>
      <c r="CL24" s="285" t="s">
        <v>22</v>
      </c>
      <c r="CM24" s="286">
        <v>21.2</v>
      </c>
      <c r="CN24" s="286">
        <v>24.4</v>
      </c>
      <c r="CO24" s="286">
        <v>28.2</v>
      </c>
      <c r="CP24" s="286">
        <v>20</v>
      </c>
      <c r="CQ24" s="286">
        <v>21.5</v>
      </c>
      <c r="CR24" s="286">
        <v>24.2</v>
      </c>
      <c r="CS24" s="286">
        <v>26.8</v>
      </c>
      <c r="CT24" s="286">
        <v>21.3</v>
      </c>
      <c r="CU24" s="286">
        <v>17.7</v>
      </c>
      <c r="CV24" s="286">
        <v>20.6</v>
      </c>
      <c r="CW24" s="285" t="s">
        <v>22</v>
      </c>
      <c r="CX24" s="286">
        <v>54.6</v>
      </c>
      <c r="CY24" s="286">
        <v>59</v>
      </c>
      <c r="CZ24" s="286">
        <v>60.9</v>
      </c>
      <c r="DA24" s="286">
        <v>53.2</v>
      </c>
      <c r="DB24" s="286">
        <v>50</v>
      </c>
      <c r="DC24" s="286">
        <v>60.3</v>
      </c>
      <c r="DD24" s="286">
        <v>56.8</v>
      </c>
      <c r="DE24" s="286">
        <v>52.6</v>
      </c>
      <c r="DF24" s="286">
        <v>49.4</v>
      </c>
      <c r="DG24" s="286">
        <v>49.5</v>
      </c>
      <c r="DH24" s="285" t="s">
        <v>22</v>
      </c>
      <c r="DI24" s="286">
        <v>50.8</v>
      </c>
      <c r="DJ24" s="286">
        <v>51</v>
      </c>
      <c r="DK24" s="286">
        <v>53.3</v>
      </c>
      <c r="DL24" s="286">
        <v>52.4</v>
      </c>
      <c r="DM24" s="286">
        <v>50.3</v>
      </c>
      <c r="DN24" s="286">
        <v>52.2</v>
      </c>
      <c r="DO24" s="286">
        <v>56.1</v>
      </c>
      <c r="DP24" s="286">
        <v>53.6</v>
      </c>
      <c r="DQ24" s="286">
        <v>50.3</v>
      </c>
      <c r="DR24" s="286">
        <v>46.1</v>
      </c>
      <c r="DS24" s="285" t="s">
        <v>22</v>
      </c>
      <c r="DT24" s="287">
        <v>5.7</v>
      </c>
      <c r="DU24" s="287">
        <v>6.1</v>
      </c>
      <c r="DV24" s="287">
        <v>5.3</v>
      </c>
      <c r="DW24" s="286">
        <v>3.6</v>
      </c>
      <c r="DX24" s="286">
        <v>3.5</v>
      </c>
      <c r="DY24" s="286">
        <v>2.8</v>
      </c>
      <c r="DZ24" s="287">
        <v>3.5</v>
      </c>
      <c r="EA24" s="286">
        <v>2.8</v>
      </c>
      <c r="EB24" s="286"/>
      <c r="EC24" s="286">
        <v>2.9</v>
      </c>
      <c r="ED24" s="285" t="s">
        <v>22</v>
      </c>
      <c r="EE24" s="281"/>
      <c r="EF24" s="281"/>
      <c r="EG24" s="281"/>
      <c r="EH24" s="281"/>
      <c r="EI24" s="281"/>
      <c r="EJ24" s="281"/>
      <c r="EK24" s="281"/>
      <c r="EL24" s="280"/>
      <c r="EM24" s="280"/>
      <c r="EN24" s="281"/>
      <c r="EO24" s="285" t="s">
        <v>22</v>
      </c>
      <c r="EP24" s="280">
        <v>24.5</v>
      </c>
      <c r="EQ24" s="280">
        <v>26.8</v>
      </c>
      <c r="ER24" s="280">
        <v>24.6</v>
      </c>
      <c r="ES24" s="280">
        <v>26</v>
      </c>
      <c r="ET24" s="280">
        <v>25.6</v>
      </c>
      <c r="EU24" s="280">
        <v>26.6</v>
      </c>
      <c r="EV24" s="280">
        <v>27.4</v>
      </c>
      <c r="EW24" s="280">
        <v>26.4</v>
      </c>
      <c r="EX24" s="280">
        <v>25.3</v>
      </c>
      <c r="EY24" s="280">
        <v>24.9</v>
      </c>
      <c r="EZ24" s="285" t="s">
        <v>22</v>
      </c>
      <c r="FA24" s="280">
        <v>8.6999999999999993</v>
      </c>
      <c r="FB24" s="280">
        <v>10.8</v>
      </c>
      <c r="FC24" s="280">
        <v>11.5</v>
      </c>
      <c r="FD24" s="280">
        <v>11.4</v>
      </c>
      <c r="FE24" s="280">
        <v>8.1999999999999993</v>
      </c>
      <c r="FF24" s="280">
        <v>10.7</v>
      </c>
      <c r="FG24" s="280">
        <v>11.8</v>
      </c>
      <c r="FH24" s="280">
        <v>11.1</v>
      </c>
      <c r="FI24" s="280">
        <v>8.8000000000000007</v>
      </c>
      <c r="FJ24" s="280">
        <v>8.6</v>
      </c>
      <c r="FK24" s="285" t="s">
        <v>22</v>
      </c>
      <c r="FL24" s="280">
        <v>13.1</v>
      </c>
      <c r="FM24" s="280">
        <v>12.9</v>
      </c>
      <c r="FN24" s="280">
        <v>14.9</v>
      </c>
      <c r="FO24" s="280">
        <v>11.6</v>
      </c>
      <c r="FP24" s="280">
        <v>12.4</v>
      </c>
      <c r="FQ24" s="280">
        <v>14.9</v>
      </c>
      <c r="FR24" s="280">
        <v>14</v>
      </c>
      <c r="FS24" s="280">
        <v>14.6</v>
      </c>
      <c r="FT24" s="280">
        <v>12.7</v>
      </c>
      <c r="FU24" s="280">
        <v>12.5</v>
      </c>
      <c r="FV24" s="285" t="s">
        <v>22</v>
      </c>
      <c r="FW24" s="280">
        <v>40.9</v>
      </c>
      <c r="FX24" s="280">
        <v>43.9</v>
      </c>
      <c r="FY24" s="280">
        <v>47.1</v>
      </c>
      <c r="FZ24" s="280">
        <v>39.9</v>
      </c>
      <c r="GA24" s="280">
        <v>40.200000000000003</v>
      </c>
      <c r="GB24" s="280">
        <v>45.2</v>
      </c>
      <c r="GC24" s="280">
        <v>44</v>
      </c>
      <c r="GD24" s="280">
        <v>40.799999999999997</v>
      </c>
      <c r="GE24" s="280">
        <v>38.4</v>
      </c>
      <c r="GF24" s="280">
        <v>41.9</v>
      </c>
      <c r="GG24" s="285" t="s">
        <v>22</v>
      </c>
      <c r="GH24" s="280"/>
      <c r="GI24" s="281"/>
      <c r="GJ24" s="280"/>
      <c r="GK24" s="280"/>
      <c r="GL24" s="281"/>
      <c r="GM24" s="281"/>
      <c r="GN24" s="280"/>
      <c r="GO24" s="281"/>
      <c r="GP24" s="281"/>
      <c r="GQ24" s="280"/>
      <c r="GR24" s="285" t="s">
        <v>22</v>
      </c>
      <c r="GS24" s="280">
        <v>12.5</v>
      </c>
      <c r="GT24" s="280">
        <v>10.8</v>
      </c>
      <c r="GU24" s="280">
        <v>11.5</v>
      </c>
      <c r="GV24" s="280">
        <v>9.6999999999999993</v>
      </c>
      <c r="GW24" s="280">
        <v>8.5</v>
      </c>
      <c r="GX24" s="280">
        <v>9</v>
      </c>
      <c r="GY24" s="280">
        <v>10.9</v>
      </c>
      <c r="GZ24" s="280">
        <v>7.1</v>
      </c>
      <c r="HA24" s="280">
        <v>6</v>
      </c>
      <c r="HB24" s="280">
        <v>5.6</v>
      </c>
      <c r="HC24" s="285" t="s">
        <v>22</v>
      </c>
      <c r="HD24" s="280">
        <v>7</v>
      </c>
      <c r="HE24" s="280">
        <v>7.8</v>
      </c>
      <c r="HF24" s="280">
        <v>8.6</v>
      </c>
      <c r="HG24" s="280">
        <v>6.5</v>
      </c>
      <c r="HH24" s="280">
        <v>7</v>
      </c>
      <c r="HI24" s="280">
        <v>6.2</v>
      </c>
      <c r="HJ24" s="280">
        <v>6.2</v>
      </c>
      <c r="HK24" s="280">
        <v>6.4</v>
      </c>
      <c r="HL24" s="280">
        <v>4.2</v>
      </c>
      <c r="HM24" s="280">
        <v>5.8</v>
      </c>
      <c r="HN24" s="285" t="s">
        <v>22</v>
      </c>
      <c r="HO24" s="280">
        <v>19.899999999999999</v>
      </c>
      <c r="HP24" s="280">
        <v>22.6</v>
      </c>
      <c r="HQ24" s="280">
        <v>24.4</v>
      </c>
      <c r="HR24" s="280">
        <v>19.2</v>
      </c>
      <c r="HS24" s="280">
        <v>17.7</v>
      </c>
      <c r="HT24" s="280">
        <v>20.9</v>
      </c>
      <c r="HU24" s="280">
        <v>21.7</v>
      </c>
      <c r="HV24" s="280">
        <v>17.2</v>
      </c>
      <c r="HW24" s="280">
        <v>16.7</v>
      </c>
      <c r="HX24" s="280">
        <v>15.2</v>
      </c>
      <c r="HY24" s="285" t="s">
        <v>22</v>
      </c>
      <c r="HZ24" s="281"/>
      <c r="IA24" s="281"/>
      <c r="IB24" s="281"/>
      <c r="IC24" s="281"/>
      <c r="ID24" s="281"/>
      <c r="IE24" s="281"/>
      <c r="IF24" s="281"/>
      <c r="IG24" s="281"/>
      <c r="IH24" s="281"/>
      <c r="II24" s="281"/>
      <c r="IJ24" s="285" t="s">
        <v>22</v>
      </c>
      <c r="IK24" s="281"/>
      <c r="IL24" s="281"/>
      <c r="IM24" s="281"/>
      <c r="IN24" s="281"/>
      <c r="IO24" s="281"/>
      <c r="IP24" s="281"/>
      <c r="IQ24" s="281"/>
      <c r="IR24" s="281"/>
      <c r="IS24" s="281"/>
      <c r="IT24" s="281"/>
      <c r="IU24" s="285" t="s">
        <v>22</v>
      </c>
      <c r="IV24" s="280">
        <v>2.5</v>
      </c>
      <c r="IW24" s="280">
        <v>3</v>
      </c>
      <c r="IX24" s="280">
        <v>4.0999999999999996</v>
      </c>
      <c r="IY24" s="280"/>
      <c r="IZ24" s="281">
        <v>2.5</v>
      </c>
      <c r="JA24" s="281">
        <v>3</v>
      </c>
      <c r="JB24" s="280">
        <v>3.3</v>
      </c>
      <c r="JC24" s="281"/>
      <c r="JD24" s="280">
        <v>2.8</v>
      </c>
      <c r="JE24" s="280"/>
      <c r="JF24" s="285" t="s">
        <v>22</v>
      </c>
      <c r="JG24" s="280">
        <v>15.4</v>
      </c>
      <c r="JH24" s="280">
        <v>13.7</v>
      </c>
      <c r="JI24" s="280">
        <v>15.5</v>
      </c>
      <c r="JJ24" s="280">
        <v>12.8</v>
      </c>
      <c r="JK24" s="280">
        <v>11.7</v>
      </c>
      <c r="JL24" s="280">
        <v>11.4</v>
      </c>
      <c r="JM24" s="280">
        <v>14.5</v>
      </c>
      <c r="JN24" s="280">
        <v>11.6</v>
      </c>
      <c r="JO24" s="280">
        <v>9.1</v>
      </c>
      <c r="JP24" s="280">
        <v>9.3000000000000007</v>
      </c>
      <c r="JQ24" s="285" t="s">
        <v>22</v>
      </c>
      <c r="JR24" s="280">
        <v>9.1</v>
      </c>
      <c r="JS24" s="280">
        <v>10.3</v>
      </c>
      <c r="JT24" s="280">
        <v>11.4</v>
      </c>
      <c r="JU24" s="280">
        <v>9.8000000000000007</v>
      </c>
      <c r="JV24" s="280">
        <v>9.8000000000000007</v>
      </c>
      <c r="JW24" s="280">
        <v>9.5</v>
      </c>
      <c r="JX24" s="280">
        <v>9.1999999999999993</v>
      </c>
      <c r="JY24" s="280">
        <v>7.6</v>
      </c>
      <c r="JZ24" s="280">
        <v>8.3000000000000007</v>
      </c>
      <c r="KA24" s="280">
        <v>8.4</v>
      </c>
      <c r="KB24" s="285" t="s">
        <v>22</v>
      </c>
      <c r="KC24" s="280">
        <v>22</v>
      </c>
      <c r="KD24" s="280">
        <v>21.6</v>
      </c>
      <c r="KE24" s="280">
        <v>23.2</v>
      </c>
      <c r="KF24" s="280">
        <v>20.7</v>
      </c>
      <c r="KG24" s="280">
        <v>18.899999999999999</v>
      </c>
      <c r="KH24" s="280">
        <v>21.2</v>
      </c>
      <c r="KI24" s="280">
        <v>20.7</v>
      </c>
      <c r="KJ24" s="280">
        <v>20.100000000000001</v>
      </c>
      <c r="KK24" s="280">
        <v>15.8</v>
      </c>
      <c r="KL24" s="280">
        <v>18.600000000000001</v>
      </c>
      <c r="KM24" s="285" t="s">
        <v>22</v>
      </c>
      <c r="KN24" s="280">
        <v>4</v>
      </c>
      <c r="KO24" s="280">
        <v>3.8</v>
      </c>
      <c r="KP24" s="280">
        <v>3.9</v>
      </c>
      <c r="KQ24" s="281">
        <v>3.8</v>
      </c>
      <c r="KR24" s="280">
        <v>3.2</v>
      </c>
      <c r="KS24" s="280">
        <v>3.4</v>
      </c>
      <c r="KT24" s="280">
        <v>4.2</v>
      </c>
      <c r="KU24" s="280">
        <v>3.4</v>
      </c>
      <c r="KV24" s="280">
        <v>2.5</v>
      </c>
      <c r="KW24" s="280"/>
      <c r="KX24" s="285" t="s">
        <v>22</v>
      </c>
      <c r="KY24" s="280">
        <v>15.2</v>
      </c>
      <c r="KZ24" s="280">
        <v>18.2</v>
      </c>
      <c r="LA24" s="280">
        <v>19.100000000000001</v>
      </c>
      <c r="LB24" s="280">
        <v>14.9</v>
      </c>
      <c r="LC24" s="280">
        <v>14.1</v>
      </c>
      <c r="LD24" s="280">
        <v>19.600000000000001</v>
      </c>
      <c r="LE24" s="280">
        <v>19.3</v>
      </c>
      <c r="LF24" s="280">
        <v>16.7</v>
      </c>
      <c r="LG24" s="280">
        <v>16.399999999999999</v>
      </c>
      <c r="LH24" s="280">
        <v>16.5</v>
      </c>
      <c r="LI24" s="285" t="s">
        <v>22</v>
      </c>
      <c r="LJ24" s="281">
        <v>3.3</v>
      </c>
      <c r="LK24" s="280">
        <v>3.8</v>
      </c>
      <c r="LL24" s="280">
        <v>3.7</v>
      </c>
      <c r="LM24" s="280">
        <v>4</v>
      </c>
      <c r="LN24" s="280">
        <v>4.9000000000000004</v>
      </c>
      <c r="LO24" s="280">
        <v>4.5</v>
      </c>
      <c r="LP24" s="280">
        <v>3.7</v>
      </c>
      <c r="LQ24" s="280">
        <v>3.7</v>
      </c>
      <c r="LR24" s="280">
        <v>3.2</v>
      </c>
      <c r="LS24" s="280">
        <v>2.5</v>
      </c>
      <c r="LT24" s="285" t="s">
        <v>22</v>
      </c>
      <c r="LU24" s="281">
        <v>3.6</v>
      </c>
      <c r="LV24" s="281">
        <v>3.5</v>
      </c>
      <c r="LW24" s="281">
        <v>3.7</v>
      </c>
      <c r="LX24" s="281">
        <v>3.3</v>
      </c>
      <c r="LY24" s="281">
        <v>2.9</v>
      </c>
      <c r="LZ24" s="281">
        <v>3</v>
      </c>
      <c r="MA24" s="281">
        <v>3.4</v>
      </c>
      <c r="MB24" s="281">
        <v>3.4</v>
      </c>
      <c r="MC24" s="280">
        <v>3.1</v>
      </c>
      <c r="MD24" s="281">
        <v>2.8</v>
      </c>
      <c r="ME24" s="285" t="s">
        <v>22</v>
      </c>
      <c r="MF24" s="280">
        <v>4.5</v>
      </c>
      <c r="MG24" s="280">
        <v>5.0999999999999996</v>
      </c>
      <c r="MH24" s="280">
        <v>5.7</v>
      </c>
      <c r="MI24" s="280">
        <v>5.3</v>
      </c>
      <c r="MJ24" s="280">
        <v>3.9</v>
      </c>
      <c r="MK24" s="280">
        <v>6.3</v>
      </c>
      <c r="ML24" s="280">
        <v>7.2</v>
      </c>
      <c r="MM24" s="280">
        <v>5.3</v>
      </c>
      <c r="MN24" s="280">
        <v>5.8</v>
      </c>
      <c r="MO24" s="280">
        <v>5.4</v>
      </c>
      <c r="MP24" s="285" t="s">
        <v>22</v>
      </c>
      <c r="MQ24" s="280">
        <v>4.5</v>
      </c>
      <c r="MR24" s="280">
        <v>5.2</v>
      </c>
      <c r="MS24" s="280">
        <v>5.0999999999999996</v>
      </c>
      <c r="MT24" s="280">
        <v>5.8</v>
      </c>
      <c r="MU24" s="280">
        <v>5.5</v>
      </c>
      <c r="MV24" s="280">
        <v>7.5</v>
      </c>
      <c r="MW24" s="280">
        <v>6.8</v>
      </c>
      <c r="MX24" s="280">
        <v>6.1</v>
      </c>
      <c r="MY24" s="280">
        <v>5.8</v>
      </c>
      <c r="MZ24" s="280">
        <v>5.2</v>
      </c>
      <c r="NA24" s="285" t="s">
        <v>22</v>
      </c>
      <c r="NB24" s="280">
        <v>3</v>
      </c>
      <c r="NC24" s="280">
        <v>3.6</v>
      </c>
      <c r="ND24" s="280">
        <v>3.3</v>
      </c>
      <c r="NE24" s="280">
        <v>3.3</v>
      </c>
      <c r="NF24" s="280">
        <v>3.5</v>
      </c>
      <c r="NG24" s="280">
        <v>5.0999999999999996</v>
      </c>
      <c r="NH24" s="280">
        <v>4.7</v>
      </c>
      <c r="NI24" s="280">
        <v>4.4000000000000004</v>
      </c>
      <c r="NJ24" s="280">
        <v>3.3</v>
      </c>
      <c r="NK24" s="280">
        <v>2.7</v>
      </c>
      <c r="NL24" s="285" t="s">
        <v>22</v>
      </c>
      <c r="NM24" s="280">
        <v>15.6</v>
      </c>
      <c r="NN24" s="280">
        <v>16.100000000000001</v>
      </c>
      <c r="NO24" s="280">
        <v>15.7</v>
      </c>
      <c r="NP24" s="280">
        <v>15.7</v>
      </c>
      <c r="NQ24" s="280">
        <v>17.3</v>
      </c>
      <c r="NR24" s="280">
        <v>16.8</v>
      </c>
      <c r="NS24" s="280">
        <v>17</v>
      </c>
      <c r="NT24" s="280">
        <v>17.7</v>
      </c>
      <c r="NU24" s="280">
        <v>17.600000000000001</v>
      </c>
      <c r="NV24" s="280">
        <v>17.100000000000001</v>
      </c>
      <c r="NW24" s="285" t="s">
        <v>22</v>
      </c>
      <c r="NX24" s="280">
        <v>16</v>
      </c>
      <c r="NY24" s="280">
        <v>18.399999999999999</v>
      </c>
      <c r="NZ24" s="280">
        <v>18.8</v>
      </c>
      <c r="OA24" s="280">
        <v>17.600000000000001</v>
      </c>
      <c r="OB24" s="280">
        <v>16.8</v>
      </c>
      <c r="OC24" s="280">
        <v>15.9</v>
      </c>
      <c r="OD24" s="280">
        <v>17.2</v>
      </c>
      <c r="OE24" s="280">
        <v>16.399999999999999</v>
      </c>
      <c r="OF24" s="280">
        <v>15</v>
      </c>
      <c r="OG24" s="280">
        <v>15.9</v>
      </c>
      <c r="OH24" s="296" t="s">
        <v>22</v>
      </c>
      <c r="OI24" s="297">
        <v>11.3</v>
      </c>
      <c r="OJ24" s="297">
        <v>10</v>
      </c>
      <c r="OK24" s="297">
        <v>10</v>
      </c>
      <c r="OL24" s="297">
        <v>9.8000000000000007</v>
      </c>
      <c r="OM24" s="297">
        <v>9.3000000000000007</v>
      </c>
      <c r="ON24" s="297">
        <v>8.6999999999999993</v>
      </c>
      <c r="OO24" s="297">
        <v>8.4</v>
      </c>
      <c r="OP24" s="297">
        <v>8.6</v>
      </c>
      <c r="OQ24" s="297">
        <v>8</v>
      </c>
      <c r="OR24" s="297">
        <v>6.7</v>
      </c>
      <c r="OS24" s="285" t="s">
        <v>22</v>
      </c>
      <c r="OT24" s="280">
        <v>0.2</v>
      </c>
      <c r="OU24" s="280">
        <v>0.4</v>
      </c>
      <c r="OV24" s="280">
        <v>0.3</v>
      </c>
      <c r="OW24" s="280">
        <v>0.3</v>
      </c>
      <c r="OX24" s="280">
        <v>0.3</v>
      </c>
      <c r="OY24" s="280">
        <v>0.1</v>
      </c>
      <c r="OZ24" s="280">
        <v>0.2</v>
      </c>
      <c r="PA24" s="280">
        <v>0.4</v>
      </c>
      <c r="PB24" s="280">
        <v>0.5</v>
      </c>
      <c r="PC24" s="280">
        <v>0.3</v>
      </c>
    </row>
    <row r="25" spans="1:419">
      <c r="A25" s="269">
        <v>16</v>
      </c>
      <c r="B25" s="285" t="s">
        <v>27</v>
      </c>
      <c r="C25" s="286">
        <v>12.9</v>
      </c>
      <c r="D25" s="286">
        <v>14.2</v>
      </c>
      <c r="E25" s="286">
        <v>14.9</v>
      </c>
      <c r="F25" s="286">
        <v>14.1</v>
      </c>
      <c r="G25" s="286">
        <v>12.7</v>
      </c>
      <c r="H25" s="286">
        <v>14.3</v>
      </c>
      <c r="I25" s="286">
        <v>14.7</v>
      </c>
      <c r="J25" s="286">
        <v>14.5</v>
      </c>
      <c r="K25" s="286">
        <v>13.8</v>
      </c>
      <c r="L25" s="286">
        <v>15.6</v>
      </c>
      <c r="M25" s="285" t="s">
        <v>27</v>
      </c>
      <c r="N25" s="286">
        <v>2135</v>
      </c>
      <c r="O25" s="286">
        <v>2390.8000000000002</v>
      </c>
      <c r="P25" s="286">
        <v>2551.6999999999998</v>
      </c>
      <c r="Q25" s="286">
        <v>2410.6999999999998</v>
      </c>
      <c r="R25" s="286">
        <v>2134.1999999999998</v>
      </c>
      <c r="S25" s="286">
        <v>2464.1</v>
      </c>
      <c r="T25" s="286">
        <v>2549.1</v>
      </c>
      <c r="U25" s="286">
        <v>2506.4</v>
      </c>
      <c r="V25" s="286">
        <v>2360.5</v>
      </c>
      <c r="W25" s="286">
        <v>2740</v>
      </c>
      <c r="X25" s="285" t="s">
        <v>27</v>
      </c>
      <c r="Y25" s="287">
        <v>77.5</v>
      </c>
      <c r="Z25" s="287">
        <v>79</v>
      </c>
      <c r="AA25" s="287">
        <v>80.400000000000006</v>
      </c>
      <c r="AB25" s="287">
        <v>78.5</v>
      </c>
      <c r="AC25" s="287">
        <v>70.400000000000006</v>
      </c>
      <c r="AD25" s="287">
        <v>88.7</v>
      </c>
      <c r="AE25" s="287">
        <v>77.8</v>
      </c>
      <c r="AF25" s="287">
        <v>79.099999999999994</v>
      </c>
      <c r="AG25" s="287">
        <v>74.400000000000006</v>
      </c>
      <c r="AH25" s="287">
        <v>92.4</v>
      </c>
      <c r="AI25" s="285" t="s">
        <v>27</v>
      </c>
      <c r="AJ25" s="280">
        <v>316</v>
      </c>
      <c r="AK25" s="280">
        <v>371.5</v>
      </c>
      <c r="AL25" s="280">
        <v>532.9</v>
      </c>
      <c r="AM25" s="280">
        <v>422.5</v>
      </c>
      <c r="AN25" s="280">
        <v>344.1</v>
      </c>
      <c r="AO25" s="280">
        <v>425</v>
      </c>
      <c r="AP25" s="280">
        <v>564.9</v>
      </c>
      <c r="AQ25" s="280">
        <v>520.4</v>
      </c>
      <c r="AR25" s="280">
        <v>417.5</v>
      </c>
      <c r="AS25" s="280">
        <v>501.2</v>
      </c>
      <c r="AT25" s="285" t="s">
        <v>27</v>
      </c>
      <c r="AU25" s="280">
        <v>437.1</v>
      </c>
      <c r="AV25" s="280">
        <v>600.5</v>
      </c>
      <c r="AW25" s="280">
        <v>702.9</v>
      </c>
      <c r="AX25" s="280">
        <v>615.20000000000005</v>
      </c>
      <c r="AY25" s="280">
        <v>508.2</v>
      </c>
      <c r="AZ25" s="280">
        <v>670.4</v>
      </c>
      <c r="BA25" s="280">
        <v>706.4</v>
      </c>
      <c r="BB25" s="280">
        <v>567.5</v>
      </c>
      <c r="BC25" s="280">
        <v>529.9</v>
      </c>
      <c r="BD25" s="280">
        <v>724.2</v>
      </c>
      <c r="BE25" s="285" t="s">
        <v>27</v>
      </c>
      <c r="BF25" s="280">
        <v>750.3</v>
      </c>
      <c r="BG25" s="280">
        <v>775.8</v>
      </c>
      <c r="BH25" s="280">
        <v>640.79999999999995</v>
      </c>
      <c r="BI25" s="280">
        <v>697.9</v>
      </c>
      <c r="BJ25" s="280">
        <v>674.5</v>
      </c>
      <c r="BK25" s="280">
        <v>694.3</v>
      </c>
      <c r="BL25" s="280">
        <v>617.29999999999995</v>
      </c>
      <c r="BM25" s="280">
        <v>737.9</v>
      </c>
      <c r="BN25" s="280">
        <v>745.7</v>
      </c>
      <c r="BO25" s="280">
        <v>832.9</v>
      </c>
      <c r="BP25" s="285" t="s">
        <v>27</v>
      </c>
      <c r="BQ25" s="283">
        <v>90.1</v>
      </c>
      <c r="BR25" s="283">
        <v>81.8</v>
      </c>
      <c r="BS25" s="283">
        <v>86.199999999999989</v>
      </c>
      <c r="BT25" s="283">
        <v>72.7</v>
      </c>
      <c r="BU25" s="283">
        <v>67.099999999999994</v>
      </c>
      <c r="BV25" s="283">
        <v>75.7</v>
      </c>
      <c r="BW25" s="283">
        <v>82.2</v>
      </c>
      <c r="BX25" s="283">
        <v>88.300000000000011</v>
      </c>
      <c r="BY25" s="283">
        <v>76.900000000000006</v>
      </c>
      <c r="BZ25" s="283">
        <v>72.599999999999994</v>
      </c>
      <c r="CA25" s="285" t="s">
        <v>27</v>
      </c>
      <c r="CB25" s="283">
        <v>281.8</v>
      </c>
      <c r="CC25" s="283">
        <v>287.60000000000002</v>
      </c>
      <c r="CD25" s="283">
        <v>338.20000000000005</v>
      </c>
      <c r="CE25" s="283">
        <v>318.60000000000002</v>
      </c>
      <c r="CF25" s="283">
        <v>279.60000000000002</v>
      </c>
      <c r="CG25" s="283">
        <v>293.5</v>
      </c>
      <c r="CH25" s="283">
        <v>285.10000000000002</v>
      </c>
      <c r="CI25" s="283">
        <v>303.7</v>
      </c>
      <c r="CJ25" s="283">
        <v>300</v>
      </c>
      <c r="CK25" s="283">
        <v>306.20000000000005</v>
      </c>
      <c r="CL25" s="285" t="s">
        <v>27</v>
      </c>
      <c r="CM25" s="286">
        <v>666.7</v>
      </c>
      <c r="CN25" s="286">
        <v>770.1</v>
      </c>
      <c r="CO25" s="286">
        <v>885.3</v>
      </c>
      <c r="CP25" s="286">
        <v>797.2</v>
      </c>
      <c r="CQ25" s="286">
        <v>685.5</v>
      </c>
      <c r="CR25" s="286">
        <v>825.5</v>
      </c>
      <c r="CS25" s="286">
        <v>905.7</v>
      </c>
      <c r="CT25" s="286">
        <v>836.4</v>
      </c>
      <c r="CU25" s="286">
        <v>723.6</v>
      </c>
      <c r="CV25" s="286">
        <v>884.9</v>
      </c>
      <c r="CW25" s="285" t="s">
        <v>27</v>
      </c>
      <c r="CX25" s="286">
        <v>990.2</v>
      </c>
      <c r="CY25" s="286">
        <v>1124.5</v>
      </c>
      <c r="CZ25" s="286">
        <v>1207.0999999999999</v>
      </c>
      <c r="DA25" s="286">
        <v>1104.5999999999999</v>
      </c>
      <c r="DB25" s="286">
        <v>967.7</v>
      </c>
      <c r="DC25" s="286">
        <v>1169.3</v>
      </c>
      <c r="DD25" s="286">
        <v>1228.7</v>
      </c>
      <c r="DE25" s="286">
        <v>1156.8</v>
      </c>
      <c r="DF25" s="286">
        <v>1116.9000000000001</v>
      </c>
      <c r="DG25" s="286">
        <v>1282.4000000000001</v>
      </c>
      <c r="DH25" s="285" t="s">
        <v>27</v>
      </c>
      <c r="DI25" s="286">
        <v>478</v>
      </c>
      <c r="DJ25" s="286">
        <v>496.2</v>
      </c>
      <c r="DK25" s="286">
        <v>459.3</v>
      </c>
      <c r="DL25" s="286">
        <v>508.8</v>
      </c>
      <c r="DM25" s="286">
        <v>481</v>
      </c>
      <c r="DN25" s="286">
        <v>469.3</v>
      </c>
      <c r="DO25" s="286">
        <v>414.7</v>
      </c>
      <c r="DP25" s="286">
        <v>513.20000000000005</v>
      </c>
      <c r="DQ25" s="286">
        <v>519.9</v>
      </c>
      <c r="DR25" s="286">
        <v>572.79999999999995</v>
      </c>
      <c r="DS25" s="285" t="s">
        <v>27</v>
      </c>
      <c r="DT25" s="287"/>
      <c r="DU25" s="287"/>
      <c r="DV25" s="287"/>
      <c r="DW25" s="287"/>
      <c r="DX25" s="287"/>
      <c r="DY25" s="287"/>
      <c r="DZ25" s="287"/>
      <c r="EA25" s="287"/>
      <c r="EB25" s="287"/>
      <c r="EC25" s="287"/>
      <c r="ED25" s="285" t="s">
        <v>27</v>
      </c>
      <c r="EE25" s="280">
        <v>9.8000000000000007</v>
      </c>
      <c r="EF25" s="280">
        <v>13.8</v>
      </c>
      <c r="EG25" s="280">
        <v>12.1</v>
      </c>
      <c r="EH25" s="280">
        <v>10.4</v>
      </c>
      <c r="EI25" s="280">
        <v>12.4</v>
      </c>
      <c r="EJ25" s="280">
        <v>10</v>
      </c>
      <c r="EK25" s="280">
        <v>12.6</v>
      </c>
      <c r="EL25" s="280">
        <v>10.9</v>
      </c>
      <c r="EM25" s="280">
        <v>11.2</v>
      </c>
      <c r="EN25" s="280">
        <v>15.5</v>
      </c>
      <c r="EO25" s="285" t="s">
        <v>27</v>
      </c>
      <c r="EP25" s="280">
        <v>337.2</v>
      </c>
      <c r="EQ25" s="280">
        <v>306.89999999999998</v>
      </c>
      <c r="ER25" s="280">
        <v>199.9</v>
      </c>
      <c r="ES25" s="280">
        <v>312.60000000000002</v>
      </c>
      <c r="ET25" s="280">
        <v>327.10000000000002</v>
      </c>
      <c r="EU25" s="280">
        <v>289.7</v>
      </c>
      <c r="EV25" s="280">
        <v>205.8</v>
      </c>
      <c r="EW25" s="280">
        <v>333.1</v>
      </c>
      <c r="EX25" s="280">
        <v>339.5</v>
      </c>
      <c r="EY25" s="280">
        <v>347.4</v>
      </c>
      <c r="EZ25" s="285" t="s">
        <v>27</v>
      </c>
      <c r="FA25" s="280">
        <v>213.2</v>
      </c>
      <c r="FB25" s="280">
        <v>235.8</v>
      </c>
      <c r="FC25" s="280">
        <v>257.5</v>
      </c>
      <c r="FD25" s="280">
        <v>242.2</v>
      </c>
      <c r="FE25" s="280">
        <v>220.3</v>
      </c>
      <c r="FF25" s="280">
        <v>260.39999999999998</v>
      </c>
      <c r="FG25" s="280">
        <v>239.1</v>
      </c>
      <c r="FH25" s="280">
        <v>243.6</v>
      </c>
      <c r="FI25" s="280">
        <v>267.3</v>
      </c>
      <c r="FJ25" s="280">
        <v>276.7</v>
      </c>
      <c r="FK25" s="285" t="s">
        <v>27</v>
      </c>
      <c r="FL25" s="280">
        <v>237.1</v>
      </c>
      <c r="FM25" s="280">
        <v>252.4</v>
      </c>
      <c r="FN25" s="280">
        <v>270.7</v>
      </c>
      <c r="FO25" s="280">
        <v>259.89999999999998</v>
      </c>
      <c r="FP25" s="280">
        <v>218.4</v>
      </c>
      <c r="FQ25" s="280">
        <v>240.9</v>
      </c>
      <c r="FR25" s="280">
        <v>286.60000000000002</v>
      </c>
      <c r="FS25" s="280">
        <v>256.39999999999998</v>
      </c>
      <c r="FT25" s="280">
        <v>247.4</v>
      </c>
      <c r="FU25" s="280">
        <v>295.10000000000002</v>
      </c>
      <c r="FV25" s="285" t="s">
        <v>27</v>
      </c>
      <c r="FW25" s="280">
        <v>457.5</v>
      </c>
      <c r="FX25" s="280">
        <v>569.29999999999995</v>
      </c>
      <c r="FY25" s="280">
        <v>678.5</v>
      </c>
      <c r="FZ25" s="280">
        <v>535.4</v>
      </c>
      <c r="GA25" s="280">
        <v>455.5</v>
      </c>
      <c r="GB25" s="280">
        <v>635.1</v>
      </c>
      <c r="GC25" s="280">
        <v>707.2</v>
      </c>
      <c r="GD25" s="280">
        <v>570.70000000000005</v>
      </c>
      <c r="GE25" s="280">
        <v>515.79999999999995</v>
      </c>
      <c r="GF25" s="280">
        <v>673.9</v>
      </c>
      <c r="GG25" s="285" t="s">
        <v>27</v>
      </c>
      <c r="GH25" s="280">
        <v>40.1</v>
      </c>
      <c r="GI25" s="280">
        <v>44.2</v>
      </c>
      <c r="GJ25" s="280">
        <v>52.2</v>
      </c>
      <c r="GK25" s="280">
        <v>51.3</v>
      </c>
      <c r="GL25" s="280">
        <v>43.9</v>
      </c>
      <c r="GM25" s="280">
        <v>56.9</v>
      </c>
      <c r="GN25" s="280">
        <v>47.8</v>
      </c>
      <c r="GO25" s="280">
        <v>50.8</v>
      </c>
      <c r="GP25" s="280">
        <v>47.5</v>
      </c>
      <c r="GQ25" s="280">
        <v>56.3</v>
      </c>
      <c r="GR25" s="285" t="s">
        <v>27</v>
      </c>
      <c r="GS25" s="280">
        <v>242.2</v>
      </c>
      <c r="GT25" s="280">
        <v>278.3</v>
      </c>
      <c r="GU25" s="280">
        <v>282.60000000000002</v>
      </c>
      <c r="GV25" s="280">
        <v>280.89999999999998</v>
      </c>
      <c r="GW25" s="280">
        <v>258.3</v>
      </c>
      <c r="GX25" s="280">
        <v>282</v>
      </c>
      <c r="GY25" s="280">
        <v>289.3</v>
      </c>
      <c r="GZ25" s="280">
        <v>291</v>
      </c>
      <c r="HA25" s="280">
        <v>285.7</v>
      </c>
      <c r="HB25" s="280">
        <v>317.60000000000002</v>
      </c>
      <c r="HC25" s="285" t="s">
        <v>27</v>
      </c>
      <c r="HD25" s="280">
        <v>180.5</v>
      </c>
      <c r="HE25" s="280">
        <v>189</v>
      </c>
      <c r="HF25" s="280">
        <v>200.9</v>
      </c>
      <c r="HG25" s="280">
        <v>187.9</v>
      </c>
      <c r="HH25" s="280">
        <v>153.30000000000001</v>
      </c>
      <c r="HI25" s="280">
        <v>189.6</v>
      </c>
      <c r="HJ25" s="280">
        <v>195.2</v>
      </c>
      <c r="HK25" s="280">
        <v>187.4</v>
      </c>
      <c r="HL25" s="280">
        <v>177.6</v>
      </c>
      <c r="HM25" s="280">
        <v>218.4</v>
      </c>
      <c r="HN25" s="285" t="s">
        <v>27</v>
      </c>
      <c r="HO25" s="280">
        <v>404.2</v>
      </c>
      <c r="HP25" s="280">
        <v>487.4</v>
      </c>
      <c r="HQ25" s="280">
        <v>581.6</v>
      </c>
      <c r="HR25" s="280">
        <v>520.29999999999995</v>
      </c>
      <c r="HS25" s="280">
        <v>436.7</v>
      </c>
      <c r="HT25" s="280">
        <v>495.9</v>
      </c>
      <c r="HU25" s="280">
        <v>558.29999999999995</v>
      </c>
      <c r="HV25" s="280">
        <v>552.6</v>
      </c>
      <c r="HW25" s="280">
        <v>459.8</v>
      </c>
      <c r="HX25" s="280">
        <v>528.1</v>
      </c>
      <c r="HY25" s="285" t="s">
        <v>27</v>
      </c>
      <c r="HZ25" s="280">
        <v>13.3</v>
      </c>
      <c r="IA25" s="280">
        <v>13.7</v>
      </c>
      <c r="IB25" s="280">
        <v>15.7</v>
      </c>
      <c r="IC25" s="280">
        <v>9.6</v>
      </c>
      <c r="ID25" s="280">
        <v>8.4</v>
      </c>
      <c r="IE25" s="280">
        <v>3.6</v>
      </c>
      <c r="IF25" s="280">
        <v>7.3</v>
      </c>
      <c r="IG25" s="280">
        <v>9.9</v>
      </c>
      <c r="IH25" s="280">
        <v>8.6999999999999993</v>
      </c>
      <c r="II25" s="280">
        <v>11.2</v>
      </c>
      <c r="IJ25" s="285" t="s">
        <v>27</v>
      </c>
      <c r="IK25" s="281"/>
      <c r="IL25" s="281"/>
      <c r="IM25" s="281"/>
      <c r="IN25" s="281"/>
      <c r="IO25" s="281"/>
      <c r="IP25" s="281"/>
      <c r="IQ25" s="281"/>
      <c r="IR25" s="281"/>
      <c r="IS25" s="281"/>
      <c r="IT25" s="281"/>
      <c r="IU25" s="285" t="s">
        <v>27</v>
      </c>
      <c r="IV25" s="280">
        <v>188.2</v>
      </c>
      <c r="IW25" s="280">
        <v>247</v>
      </c>
      <c r="IX25" s="280">
        <v>292.3</v>
      </c>
      <c r="IY25" s="280">
        <v>313.10000000000002</v>
      </c>
      <c r="IZ25" s="280">
        <v>228.9</v>
      </c>
      <c r="JA25" s="280">
        <v>261</v>
      </c>
      <c r="JB25" s="280">
        <v>288.7</v>
      </c>
      <c r="JC25" s="280">
        <v>311</v>
      </c>
      <c r="JD25" s="280">
        <v>235.1</v>
      </c>
      <c r="JE25" s="280">
        <v>264.60000000000002</v>
      </c>
      <c r="JF25" s="285" t="s">
        <v>27</v>
      </c>
      <c r="JG25" s="280">
        <v>368.5</v>
      </c>
      <c r="JH25" s="280">
        <v>389.9</v>
      </c>
      <c r="JI25" s="280">
        <v>404.7</v>
      </c>
      <c r="JJ25" s="280">
        <v>385.7</v>
      </c>
      <c r="JK25" s="280">
        <v>348.4</v>
      </c>
      <c r="JL25" s="280">
        <v>379</v>
      </c>
      <c r="JM25" s="280">
        <v>398.6</v>
      </c>
      <c r="JN25" s="280">
        <v>411.6</v>
      </c>
      <c r="JO25" s="280">
        <v>397.1</v>
      </c>
      <c r="JP25" s="280">
        <v>443.6</v>
      </c>
      <c r="JQ25" s="285" t="s">
        <v>27</v>
      </c>
      <c r="JR25" s="280">
        <v>105.7</v>
      </c>
      <c r="JS25" s="280">
        <v>137.19999999999999</v>
      </c>
      <c r="JT25" s="280">
        <v>141.4</v>
      </c>
      <c r="JU25" s="280">
        <v>128.1</v>
      </c>
      <c r="JV25" s="280">
        <v>113.3</v>
      </c>
      <c r="JW25" s="280">
        <v>146.19999999999999</v>
      </c>
      <c r="JX25" s="280">
        <v>133</v>
      </c>
      <c r="JY25" s="280">
        <v>122.4</v>
      </c>
      <c r="JZ25" s="280">
        <v>130.19999999999999</v>
      </c>
      <c r="KA25" s="280">
        <v>146.5</v>
      </c>
      <c r="KB25" s="285" t="s">
        <v>27</v>
      </c>
      <c r="KC25" s="280">
        <v>237.2</v>
      </c>
      <c r="KD25" s="280">
        <v>265.60000000000002</v>
      </c>
      <c r="KE25" s="280">
        <v>280.5</v>
      </c>
      <c r="KF25" s="280">
        <v>253</v>
      </c>
      <c r="KG25" s="280">
        <v>236</v>
      </c>
      <c r="KH25" s="280">
        <v>262.39999999999998</v>
      </c>
      <c r="KI25" s="280">
        <v>299.60000000000002</v>
      </c>
      <c r="KJ25" s="280">
        <v>300.10000000000002</v>
      </c>
      <c r="KK25" s="280">
        <v>263.10000000000002</v>
      </c>
      <c r="KL25" s="280">
        <v>318.2</v>
      </c>
      <c r="KM25" s="285" t="s">
        <v>27</v>
      </c>
      <c r="KN25" s="280">
        <v>101.4</v>
      </c>
      <c r="KO25" s="280">
        <v>98.3</v>
      </c>
      <c r="KP25" s="280">
        <v>105.3</v>
      </c>
      <c r="KQ25" s="280">
        <v>98.9</v>
      </c>
      <c r="KR25" s="280">
        <v>91.1</v>
      </c>
      <c r="KS25" s="280">
        <v>96.7</v>
      </c>
      <c r="KT25" s="280">
        <v>102.9</v>
      </c>
      <c r="KU25" s="280">
        <v>112.5</v>
      </c>
      <c r="KV25" s="280">
        <v>107.5</v>
      </c>
      <c r="KW25" s="280">
        <v>110.9</v>
      </c>
      <c r="KX25" s="285" t="s">
        <v>27</v>
      </c>
      <c r="KY25" s="280">
        <v>233.6</v>
      </c>
      <c r="KZ25" s="280">
        <v>309.10000000000002</v>
      </c>
      <c r="LA25" s="280">
        <v>408.6</v>
      </c>
      <c r="LB25" s="280">
        <v>267.5</v>
      </c>
      <c r="LC25" s="280">
        <v>208.2</v>
      </c>
      <c r="LD25" s="280">
        <v>354.1</v>
      </c>
      <c r="LE25" s="280">
        <v>420.2</v>
      </c>
      <c r="LF25" s="280">
        <v>276.8</v>
      </c>
      <c r="LG25" s="280">
        <v>244.6</v>
      </c>
      <c r="LH25" s="280">
        <v>392.2</v>
      </c>
      <c r="LI25" s="285" t="s">
        <v>27</v>
      </c>
      <c r="LJ25" s="280">
        <v>40</v>
      </c>
      <c r="LK25" s="280">
        <v>36.4</v>
      </c>
      <c r="LL25" s="280">
        <v>44.3</v>
      </c>
      <c r="LM25" s="280">
        <v>41.7</v>
      </c>
      <c r="LN25" s="280">
        <v>34.6</v>
      </c>
      <c r="LO25" s="280">
        <v>36.1</v>
      </c>
      <c r="LP25" s="280">
        <v>29</v>
      </c>
      <c r="LQ25" s="280">
        <v>35.1</v>
      </c>
      <c r="LR25" s="280">
        <v>43</v>
      </c>
      <c r="LS25" s="281">
        <v>40.799999999999997</v>
      </c>
      <c r="LT25" s="285" t="s">
        <v>27</v>
      </c>
      <c r="LU25" s="281">
        <v>14.3</v>
      </c>
      <c r="LV25" s="280">
        <v>15.2</v>
      </c>
      <c r="LW25" s="281">
        <v>12.9</v>
      </c>
      <c r="LX25" s="280">
        <v>19.5</v>
      </c>
      <c r="LY25" s="281">
        <v>10.1</v>
      </c>
      <c r="LZ25" s="280">
        <v>16.3</v>
      </c>
      <c r="MA25" s="280">
        <v>20.100000000000001</v>
      </c>
      <c r="MB25" s="280">
        <v>16</v>
      </c>
      <c r="MC25" s="280">
        <v>12.6</v>
      </c>
      <c r="MD25" s="280">
        <v>20.399999999999999</v>
      </c>
      <c r="ME25" s="285" t="s">
        <v>27</v>
      </c>
      <c r="MF25" s="280">
        <v>73.2</v>
      </c>
      <c r="MG25" s="280">
        <v>60.5</v>
      </c>
      <c r="MH25" s="280">
        <v>70.400000000000006</v>
      </c>
      <c r="MI25" s="280">
        <v>78.599999999999994</v>
      </c>
      <c r="MJ25" s="280">
        <v>68.2</v>
      </c>
      <c r="MK25" s="280">
        <v>74.2</v>
      </c>
      <c r="ML25" s="280">
        <v>72.2</v>
      </c>
      <c r="MM25" s="280">
        <v>85.8</v>
      </c>
      <c r="MN25" s="280">
        <v>84.3</v>
      </c>
      <c r="MO25" s="280">
        <v>87.8</v>
      </c>
      <c r="MP25" s="285" t="s">
        <v>27</v>
      </c>
      <c r="MQ25" s="280">
        <v>120.5</v>
      </c>
      <c r="MR25" s="280">
        <v>154.19999999999999</v>
      </c>
      <c r="MS25" s="280">
        <v>177.8</v>
      </c>
      <c r="MT25" s="280">
        <v>133.1</v>
      </c>
      <c r="MU25" s="280">
        <v>124.2</v>
      </c>
      <c r="MV25" s="280">
        <v>138.80000000000001</v>
      </c>
      <c r="MW25" s="280">
        <v>161.19999999999999</v>
      </c>
      <c r="MX25" s="280">
        <v>139.80000000000001</v>
      </c>
      <c r="MY25" s="280">
        <v>126.1</v>
      </c>
      <c r="MZ25" s="280">
        <v>140.30000000000001</v>
      </c>
      <c r="NA25" s="285" t="s">
        <v>27</v>
      </c>
      <c r="NB25" s="280">
        <v>54.5</v>
      </c>
      <c r="NC25" s="280">
        <v>66.3</v>
      </c>
      <c r="ND25" s="280">
        <v>77.900000000000006</v>
      </c>
      <c r="NE25" s="280">
        <v>67.8</v>
      </c>
      <c r="NF25" s="280">
        <v>61</v>
      </c>
      <c r="NG25" s="280">
        <v>54.6</v>
      </c>
      <c r="NH25" s="280">
        <v>66.599999999999994</v>
      </c>
      <c r="NI25" s="280">
        <v>74</v>
      </c>
      <c r="NJ25" s="280">
        <v>64.900000000000006</v>
      </c>
      <c r="NK25" s="280">
        <v>67.3</v>
      </c>
      <c r="NL25" s="285" t="s">
        <v>27</v>
      </c>
      <c r="NM25" s="280">
        <v>267.10000000000002</v>
      </c>
      <c r="NN25" s="280">
        <v>240.4</v>
      </c>
      <c r="NO25" s="280">
        <v>114.6</v>
      </c>
      <c r="NP25" s="280">
        <v>247.3</v>
      </c>
      <c r="NQ25" s="280">
        <v>276.5</v>
      </c>
      <c r="NR25" s="280">
        <v>244.5</v>
      </c>
      <c r="NS25" s="280">
        <v>127.5</v>
      </c>
      <c r="NT25" s="280">
        <v>249</v>
      </c>
      <c r="NU25" s="280">
        <v>269</v>
      </c>
      <c r="NV25" s="280">
        <v>278.7</v>
      </c>
      <c r="NW25" s="285" t="s">
        <v>27</v>
      </c>
      <c r="NX25" s="280">
        <v>130.5</v>
      </c>
      <c r="NY25" s="280">
        <v>153.5</v>
      </c>
      <c r="NZ25" s="280">
        <v>150.30000000000001</v>
      </c>
      <c r="OA25" s="280">
        <v>158.6</v>
      </c>
      <c r="OB25" s="280">
        <v>159.30000000000001</v>
      </c>
      <c r="OC25" s="280">
        <v>171.4</v>
      </c>
      <c r="OD25" s="280">
        <v>167.5</v>
      </c>
      <c r="OE25" s="280">
        <v>156.5</v>
      </c>
      <c r="OF25" s="280">
        <v>156.5</v>
      </c>
      <c r="OG25" s="280">
        <v>161.6</v>
      </c>
      <c r="OH25" s="296" t="s">
        <v>27</v>
      </c>
      <c r="OI25" s="297">
        <v>11.8</v>
      </c>
      <c r="OJ25" s="297">
        <v>13.3</v>
      </c>
      <c r="OK25" s="297">
        <v>13</v>
      </c>
      <c r="OL25" s="297">
        <v>12.1</v>
      </c>
      <c r="OM25" s="297">
        <v>10.6</v>
      </c>
      <c r="ON25" s="297">
        <v>12</v>
      </c>
      <c r="OO25" s="297">
        <v>12.1</v>
      </c>
      <c r="OP25" s="297">
        <v>11.6</v>
      </c>
      <c r="OQ25" s="297">
        <v>11</v>
      </c>
      <c r="OR25" s="297">
        <v>12.2</v>
      </c>
      <c r="OS25" s="285" t="s">
        <v>27</v>
      </c>
      <c r="OT25" s="280">
        <v>0.4</v>
      </c>
      <c r="OU25" s="280">
        <v>0.9</v>
      </c>
      <c r="OV25" s="280">
        <v>0.7</v>
      </c>
      <c r="OW25" s="280">
        <v>0.2</v>
      </c>
      <c r="OX25" s="280">
        <v>0.2</v>
      </c>
      <c r="OY25" s="280">
        <v>0.7</v>
      </c>
      <c r="OZ25" s="280">
        <v>0.8</v>
      </c>
      <c r="PA25" s="280">
        <v>1.6</v>
      </c>
      <c r="PB25" s="280">
        <v>1.1000000000000001</v>
      </c>
      <c r="PC25" s="280">
        <v>0.6</v>
      </c>
    </row>
    <row r="26" spans="1:419">
      <c r="A26" s="272">
        <v>17</v>
      </c>
      <c r="B26" s="303" t="s">
        <v>29</v>
      </c>
      <c r="C26" s="304">
        <v>2.9</v>
      </c>
      <c r="D26" s="304">
        <v>3.7</v>
      </c>
      <c r="E26" s="304">
        <v>4</v>
      </c>
      <c r="F26" s="304">
        <v>4.5</v>
      </c>
      <c r="G26" s="304">
        <v>4</v>
      </c>
      <c r="H26" s="304">
        <v>3.9</v>
      </c>
      <c r="I26" s="304">
        <v>3.6</v>
      </c>
      <c r="J26" s="304">
        <v>3.2</v>
      </c>
      <c r="K26" s="304">
        <v>2.9</v>
      </c>
      <c r="L26" s="304">
        <v>3</v>
      </c>
      <c r="M26" s="303" t="s">
        <v>29</v>
      </c>
      <c r="N26" s="304">
        <v>22</v>
      </c>
      <c r="O26" s="304">
        <v>28.5</v>
      </c>
      <c r="P26" s="304">
        <v>30.2</v>
      </c>
      <c r="Q26" s="304">
        <v>33.9</v>
      </c>
      <c r="R26" s="304">
        <v>30.2</v>
      </c>
      <c r="S26" s="304">
        <v>29.4</v>
      </c>
      <c r="T26" s="304">
        <v>27.3</v>
      </c>
      <c r="U26" s="304">
        <v>23.8</v>
      </c>
      <c r="V26" s="304">
        <v>21.2</v>
      </c>
      <c r="W26" s="304">
        <v>22.8</v>
      </c>
      <c r="X26" s="303" t="s">
        <v>29</v>
      </c>
      <c r="Y26" s="304"/>
      <c r="Z26" s="304"/>
      <c r="AA26" s="304"/>
      <c r="AB26" s="304"/>
      <c r="AC26" s="304"/>
      <c r="AD26" s="304"/>
      <c r="AE26" s="304"/>
      <c r="AF26" s="304"/>
      <c r="AG26" s="304"/>
      <c r="AH26" s="304"/>
      <c r="AI26" s="303" t="s">
        <v>29</v>
      </c>
      <c r="AJ26" s="305">
        <v>6.7</v>
      </c>
      <c r="AK26" s="305">
        <v>12.4</v>
      </c>
      <c r="AL26" s="305">
        <v>16</v>
      </c>
      <c r="AM26" s="305">
        <v>15</v>
      </c>
      <c r="AN26" s="305">
        <v>8.3000000000000007</v>
      </c>
      <c r="AO26" s="305">
        <v>9.6999999999999993</v>
      </c>
      <c r="AP26" s="305">
        <v>10.199999999999999</v>
      </c>
      <c r="AQ26" s="305">
        <v>12.2</v>
      </c>
      <c r="AR26" s="305">
        <v>7.5</v>
      </c>
      <c r="AS26" s="305">
        <v>7.8</v>
      </c>
      <c r="AT26" s="303" t="s">
        <v>29</v>
      </c>
      <c r="AU26" s="305">
        <v>6.8</v>
      </c>
      <c r="AV26" s="305">
        <v>8.1999999999999993</v>
      </c>
      <c r="AW26" s="305">
        <v>7.2</v>
      </c>
      <c r="AX26" s="305">
        <v>7.3</v>
      </c>
      <c r="AY26" s="305">
        <v>7.5</v>
      </c>
      <c r="AZ26" s="305">
        <v>7.2</v>
      </c>
      <c r="BA26" s="305">
        <v>6.5</v>
      </c>
      <c r="BB26" s="305">
        <v>5</v>
      </c>
      <c r="BC26" s="305">
        <v>6.3</v>
      </c>
      <c r="BD26" s="305">
        <v>5.2</v>
      </c>
      <c r="BE26" s="303" t="s">
        <v>29</v>
      </c>
      <c r="BF26" s="305">
        <v>4.8</v>
      </c>
      <c r="BG26" s="305">
        <v>4.5999999999999996</v>
      </c>
      <c r="BH26" s="305"/>
      <c r="BI26" s="305">
        <v>4.2</v>
      </c>
      <c r="BJ26" s="305">
        <v>7.4</v>
      </c>
      <c r="BK26" s="305">
        <v>4.4000000000000004</v>
      </c>
      <c r="BL26" s="305"/>
      <c r="BM26" s="305"/>
      <c r="BN26" s="305"/>
      <c r="BO26" s="305">
        <v>3.8</v>
      </c>
      <c r="BP26" s="303" t="s">
        <v>29</v>
      </c>
      <c r="BQ26" s="307"/>
      <c r="BR26" s="307"/>
      <c r="BS26" s="307"/>
      <c r="BT26" s="307"/>
      <c r="BU26" s="307"/>
      <c r="BV26" s="307"/>
      <c r="BW26" s="307"/>
      <c r="BX26" s="307"/>
      <c r="BY26" s="307"/>
      <c r="BZ26" s="307"/>
      <c r="CA26" s="303" t="s">
        <v>29</v>
      </c>
      <c r="CB26" s="307"/>
      <c r="CC26" s="307"/>
      <c r="CD26" s="307"/>
      <c r="CE26" s="307"/>
      <c r="CF26" s="307"/>
      <c r="CG26" s="307"/>
      <c r="CH26" s="307"/>
      <c r="CI26" s="307"/>
      <c r="CJ26" s="307"/>
      <c r="CK26" s="307"/>
      <c r="CL26" s="303" t="s">
        <v>29</v>
      </c>
      <c r="CM26" s="304">
        <v>3.9</v>
      </c>
      <c r="CN26" s="304">
        <v>6.8</v>
      </c>
      <c r="CO26" s="304">
        <v>5.3</v>
      </c>
      <c r="CP26" s="304">
        <v>6.4</v>
      </c>
      <c r="CQ26" s="304">
        <v>5</v>
      </c>
      <c r="CR26" s="304">
        <v>5.4</v>
      </c>
      <c r="CS26" s="304">
        <v>4.7</v>
      </c>
      <c r="CT26" s="304">
        <v>4.5999999999999996</v>
      </c>
      <c r="CU26" s="304"/>
      <c r="CV26" s="304">
        <v>4.5999999999999996</v>
      </c>
      <c r="CW26" s="303" t="s">
        <v>29</v>
      </c>
      <c r="CX26" s="304">
        <v>11.5</v>
      </c>
      <c r="CY26" s="304">
        <v>16.2</v>
      </c>
      <c r="CZ26" s="304">
        <v>16</v>
      </c>
      <c r="DA26" s="304">
        <v>21.9</v>
      </c>
      <c r="DB26" s="304">
        <v>17</v>
      </c>
      <c r="DC26" s="304">
        <v>15.9</v>
      </c>
      <c r="DD26" s="304">
        <v>19</v>
      </c>
      <c r="DE26" s="304">
        <v>13.2</v>
      </c>
      <c r="DF26" s="304">
        <v>11.3</v>
      </c>
      <c r="DG26" s="304">
        <v>12.9</v>
      </c>
      <c r="DH26" s="303" t="s">
        <v>29</v>
      </c>
      <c r="DI26" s="304">
        <v>6.6</v>
      </c>
      <c r="DJ26" s="304">
        <v>5.5</v>
      </c>
      <c r="DK26" s="304">
        <v>8.9</v>
      </c>
      <c r="DL26" s="304">
        <v>5.6</v>
      </c>
      <c r="DM26" s="304">
        <v>8.1</v>
      </c>
      <c r="DN26" s="304">
        <v>8</v>
      </c>
      <c r="DO26" s="304">
        <v>3.7</v>
      </c>
      <c r="DP26" s="304">
        <v>6</v>
      </c>
      <c r="DQ26" s="304">
        <v>6.8</v>
      </c>
      <c r="DR26" s="304">
        <v>5.3</v>
      </c>
      <c r="DS26" s="303" t="s">
        <v>29</v>
      </c>
      <c r="DT26" s="303"/>
      <c r="DU26" s="303"/>
      <c r="DV26" s="303"/>
      <c r="DW26" s="303"/>
      <c r="DX26" s="303"/>
      <c r="DY26" s="303"/>
      <c r="DZ26" s="303"/>
      <c r="EA26" s="303"/>
      <c r="EB26" s="303"/>
      <c r="EC26" s="303"/>
      <c r="ED26" s="303" t="s">
        <v>29</v>
      </c>
      <c r="EE26" s="306"/>
      <c r="EF26" s="306"/>
      <c r="EG26" s="306"/>
      <c r="EH26" s="306"/>
      <c r="EI26" s="306"/>
      <c r="EJ26" s="306"/>
      <c r="EK26" s="306"/>
      <c r="EL26" s="306"/>
      <c r="EM26" s="306"/>
      <c r="EN26" s="306"/>
      <c r="EO26" s="303" t="s">
        <v>29</v>
      </c>
      <c r="EP26" s="306"/>
      <c r="EQ26" s="306"/>
      <c r="ER26" s="306"/>
      <c r="ES26" s="306"/>
      <c r="ET26" s="305"/>
      <c r="EU26" s="306"/>
      <c r="EV26" s="306"/>
      <c r="EW26" s="306"/>
      <c r="EX26" s="306"/>
      <c r="EY26" s="306"/>
      <c r="EZ26" s="303" t="s">
        <v>29</v>
      </c>
      <c r="FA26" s="306"/>
      <c r="FB26" s="306"/>
      <c r="FC26" s="306"/>
      <c r="FD26" s="305"/>
      <c r="FE26" s="306"/>
      <c r="FF26" s="306"/>
      <c r="FG26" s="306"/>
      <c r="FH26" s="306"/>
      <c r="FI26" s="306"/>
      <c r="FJ26" s="305"/>
      <c r="FK26" s="303" t="s">
        <v>29</v>
      </c>
      <c r="FL26" s="306"/>
      <c r="FM26" s="306"/>
      <c r="FN26" s="306"/>
      <c r="FO26" s="306"/>
      <c r="FP26" s="306"/>
      <c r="FQ26" s="306"/>
      <c r="FR26" s="306"/>
      <c r="FS26" s="306"/>
      <c r="FT26" s="306"/>
      <c r="FU26" s="306"/>
      <c r="FV26" s="303" t="s">
        <v>29</v>
      </c>
      <c r="FW26" s="306"/>
      <c r="FX26" s="306"/>
      <c r="FY26" s="305"/>
      <c r="FZ26" s="305"/>
      <c r="GA26" s="305"/>
      <c r="GB26" s="306"/>
      <c r="GC26" s="306"/>
      <c r="GD26" s="305"/>
      <c r="GE26" s="306"/>
      <c r="GF26" s="306"/>
      <c r="GG26" s="303" t="s">
        <v>29</v>
      </c>
      <c r="GH26" s="306"/>
      <c r="GI26" s="306"/>
      <c r="GJ26" s="306"/>
      <c r="GK26" s="306"/>
      <c r="GL26" s="306"/>
      <c r="GM26" s="306"/>
      <c r="GN26" s="306"/>
      <c r="GO26" s="306"/>
      <c r="GP26" s="306"/>
      <c r="GQ26" s="306"/>
      <c r="GR26" s="303" t="s">
        <v>29</v>
      </c>
      <c r="GS26" s="306"/>
      <c r="GT26" s="305"/>
      <c r="GU26" s="305"/>
      <c r="GV26" s="306"/>
      <c r="GW26" s="306"/>
      <c r="GX26" s="305"/>
      <c r="GY26" s="306"/>
      <c r="GZ26" s="306"/>
      <c r="HA26" s="306"/>
      <c r="HB26" s="306"/>
      <c r="HC26" s="303" t="s">
        <v>29</v>
      </c>
      <c r="HD26" s="305"/>
      <c r="HE26" s="305"/>
      <c r="HF26" s="306"/>
      <c r="HG26" s="305"/>
      <c r="HH26" s="305"/>
      <c r="HI26" s="306"/>
      <c r="HJ26" s="306"/>
      <c r="HK26" s="306"/>
      <c r="HL26" s="306"/>
      <c r="HM26" s="305"/>
      <c r="HN26" s="303" t="s">
        <v>29</v>
      </c>
      <c r="HO26" s="305">
        <v>5.3</v>
      </c>
      <c r="HP26" s="305">
        <v>9.8000000000000007</v>
      </c>
      <c r="HQ26" s="305">
        <v>7.4</v>
      </c>
      <c r="HR26" s="305">
        <v>11.7</v>
      </c>
      <c r="HS26" s="305">
        <v>9.1</v>
      </c>
      <c r="HT26" s="305">
        <v>11.6</v>
      </c>
      <c r="HU26" s="305">
        <v>8.6999999999999993</v>
      </c>
      <c r="HV26" s="305">
        <v>5.8</v>
      </c>
      <c r="HW26" s="305">
        <v>5.4</v>
      </c>
      <c r="HX26" s="305">
        <v>7.6</v>
      </c>
      <c r="HY26" s="303" t="s">
        <v>29</v>
      </c>
      <c r="HZ26" s="306"/>
      <c r="IA26" s="306"/>
      <c r="IB26" s="306"/>
      <c r="IC26" s="306"/>
      <c r="ID26" s="306"/>
      <c r="IE26" s="306"/>
      <c r="IF26" s="306"/>
      <c r="IG26" s="306"/>
      <c r="IH26" s="306"/>
      <c r="II26" s="306"/>
      <c r="IJ26" s="303" t="s">
        <v>29</v>
      </c>
      <c r="IK26" s="306"/>
      <c r="IL26" s="306"/>
      <c r="IM26" s="306"/>
      <c r="IN26" s="306"/>
      <c r="IO26" s="306"/>
      <c r="IP26" s="306"/>
      <c r="IQ26" s="306"/>
      <c r="IR26" s="306"/>
      <c r="IS26" s="306"/>
      <c r="IT26" s="306"/>
      <c r="IU26" s="303" t="s">
        <v>29</v>
      </c>
      <c r="IV26" s="305"/>
      <c r="IW26" s="306"/>
      <c r="IX26" s="306"/>
      <c r="IY26" s="306"/>
      <c r="IZ26" s="305"/>
      <c r="JA26" s="305"/>
      <c r="JB26" s="306"/>
      <c r="JC26" s="306"/>
      <c r="JD26" s="306"/>
      <c r="JE26" s="306"/>
      <c r="JF26" s="303" t="s">
        <v>29</v>
      </c>
      <c r="JG26" s="305"/>
      <c r="JH26" s="305"/>
      <c r="JI26" s="306"/>
      <c r="JJ26" s="306"/>
      <c r="JK26" s="305"/>
      <c r="JL26" s="305"/>
      <c r="JM26" s="305"/>
      <c r="JN26" s="305"/>
      <c r="JO26" s="305"/>
      <c r="JP26" s="305"/>
      <c r="JQ26" s="303" t="s">
        <v>29</v>
      </c>
      <c r="JR26" s="305"/>
      <c r="JS26" s="305"/>
      <c r="JT26" s="306"/>
      <c r="JU26" s="306"/>
      <c r="JV26" s="306"/>
      <c r="JW26" s="305"/>
      <c r="JX26" s="306"/>
      <c r="JY26" s="306"/>
      <c r="JZ26" s="305"/>
      <c r="KA26" s="305"/>
      <c r="KB26" s="303" t="s">
        <v>29</v>
      </c>
      <c r="KC26" s="305"/>
      <c r="KD26" s="305"/>
      <c r="KE26" s="305"/>
      <c r="KF26" s="305"/>
      <c r="KG26" s="305"/>
      <c r="KH26" s="305"/>
      <c r="KI26" s="305"/>
      <c r="KJ26" s="305"/>
      <c r="KK26" s="305"/>
      <c r="KL26" s="305"/>
      <c r="KM26" s="303" t="s">
        <v>29</v>
      </c>
      <c r="KN26" s="306"/>
      <c r="KO26" s="305"/>
      <c r="KP26" s="306"/>
      <c r="KQ26" s="306"/>
      <c r="KR26" s="306"/>
      <c r="KS26" s="305"/>
      <c r="KT26" s="306"/>
      <c r="KU26" s="306"/>
      <c r="KV26" s="305"/>
      <c r="KW26" s="305"/>
      <c r="KX26" s="303" t="s">
        <v>29</v>
      </c>
      <c r="KY26" s="305"/>
      <c r="KZ26" s="305"/>
      <c r="LA26" s="305"/>
      <c r="LB26" s="306"/>
      <c r="LC26" s="305"/>
      <c r="LD26" s="305"/>
      <c r="LE26" s="306"/>
      <c r="LF26" s="305"/>
      <c r="LG26" s="305"/>
      <c r="LH26" s="305"/>
      <c r="LI26" s="303" t="s">
        <v>29</v>
      </c>
      <c r="LJ26" s="306"/>
      <c r="LK26" s="306"/>
      <c r="LL26" s="306"/>
      <c r="LM26" s="306"/>
      <c r="LN26" s="306"/>
      <c r="LO26" s="306"/>
      <c r="LP26" s="306"/>
      <c r="LQ26" s="306"/>
      <c r="LR26" s="306"/>
      <c r="LS26" s="306"/>
      <c r="LT26" s="303" t="s">
        <v>29</v>
      </c>
      <c r="LU26" s="306"/>
      <c r="LV26" s="306"/>
      <c r="LW26" s="306"/>
      <c r="LX26" s="306"/>
      <c r="LY26" s="306"/>
      <c r="LZ26" s="306"/>
      <c r="MA26" s="306"/>
      <c r="MB26" s="306"/>
      <c r="MC26" s="305"/>
      <c r="MD26" s="305"/>
      <c r="ME26" s="303" t="s">
        <v>29</v>
      </c>
      <c r="MF26" s="306"/>
      <c r="MG26" s="306"/>
      <c r="MH26" s="306"/>
      <c r="MI26" s="306"/>
      <c r="MJ26" s="305"/>
      <c r="MK26" s="306"/>
      <c r="ML26" s="306"/>
      <c r="MM26" s="306"/>
      <c r="MN26" s="306"/>
      <c r="MO26" s="305"/>
      <c r="MP26" s="303" t="s">
        <v>29</v>
      </c>
      <c r="MQ26" s="305"/>
      <c r="MR26" s="306"/>
      <c r="MS26" s="306"/>
      <c r="MT26" s="306"/>
      <c r="MU26" s="305"/>
      <c r="MV26" s="305"/>
      <c r="MW26" s="306"/>
      <c r="MX26" s="306"/>
      <c r="MY26" s="306"/>
      <c r="MZ26" s="306"/>
      <c r="NA26" s="303" t="s">
        <v>29</v>
      </c>
      <c r="NB26" s="306"/>
      <c r="NC26" s="306"/>
      <c r="ND26" s="306"/>
      <c r="NE26" s="306"/>
      <c r="NF26" s="306"/>
      <c r="NG26" s="306"/>
      <c r="NH26" s="306"/>
      <c r="NI26" s="306"/>
      <c r="NJ26" s="305"/>
      <c r="NK26" s="306"/>
      <c r="NL26" s="303" t="s">
        <v>29</v>
      </c>
      <c r="NM26" s="305"/>
      <c r="NN26" s="305"/>
      <c r="NO26" s="305"/>
      <c r="NP26" s="305"/>
      <c r="NQ26" s="305"/>
      <c r="NR26" s="305"/>
      <c r="NS26" s="305"/>
      <c r="NT26" s="305"/>
      <c r="NU26" s="305"/>
      <c r="NV26" s="305"/>
      <c r="NW26" s="303" t="s">
        <v>29</v>
      </c>
      <c r="NX26" s="305"/>
      <c r="NY26" s="305"/>
      <c r="NZ26" s="305"/>
      <c r="OA26" s="305"/>
      <c r="OB26" s="305"/>
      <c r="OC26" s="305"/>
      <c r="OD26" s="305"/>
      <c r="OE26" s="305"/>
      <c r="OF26" s="305"/>
      <c r="OG26" s="305"/>
      <c r="OH26" s="303" t="s">
        <v>29</v>
      </c>
      <c r="OI26" s="304">
        <v>10.6</v>
      </c>
      <c r="OJ26" s="304">
        <v>10.199999999999999</v>
      </c>
      <c r="OK26" s="304">
        <v>10.199999999999999</v>
      </c>
      <c r="OL26" s="304">
        <v>9.8000000000000007</v>
      </c>
      <c r="OM26" s="304">
        <v>9.6999999999999993</v>
      </c>
      <c r="ON26" s="304">
        <v>9.8000000000000007</v>
      </c>
      <c r="OO26" s="304">
        <v>10.3</v>
      </c>
      <c r="OP26" s="304">
        <v>9.5</v>
      </c>
      <c r="OQ26" s="304">
        <v>9.5</v>
      </c>
      <c r="OR26" s="304">
        <v>9.3000000000000007</v>
      </c>
      <c r="OS26" s="303" t="s">
        <v>29</v>
      </c>
      <c r="OT26" s="305">
        <v>0.9</v>
      </c>
      <c r="OU26" s="305">
        <v>-1.1000000000000001</v>
      </c>
      <c r="OV26" s="305">
        <v>-1</v>
      </c>
      <c r="OW26" s="305">
        <v>2.2999999999999998</v>
      </c>
      <c r="OX26" s="305">
        <v>-0.3</v>
      </c>
      <c r="OY26" s="305">
        <v>2.4</v>
      </c>
      <c r="OZ26" s="305">
        <v>0.7</v>
      </c>
      <c r="PA26" s="305">
        <v>1.2</v>
      </c>
      <c r="PB26" s="305">
        <v>-0.4</v>
      </c>
      <c r="PC26" s="305">
        <v>0.6</v>
      </c>
    </row>
    <row r="27" spans="1:419">
      <c r="A27" s="272">
        <v>18</v>
      </c>
      <c r="B27" s="303" t="s">
        <v>30</v>
      </c>
      <c r="C27" s="304">
        <v>1.5</v>
      </c>
      <c r="D27" s="304">
        <v>2.1</v>
      </c>
      <c r="E27" s="304">
        <v>2.6</v>
      </c>
      <c r="F27" s="304">
        <v>2.1</v>
      </c>
      <c r="G27" s="304">
        <v>1.5</v>
      </c>
      <c r="H27" s="304">
        <v>2.5</v>
      </c>
      <c r="I27" s="304">
        <v>2.5</v>
      </c>
      <c r="J27" s="304">
        <v>1.4</v>
      </c>
      <c r="K27" s="304">
        <v>1.4</v>
      </c>
      <c r="L27" s="304">
        <v>1.9</v>
      </c>
      <c r="M27" s="303" t="s">
        <v>30</v>
      </c>
      <c r="N27" s="304">
        <v>17.100000000000001</v>
      </c>
      <c r="O27" s="304">
        <v>23.9</v>
      </c>
      <c r="P27" s="304">
        <v>29.9</v>
      </c>
      <c r="Q27" s="304">
        <v>24.5</v>
      </c>
      <c r="R27" s="304">
        <v>17.3</v>
      </c>
      <c r="S27" s="304">
        <v>28.6</v>
      </c>
      <c r="T27" s="304">
        <v>28.8</v>
      </c>
      <c r="U27" s="304">
        <v>15.9</v>
      </c>
      <c r="V27" s="304">
        <v>15.8</v>
      </c>
      <c r="W27" s="304">
        <v>22</v>
      </c>
      <c r="X27" s="303" t="s">
        <v>30</v>
      </c>
      <c r="Y27" s="304"/>
      <c r="Z27" s="304"/>
      <c r="AA27" s="304"/>
      <c r="AB27" s="304"/>
      <c r="AC27" s="304"/>
      <c r="AD27" s="304"/>
      <c r="AE27" s="304"/>
      <c r="AF27" s="304"/>
      <c r="AG27" s="304"/>
      <c r="AH27" s="304"/>
      <c r="AI27" s="303" t="s">
        <v>30</v>
      </c>
      <c r="AJ27" s="305">
        <v>5</v>
      </c>
      <c r="AK27" s="305">
        <v>9.1</v>
      </c>
      <c r="AL27" s="305">
        <v>15.3</v>
      </c>
      <c r="AM27" s="305">
        <v>9.8000000000000007</v>
      </c>
      <c r="AN27" s="305"/>
      <c r="AO27" s="305">
        <v>12.6</v>
      </c>
      <c r="AP27" s="305">
        <v>15.4</v>
      </c>
      <c r="AQ27" s="305">
        <v>5.6</v>
      </c>
      <c r="AR27" s="305">
        <v>5.4</v>
      </c>
      <c r="AS27" s="305">
        <v>8.6</v>
      </c>
      <c r="AT27" s="303" t="s">
        <v>30</v>
      </c>
      <c r="AU27" s="305"/>
      <c r="AV27" s="305">
        <v>6.8</v>
      </c>
      <c r="AW27" s="305">
        <v>7.3</v>
      </c>
      <c r="AX27" s="305">
        <v>7.5</v>
      </c>
      <c r="AY27" s="305">
        <v>6.1</v>
      </c>
      <c r="AZ27" s="305">
        <v>6.4</v>
      </c>
      <c r="BA27" s="305">
        <v>8.9</v>
      </c>
      <c r="BB27" s="305">
        <v>5.4</v>
      </c>
      <c r="BC27" s="305"/>
      <c r="BD27" s="305">
        <v>6.1</v>
      </c>
      <c r="BE27" s="303" t="s">
        <v>30</v>
      </c>
      <c r="BF27" s="305"/>
      <c r="BG27" s="305"/>
      <c r="BH27" s="305"/>
      <c r="BI27" s="305"/>
      <c r="BJ27" s="305"/>
      <c r="BK27" s="305"/>
      <c r="BL27" s="305"/>
      <c r="BM27" s="305"/>
      <c r="BN27" s="305"/>
      <c r="BO27" s="305"/>
      <c r="BP27" s="303" t="s">
        <v>30</v>
      </c>
      <c r="BQ27" s="307"/>
      <c r="BR27" s="307"/>
      <c r="BS27" s="307"/>
      <c r="BT27" s="307"/>
      <c r="BU27" s="307"/>
      <c r="BV27" s="307"/>
      <c r="BW27" s="307"/>
      <c r="BX27" s="307"/>
      <c r="BY27" s="307"/>
      <c r="BZ27" s="307"/>
      <c r="CA27" s="303" t="s">
        <v>30</v>
      </c>
      <c r="CB27" s="307"/>
      <c r="CC27" s="307"/>
      <c r="CD27" s="307"/>
      <c r="CE27" s="307"/>
      <c r="CF27" s="307"/>
      <c r="CG27" s="307"/>
      <c r="CH27" s="307"/>
      <c r="CI27" s="307"/>
      <c r="CJ27" s="307"/>
      <c r="CK27" s="307"/>
      <c r="CL27" s="303" t="s">
        <v>30</v>
      </c>
      <c r="CM27" s="304"/>
      <c r="CN27" s="304">
        <v>4.7</v>
      </c>
      <c r="CO27" s="304">
        <v>6.8</v>
      </c>
      <c r="CP27" s="304"/>
      <c r="CQ27" s="304"/>
      <c r="CR27" s="304">
        <v>5.6</v>
      </c>
      <c r="CS27" s="304"/>
      <c r="CT27" s="304"/>
      <c r="CU27" s="304"/>
      <c r="CV27" s="304"/>
      <c r="CW27" s="303" t="s">
        <v>30</v>
      </c>
      <c r="CX27" s="304">
        <v>10.8</v>
      </c>
      <c r="CY27" s="304">
        <v>13.9</v>
      </c>
      <c r="CZ27" s="304">
        <v>18.899999999999999</v>
      </c>
      <c r="DA27" s="304">
        <v>15.4</v>
      </c>
      <c r="DB27" s="304">
        <v>10.8</v>
      </c>
      <c r="DC27" s="304">
        <v>17.3</v>
      </c>
      <c r="DD27" s="304">
        <v>19.399999999999999</v>
      </c>
      <c r="DE27" s="304">
        <v>11</v>
      </c>
      <c r="DF27" s="304">
        <v>10.6</v>
      </c>
      <c r="DG27" s="304">
        <v>15.3</v>
      </c>
      <c r="DH27" s="303" t="s">
        <v>30</v>
      </c>
      <c r="DI27" s="304"/>
      <c r="DJ27" s="304">
        <v>5.3</v>
      </c>
      <c r="DK27" s="304"/>
      <c r="DL27" s="304">
        <v>6.4</v>
      </c>
      <c r="DM27" s="304"/>
      <c r="DN27" s="304">
        <v>5.7</v>
      </c>
      <c r="DO27" s="304">
        <v>5.0999999999999996</v>
      </c>
      <c r="DP27" s="304"/>
      <c r="DQ27" s="304"/>
      <c r="DR27" s="304"/>
      <c r="DS27" s="303" t="s">
        <v>30</v>
      </c>
      <c r="DT27" s="304"/>
      <c r="DU27" s="304"/>
      <c r="DV27" s="304"/>
      <c r="DW27" s="304"/>
      <c r="DX27" s="304"/>
      <c r="DY27" s="304"/>
      <c r="DZ27" s="304"/>
      <c r="EA27" s="304"/>
      <c r="EB27" s="304"/>
      <c r="EC27" s="304"/>
      <c r="ED27" s="303" t="s">
        <v>30</v>
      </c>
      <c r="EE27" s="306"/>
      <c r="EF27" s="306"/>
      <c r="EG27" s="306"/>
      <c r="EH27" s="306"/>
      <c r="EI27" s="306"/>
      <c r="EJ27" s="306"/>
      <c r="EK27" s="306"/>
      <c r="EL27" s="306"/>
      <c r="EM27" s="306"/>
      <c r="EN27" s="306"/>
      <c r="EO27" s="303" t="s">
        <v>30</v>
      </c>
      <c r="EP27" s="306"/>
      <c r="EQ27" s="306"/>
      <c r="ER27" s="306"/>
      <c r="ES27" s="306"/>
      <c r="ET27" s="306"/>
      <c r="EU27" s="306"/>
      <c r="EV27" s="306"/>
      <c r="EW27" s="306"/>
      <c r="EX27" s="306"/>
      <c r="EY27" s="306"/>
      <c r="EZ27" s="303" t="s">
        <v>30</v>
      </c>
      <c r="FA27" s="306"/>
      <c r="FB27" s="306"/>
      <c r="FC27" s="306"/>
      <c r="FD27" s="306"/>
      <c r="FE27" s="306"/>
      <c r="FF27" s="306"/>
      <c r="FG27" s="306"/>
      <c r="FH27" s="306"/>
      <c r="FI27" s="306"/>
      <c r="FJ27" s="306"/>
      <c r="FK27" s="303" t="s">
        <v>30</v>
      </c>
      <c r="FL27" s="306"/>
      <c r="FM27" s="306"/>
      <c r="FN27" s="306"/>
      <c r="FO27" s="306"/>
      <c r="FP27" s="306"/>
      <c r="FQ27" s="306"/>
      <c r="FR27" s="306"/>
      <c r="FS27" s="306"/>
      <c r="FT27" s="306"/>
      <c r="FU27" s="306"/>
      <c r="FV27" s="303" t="s">
        <v>30</v>
      </c>
      <c r="FW27" s="306"/>
      <c r="FX27" s="306"/>
      <c r="FY27" s="306"/>
      <c r="FZ27" s="306"/>
      <c r="GA27" s="306"/>
      <c r="GB27" s="306"/>
      <c r="GC27" s="306"/>
      <c r="GD27" s="305"/>
      <c r="GE27" s="306"/>
      <c r="GF27" s="306"/>
      <c r="GG27" s="303" t="s">
        <v>30</v>
      </c>
      <c r="GH27" s="306"/>
      <c r="GI27" s="306"/>
      <c r="GJ27" s="306"/>
      <c r="GK27" s="306"/>
      <c r="GL27" s="306"/>
      <c r="GM27" s="306"/>
      <c r="GN27" s="306"/>
      <c r="GO27" s="306"/>
      <c r="GP27" s="306"/>
      <c r="GQ27" s="306"/>
      <c r="GR27" s="303" t="s">
        <v>30</v>
      </c>
      <c r="GS27" s="305"/>
      <c r="GT27" s="305"/>
      <c r="GU27" s="306"/>
      <c r="GV27" s="306"/>
      <c r="GW27" s="306"/>
      <c r="GX27" s="306"/>
      <c r="GY27" s="305"/>
      <c r="GZ27" s="306"/>
      <c r="HA27" s="306"/>
      <c r="HB27" s="306"/>
      <c r="HC27" s="303" t="s">
        <v>30</v>
      </c>
      <c r="HD27" s="306"/>
      <c r="HE27" s="306"/>
      <c r="HF27" s="306"/>
      <c r="HG27" s="306"/>
      <c r="HH27" s="306"/>
      <c r="HI27" s="306"/>
      <c r="HJ27" s="306"/>
      <c r="HK27" s="306"/>
      <c r="HL27" s="306"/>
      <c r="HM27" s="306"/>
      <c r="HN27" s="303" t="s">
        <v>30</v>
      </c>
      <c r="HO27" s="305">
        <v>5.2</v>
      </c>
      <c r="HP27" s="305">
        <v>7.5</v>
      </c>
      <c r="HQ27" s="305">
        <v>14.8</v>
      </c>
      <c r="HR27" s="305">
        <v>6.9</v>
      </c>
      <c r="HS27" s="305">
        <v>5.3</v>
      </c>
      <c r="HT27" s="305">
        <v>11</v>
      </c>
      <c r="HU27" s="305">
        <v>10.4</v>
      </c>
      <c r="HV27" s="305">
        <v>6.3</v>
      </c>
      <c r="HW27" s="305">
        <v>5.0999999999999996</v>
      </c>
      <c r="HX27" s="305">
        <v>7</v>
      </c>
      <c r="HY27" s="303" t="s">
        <v>30</v>
      </c>
      <c r="HZ27" s="306"/>
      <c r="IA27" s="306"/>
      <c r="IB27" s="306"/>
      <c r="IC27" s="306"/>
      <c r="ID27" s="306"/>
      <c r="IE27" s="306"/>
      <c r="IF27" s="306"/>
      <c r="IG27" s="306"/>
      <c r="IH27" s="306"/>
      <c r="II27" s="306"/>
      <c r="IJ27" s="303" t="s">
        <v>30</v>
      </c>
      <c r="IK27" s="306"/>
      <c r="IL27" s="306"/>
      <c r="IM27" s="306"/>
      <c r="IN27" s="306"/>
      <c r="IO27" s="306"/>
      <c r="IP27" s="306"/>
      <c r="IQ27" s="306"/>
      <c r="IR27" s="306"/>
      <c r="IS27" s="306"/>
      <c r="IT27" s="306"/>
      <c r="IU27" s="303" t="s">
        <v>30</v>
      </c>
      <c r="IV27" s="305"/>
      <c r="IW27" s="305"/>
      <c r="IX27" s="306"/>
      <c r="IY27" s="305"/>
      <c r="IZ27" s="305"/>
      <c r="JA27" s="305"/>
      <c r="JB27" s="306"/>
      <c r="JC27" s="305"/>
      <c r="JD27" s="305"/>
      <c r="JE27" s="305"/>
      <c r="JF27" s="303" t="s">
        <v>30</v>
      </c>
      <c r="JG27" s="305"/>
      <c r="JH27" s="305"/>
      <c r="JI27" s="305"/>
      <c r="JJ27" s="305"/>
      <c r="JK27" s="305"/>
      <c r="JL27" s="305"/>
      <c r="JM27" s="305"/>
      <c r="JN27" s="305"/>
      <c r="JO27" s="305"/>
      <c r="JP27" s="305"/>
      <c r="JQ27" s="303" t="s">
        <v>30</v>
      </c>
      <c r="JR27" s="305"/>
      <c r="JS27" s="305"/>
      <c r="JT27" s="305"/>
      <c r="JU27" s="305"/>
      <c r="JV27" s="305"/>
      <c r="JW27" s="305"/>
      <c r="JX27" s="305"/>
      <c r="JY27" s="305"/>
      <c r="JZ27" s="305"/>
      <c r="KA27" s="305"/>
      <c r="KB27" s="303" t="s">
        <v>30</v>
      </c>
      <c r="KC27" s="305"/>
      <c r="KD27" s="305"/>
      <c r="KE27" s="305"/>
      <c r="KF27" s="305"/>
      <c r="KG27" s="305"/>
      <c r="KH27" s="305"/>
      <c r="KI27" s="305"/>
      <c r="KJ27" s="305"/>
      <c r="KK27" s="305"/>
      <c r="KL27" s="305"/>
      <c r="KM27" s="303" t="s">
        <v>30</v>
      </c>
      <c r="KN27" s="305"/>
      <c r="KO27" s="305"/>
      <c r="KP27" s="305"/>
      <c r="KQ27" s="305"/>
      <c r="KR27" s="305"/>
      <c r="KS27" s="305"/>
      <c r="KT27" s="305"/>
      <c r="KU27" s="305"/>
      <c r="KV27" s="305"/>
      <c r="KW27" s="305"/>
      <c r="KX27" s="303" t="s">
        <v>30</v>
      </c>
      <c r="KY27" s="305"/>
      <c r="KZ27" s="305"/>
      <c r="LA27" s="305"/>
      <c r="LB27" s="305"/>
      <c r="LC27" s="305"/>
      <c r="LD27" s="305"/>
      <c r="LE27" s="305"/>
      <c r="LF27" s="305"/>
      <c r="LG27" s="305"/>
      <c r="LH27" s="305"/>
      <c r="LI27" s="303" t="s">
        <v>30</v>
      </c>
      <c r="LJ27" s="305"/>
      <c r="LK27" s="305"/>
      <c r="LL27" s="305"/>
      <c r="LM27" s="305"/>
      <c r="LN27" s="305"/>
      <c r="LO27" s="305"/>
      <c r="LP27" s="305"/>
      <c r="LQ27" s="305"/>
      <c r="LR27" s="305"/>
      <c r="LS27" s="305"/>
      <c r="LT27" s="303" t="s">
        <v>30</v>
      </c>
      <c r="LU27" s="305"/>
      <c r="LV27" s="305"/>
      <c r="LW27" s="305"/>
      <c r="LX27" s="305"/>
      <c r="LY27" s="305"/>
      <c r="LZ27" s="305"/>
      <c r="MA27" s="305"/>
      <c r="MB27" s="305"/>
      <c r="MC27" s="305"/>
      <c r="MD27" s="305"/>
      <c r="ME27" s="303" t="s">
        <v>30</v>
      </c>
      <c r="MF27" s="305"/>
      <c r="MG27" s="305"/>
      <c r="MH27" s="305"/>
      <c r="MI27" s="305"/>
      <c r="MJ27" s="305"/>
      <c r="MK27" s="305"/>
      <c r="ML27" s="305"/>
      <c r="MM27" s="305"/>
      <c r="MN27" s="305"/>
      <c r="MO27" s="305"/>
      <c r="MP27" s="303" t="s">
        <v>30</v>
      </c>
      <c r="MQ27" s="305"/>
      <c r="MR27" s="305"/>
      <c r="MS27" s="305"/>
      <c r="MT27" s="305"/>
      <c r="MU27" s="305"/>
      <c r="MV27" s="305"/>
      <c r="MW27" s="305"/>
      <c r="MX27" s="305"/>
      <c r="MY27" s="305"/>
      <c r="MZ27" s="305"/>
      <c r="NA27" s="303" t="s">
        <v>30</v>
      </c>
      <c r="NB27" s="305"/>
      <c r="NC27" s="305"/>
      <c r="ND27" s="305"/>
      <c r="NE27" s="305"/>
      <c r="NF27" s="305"/>
      <c r="NG27" s="305"/>
      <c r="NH27" s="305"/>
      <c r="NI27" s="305"/>
      <c r="NJ27" s="305"/>
      <c r="NK27" s="305"/>
      <c r="NL27" s="303" t="s">
        <v>30</v>
      </c>
      <c r="NM27" s="305"/>
      <c r="NN27" s="305"/>
      <c r="NO27" s="305"/>
      <c r="NP27" s="305"/>
      <c r="NQ27" s="305"/>
      <c r="NR27" s="305"/>
      <c r="NS27" s="305"/>
      <c r="NT27" s="305"/>
      <c r="NU27" s="305"/>
      <c r="NV27" s="305"/>
      <c r="NW27" s="303" t="s">
        <v>30</v>
      </c>
      <c r="NX27" s="305"/>
      <c r="NY27" s="305"/>
      <c r="NZ27" s="305"/>
      <c r="OA27" s="305"/>
      <c r="OB27" s="305"/>
      <c r="OC27" s="305"/>
      <c r="OD27" s="305"/>
      <c r="OE27" s="305"/>
      <c r="OF27" s="305"/>
      <c r="OG27" s="305"/>
      <c r="OH27" s="303" t="s">
        <v>30</v>
      </c>
      <c r="OI27" s="304">
        <v>9.1</v>
      </c>
      <c r="OJ27" s="304">
        <v>10.1</v>
      </c>
      <c r="OK27" s="304">
        <v>10</v>
      </c>
      <c r="OL27" s="304">
        <v>9.4</v>
      </c>
      <c r="OM27" s="304">
        <v>8.3000000000000007</v>
      </c>
      <c r="ON27" s="304">
        <v>8.8000000000000007</v>
      </c>
      <c r="OO27" s="304">
        <v>8.4</v>
      </c>
      <c r="OP27" s="304">
        <v>8</v>
      </c>
      <c r="OQ27" s="304">
        <v>7.5</v>
      </c>
      <c r="OR27" s="304">
        <v>7.7</v>
      </c>
      <c r="OS27" s="303" t="s">
        <v>30</v>
      </c>
      <c r="OT27" s="306"/>
      <c r="OU27" s="306"/>
      <c r="OV27" s="306"/>
      <c r="OW27" s="306"/>
      <c r="OX27" s="306"/>
      <c r="OY27" s="306"/>
      <c r="OZ27" s="306"/>
      <c r="PA27" s="306"/>
      <c r="PB27" s="306"/>
      <c r="PC27" s="306"/>
    </row>
    <row r="28" spans="1:419">
      <c r="A28" s="272">
        <v>19</v>
      </c>
      <c r="B28" s="303" t="s">
        <v>31</v>
      </c>
      <c r="C28" s="304">
        <v>8.9</v>
      </c>
      <c r="D28" s="304">
        <v>10</v>
      </c>
      <c r="E28" s="304">
        <v>11.7</v>
      </c>
      <c r="F28" s="304">
        <v>10.4</v>
      </c>
      <c r="G28" s="304">
        <v>8.5</v>
      </c>
      <c r="H28" s="304">
        <v>8.1</v>
      </c>
      <c r="I28" s="304">
        <v>9.8000000000000007</v>
      </c>
      <c r="J28" s="304">
        <v>9.4</v>
      </c>
      <c r="K28" s="304">
        <v>8.8000000000000007</v>
      </c>
      <c r="L28" s="304">
        <v>9.6</v>
      </c>
      <c r="M28" s="303" t="s">
        <v>31</v>
      </c>
      <c r="N28" s="304">
        <v>20.100000000000001</v>
      </c>
      <c r="O28" s="304">
        <v>23.1</v>
      </c>
      <c r="P28" s="304">
        <v>26.4</v>
      </c>
      <c r="Q28" s="304">
        <v>23.7</v>
      </c>
      <c r="R28" s="304">
        <v>19.7</v>
      </c>
      <c r="S28" s="304">
        <v>18.5</v>
      </c>
      <c r="T28" s="304">
        <v>22.4</v>
      </c>
      <c r="U28" s="304">
        <v>21.9</v>
      </c>
      <c r="V28" s="304">
        <v>21.2</v>
      </c>
      <c r="W28" s="304">
        <v>23</v>
      </c>
      <c r="X28" s="303" t="s">
        <v>31</v>
      </c>
      <c r="Y28" s="304"/>
      <c r="Z28" s="304"/>
      <c r="AA28" s="304"/>
      <c r="AB28" s="304"/>
      <c r="AC28" s="304"/>
      <c r="AD28" s="304"/>
      <c r="AE28" s="304"/>
      <c r="AF28" s="304"/>
      <c r="AG28" s="304"/>
      <c r="AH28" s="304"/>
      <c r="AI28" s="303" t="s">
        <v>31</v>
      </c>
      <c r="AJ28" s="305"/>
      <c r="AK28" s="305"/>
      <c r="AL28" s="305"/>
      <c r="AM28" s="305"/>
      <c r="AN28" s="305"/>
      <c r="AO28" s="305"/>
      <c r="AP28" s="305"/>
      <c r="AQ28" s="305"/>
      <c r="AR28" s="305"/>
      <c r="AS28" s="305"/>
      <c r="AT28" s="303" t="s">
        <v>31</v>
      </c>
      <c r="AU28" s="305">
        <v>3.3</v>
      </c>
      <c r="AV28" s="305">
        <v>3.4</v>
      </c>
      <c r="AW28" s="305">
        <v>3.3</v>
      </c>
      <c r="AX28" s="305">
        <v>3.1</v>
      </c>
      <c r="AY28" s="305">
        <v>3.7</v>
      </c>
      <c r="AZ28" s="305">
        <v>2.6</v>
      </c>
      <c r="BA28" s="305">
        <v>3.7</v>
      </c>
      <c r="BB28" s="305">
        <v>4</v>
      </c>
      <c r="BC28" s="305">
        <v>2.6</v>
      </c>
      <c r="BD28" s="305">
        <v>3.7</v>
      </c>
      <c r="BE28" s="303" t="s">
        <v>31</v>
      </c>
      <c r="BF28" s="305">
        <v>5.6</v>
      </c>
      <c r="BG28" s="305">
        <v>5.4</v>
      </c>
      <c r="BH28" s="305">
        <v>6.6</v>
      </c>
      <c r="BI28" s="305">
        <v>7.4</v>
      </c>
      <c r="BJ28" s="305">
        <v>4.5999999999999996</v>
      </c>
      <c r="BK28" s="305">
        <v>5.3</v>
      </c>
      <c r="BL28" s="305">
        <v>5.3</v>
      </c>
      <c r="BM28" s="305">
        <v>5.3</v>
      </c>
      <c r="BN28" s="305">
        <v>6.5</v>
      </c>
      <c r="BO28" s="305">
        <v>6.4</v>
      </c>
      <c r="BP28" s="303" t="s">
        <v>31</v>
      </c>
      <c r="BQ28" s="307">
        <v>0</v>
      </c>
      <c r="BR28" s="307">
        <v>2.2000000000000002</v>
      </c>
      <c r="BS28" s="307">
        <v>2.2000000000000002</v>
      </c>
      <c r="BT28" s="307">
        <v>0</v>
      </c>
      <c r="BU28" s="307">
        <v>0</v>
      </c>
      <c r="BV28" s="307">
        <v>2.2000000000000002</v>
      </c>
      <c r="BW28" s="307">
        <v>2.2000000000000002</v>
      </c>
      <c r="BX28" s="307">
        <v>2</v>
      </c>
      <c r="BY28" s="307">
        <v>0</v>
      </c>
      <c r="BZ28" s="307">
        <v>2.2999999999999998</v>
      </c>
      <c r="CA28" s="303" t="s">
        <v>31</v>
      </c>
      <c r="CB28" s="307">
        <v>3.1</v>
      </c>
      <c r="CC28" s="307">
        <v>5.6999999999999993</v>
      </c>
      <c r="CD28" s="307">
        <v>5.0999999999999996</v>
      </c>
      <c r="CE28" s="307">
        <v>6.3</v>
      </c>
      <c r="CF28" s="307">
        <v>5.0999999999999996</v>
      </c>
      <c r="CG28" s="307">
        <v>5.3</v>
      </c>
      <c r="CH28" s="307">
        <v>4.8000000000000007</v>
      </c>
      <c r="CI28" s="307">
        <v>5.8</v>
      </c>
      <c r="CJ28" s="307">
        <v>6.1999999999999993</v>
      </c>
      <c r="CK28" s="307">
        <v>6.2</v>
      </c>
      <c r="CL28" s="303" t="s">
        <v>31</v>
      </c>
      <c r="CM28" s="304">
        <v>7.2</v>
      </c>
      <c r="CN28" s="304">
        <v>7.2</v>
      </c>
      <c r="CO28" s="304">
        <v>8.9</v>
      </c>
      <c r="CP28" s="304">
        <v>5.8</v>
      </c>
      <c r="CQ28" s="304">
        <v>4.9000000000000004</v>
      </c>
      <c r="CR28" s="304">
        <v>4.0999999999999996</v>
      </c>
      <c r="CS28" s="304">
        <v>6</v>
      </c>
      <c r="CT28" s="304">
        <v>5.6</v>
      </c>
      <c r="CU28" s="304">
        <v>3.9</v>
      </c>
      <c r="CV28" s="304">
        <v>6.2</v>
      </c>
      <c r="CW28" s="303" t="s">
        <v>31</v>
      </c>
      <c r="CX28" s="304">
        <v>4.8</v>
      </c>
      <c r="CY28" s="304">
        <v>5.5</v>
      </c>
      <c r="CZ28" s="304">
        <v>7.7</v>
      </c>
      <c r="DA28" s="304">
        <v>5.6</v>
      </c>
      <c r="DB28" s="304">
        <v>4.5999999999999996</v>
      </c>
      <c r="DC28" s="304">
        <v>5.3</v>
      </c>
      <c r="DD28" s="304">
        <v>7.1</v>
      </c>
      <c r="DE28" s="304">
        <v>4.8</v>
      </c>
      <c r="DF28" s="304">
        <v>5.7</v>
      </c>
      <c r="DG28" s="304">
        <v>5.3</v>
      </c>
      <c r="DH28" s="303" t="s">
        <v>31</v>
      </c>
      <c r="DI28" s="304">
        <v>7.1</v>
      </c>
      <c r="DJ28" s="304">
        <v>9.8000000000000007</v>
      </c>
      <c r="DK28" s="304">
        <v>8.6</v>
      </c>
      <c r="DL28" s="304">
        <v>11.6</v>
      </c>
      <c r="DM28" s="304">
        <v>8.3000000000000007</v>
      </c>
      <c r="DN28" s="304">
        <v>8.1999999999999993</v>
      </c>
      <c r="DO28" s="304">
        <v>7.8</v>
      </c>
      <c r="DP28" s="304">
        <v>8.6999999999999993</v>
      </c>
      <c r="DQ28" s="304">
        <v>9.1999999999999993</v>
      </c>
      <c r="DR28" s="304">
        <v>7.4</v>
      </c>
      <c r="DS28" s="303" t="s">
        <v>31</v>
      </c>
      <c r="DT28" s="303"/>
      <c r="DU28" s="303"/>
      <c r="DV28" s="303"/>
      <c r="DW28" s="303"/>
      <c r="DX28" s="303"/>
      <c r="DY28" s="303"/>
      <c r="DZ28" s="303"/>
      <c r="EA28" s="303">
        <v>2.7</v>
      </c>
      <c r="EB28" s="303">
        <v>2.4</v>
      </c>
      <c r="EC28" s="303">
        <v>4</v>
      </c>
      <c r="ED28" s="303" t="s">
        <v>31</v>
      </c>
      <c r="EE28" s="306"/>
      <c r="EF28" s="306"/>
      <c r="EG28" s="306"/>
      <c r="EH28" s="306"/>
      <c r="EI28" s="306"/>
      <c r="EJ28" s="306"/>
      <c r="EK28" s="306"/>
      <c r="EL28" s="306"/>
      <c r="EM28" s="306"/>
      <c r="EN28" s="306"/>
      <c r="EO28" s="303" t="s">
        <v>31</v>
      </c>
      <c r="EP28" s="305">
        <v>5.6</v>
      </c>
      <c r="EQ28" s="305">
        <v>8.6999999999999993</v>
      </c>
      <c r="ER28" s="305">
        <v>6.8</v>
      </c>
      <c r="ES28" s="305">
        <v>8.6999999999999993</v>
      </c>
      <c r="ET28" s="305">
        <v>7.2</v>
      </c>
      <c r="EU28" s="305">
        <v>6.4</v>
      </c>
      <c r="EV28" s="305">
        <v>7</v>
      </c>
      <c r="EW28" s="305">
        <v>7.8</v>
      </c>
      <c r="EX28" s="305">
        <v>8.1</v>
      </c>
      <c r="EY28" s="305">
        <v>7.2</v>
      </c>
      <c r="EZ28" s="303" t="s">
        <v>31</v>
      </c>
      <c r="FA28" s="305">
        <v>2.9</v>
      </c>
      <c r="FB28" s="305">
        <v>2.7</v>
      </c>
      <c r="FC28" s="305">
        <v>3.6</v>
      </c>
      <c r="FD28" s="305">
        <v>3.5</v>
      </c>
      <c r="FE28" s="305"/>
      <c r="FF28" s="306">
        <v>2.4</v>
      </c>
      <c r="FG28" s="305">
        <v>2.9</v>
      </c>
      <c r="FH28" s="305"/>
      <c r="FI28" s="306">
        <v>2.8</v>
      </c>
      <c r="FJ28" s="305">
        <v>2.7</v>
      </c>
      <c r="FK28" s="303" t="s">
        <v>31</v>
      </c>
      <c r="FL28" s="306"/>
      <c r="FM28" s="306"/>
      <c r="FN28" s="306"/>
      <c r="FO28" s="305"/>
      <c r="FP28" s="305"/>
      <c r="FQ28" s="305"/>
      <c r="FR28" s="306"/>
      <c r="FS28" s="305"/>
      <c r="FT28" s="306"/>
      <c r="FU28" s="305"/>
      <c r="FV28" s="303" t="s">
        <v>31</v>
      </c>
      <c r="FW28" s="305">
        <v>3.1</v>
      </c>
      <c r="FX28" s="305">
        <v>3</v>
      </c>
      <c r="FY28" s="305">
        <v>2.9</v>
      </c>
      <c r="FZ28" s="305">
        <v>2.4</v>
      </c>
      <c r="GA28" s="305">
        <v>2.8</v>
      </c>
      <c r="GB28" s="305">
        <v>3.3</v>
      </c>
      <c r="GC28" s="305">
        <v>4</v>
      </c>
      <c r="GD28" s="305">
        <v>3.7</v>
      </c>
      <c r="GE28" s="305">
        <v>2.9</v>
      </c>
      <c r="GF28" s="305">
        <v>2.8</v>
      </c>
      <c r="GG28" s="303" t="s">
        <v>31</v>
      </c>
      <c r="GH28" s="306"/>
      <c r="GI28" s="306"/>
      <c r="GJ28" s="306"/>
      <c r="GK28" s="306"/>
      <c r="GL28" s="306"/>
      <c r="GM28" s="306"/>
      <c r="GN28" s="306"/>
      <c r="GO28" s="306"/>
      <c r="GP28" s="306"/>
      <c r="GQ28" s="306"/>
      <c r="GR28" s="303" t="s">
        <v>31</v>
      </c>
      <c r="GS28" s="306"/>
      <c r="GT28" s="306"/>
      <c r="GU28" s="305"/>
      <c r="GV28" s="305"/>
      <c r="GW28" s="306"/>
      <c r="GX28" s="306"/>
      <c r="GY28" s="306"/>
      <c r="GZ28" s="306"/>
      <c r="HA28" s="306"/>
      <c r="HB28" s="306"/>
      <c r="HC28" s="303" t="s">
        <v>31</v>
      </c>
      <c r="HD28" s="306"/>
      <c r="HE28" s="306"/>
      <c r="HF28" s="306"/>
      <c r="HG28" s="306"/>
      <c r="HH28" s="306"/>
      <c r="HI28" s="306"/>
      <c r="HJ28" s="306"/>
      <c r="HK28" s="306"/>
      <c r="HL28" s="306"/>
      <c r="HM28" s="306"/>
      <c r="HN28" s="303" t="s">
        <v>31</v>
      </c>
      <c r="HO28" s="306">
        <v>2.7</v>
      </c>
      <c r="HP28" s="305">
        <v>2.5</v>
      </c>
      <c r="HQ28" s="305">
        <v>4.5999999999999996</v>
      </c>
      <c r="HR28" s="305">
        <v>2.8</v>
      </c>
      <c r="HS28" s="305">
        <v>2.4</v>
      </c>
      <c r="HT28" s="305">
        <v>2.7</v>
      </c>
      <c r="HU28" s="305">
        <v>3.2</v>
      </c>
      <c r="HV28" s="305">
        <v>3.2</v>
      </c>
      <c r="HW28" s="305">
        <v>2.2999999999999998</v>
      </c>
      <c r="HX28" s="305">
        <v>3.7</v>
      </c>
      <c r="HY28" s="303" t="s">
        <v>31</v>
      </c>
      <c r="HZ28" s="306"/>
      <c r="IA28" s="306"/>
      <c r="IB28" s="306"/>
      <c r="IC28" s="306"/>
      <c r="ID28" s="306"/>
      <c r="IE28" s="306"/>
      <c r="IF28" s="306"/>
      <c r="IG28" s="306"/>
      <c r="IH28" s="306"/>
      <c r="II28" s="306"/>
      <c r="IJ28" s="303" t="s">
        <v>31</v>
      </c>
      <c r="IK28" s="306"/>
      <c r="IL28" s="306"/>
      <c r="IM28" s="306"/>
      <c r="IN28" s="306"/>
      <c r="IO28" s="306"/>
      <c r="IP28" s="306"/>
      <c r="IQ28" s="306"/>
      <c r="IR28" s="306"/>
      <c r="IS28" s="306"/>
      <c r="IT28" s="306"/>
      <c r="IU28" s="303" t="s">
        <v>31</v>
      </c>
      <c r="IV28" s="305"/>
      <c r="IW28" s="305"/>
      <c r="IX28" s="305"/>
      <c r="IY28" s="305"/>
      <c r="IZ28" s="305"/>
      <c r="JA28" s="305"/>
      <c r="JB28" s="305"/>
      <c r="JC28" s="305"/>
      <c r="JD28" s="305"/>
      <c r="JE28" s="305"/>
      <c r="JF28" s="303" t="s">
        <v>31</v>
      </c>
      <c r="JG28" s="305"/>
      <c r="JH28" s="305"/>
      <c r="JI28" s="305"/>
      <c r="JJ28" s="305"/>
      <c r="JK28" s="305"/>
      <c r="JL28" s="305"/>
      <c r="JM28" s="305"/>
      <c r="JN28" s="305"/>
      <c r="JO28" s="305"/>
      <c r="JP28" s="305"/>
      <c r="JQ28" s="303" t="s">
        <v>31</v>
      </c>
      <c r="JR28" s="305"/>
      <c r="JS28" s="305"/>
      <c r="JT28" s="305"/>
      <c r="JU28" s="305"/>
      <c r="JV28" s="305"/>
      <c r="JW28" s="305"/>
      <c r="JX28" s="305"/>
      <c r="JY28" s="305"/>
      <c r="JZ28" s="305"/>
      <c r="KA28" s="305"/>
      <c r="KB28" s="303" t="s">
        <v>31</v>
      </c>
      <c r="KC28" s="305"/>
      <c r="KD28" s="305"/>
      <c r="KE28" s="305"/>
      <c r="KF28" s="305"/>
      <c r="KG28" s="305"/>
      <c r="KH28" s="305"/>
      <c r="KI28" s="305"/>
      <c r="KJ28" s="305"/>
      <c r="KK28" s="305"/>
      <c r="KL28" s="305"/>
      <c r="KM28" s="303" t="s">
        <v>31</v>
      </c>
      <c r="KN28" s="305"/>
      <c r="KO28" s="305"/>
      <c r="KP28" s="305"/>
      <c r="KQ28" s="305"/>
      <c r="KR28" s="305"/>
      <c r="KS28" s="305"/>
      <c r="KT28" s="305"/>
      <c r="KU28" s="305"/>
      <c r="KV28" s="305"/>
      <c r="KW28" s="305"/>
      <c r="KX28" s="303" t="s">
        <v>31</v>
      </c>
      <c r="KY28" s="305"/>
      <c r="KZ28" s="305"/>
      <c r="LA28" s="305"/>
      <c r="LB28" s="305"/>
      <c r="LC28" s="305"/>
      <c r="LD28" s="305"/>
      <c r="LE28" s="305"/>
      <c r="LF28" s="305"/>
      <c r="LG28" s="305"/>
      <c r="LH28" s="305"/>
      <c r="LI28" s="303" t="s">
        <v>31</v>
      </c>
      <c r="LJ28" s="305"/>
      <c r="LK28" s="305"/>
      <c r="LL28" s="305"/>
      <c r="LM28" s="305"/>
      <c r="LN28" s="305"/>
      <c r="LO28" s="305"/>
      <c r="LP28" s="305"/>
      <c r="LQ28" s="305"/>
      <c r="LR28" s="305"/>
      <c r="LS28" s="305"/>
      <c r="LT28" s="303" t="s">
        <v>31</v>
      </c>
      <c r="LU28" s="305"/>
      <c r="LV28" s="305"/>
      <c r="LW28" s="305"/>
      <c r="LX28" s="305"/>
      <c r="LY28" s="305"/>
      <c r="LZ28" s="305"/>
      <c r="MA28" s="305"/>
      <c r="MB28" s="305"/>
      <c r="MC28" s="305"/>
      <c r="MD28" s="305"/>
      <c r="ME28" s="303" t="s">
        <v>31</v>
      </c>
      <c r="MF28" s="305"/>
      <c r="MG28" s="305"/>
      <c r="MH28" s="305"/>
      <c r="MI28" s="305"/>
      <c r="MJ28" s="305"/>
      <c r="MK28" s="305"/>
      <c r="ML28" s="305"/>
      <c r="MM28" s="305"/>
      <c r="MN28" s="305"/>
      <c r="MO28" s="305"/>
      <c r="MP28" s="303" t="s">
        <v>31</v>
      </c>
      <c r="MQ28" s="305"/>
      <c r="MR28" s="305"/>
      <c r="MS28" s="305"/>
      <c r="MT28" s="305"/>
      <c r="MU28" s="305"/>
      <c r="MV28" s="305"/>
      <c r="MW28" s="305"/>
      <c r="MX28" s="305"/>
      <c r="MY28" s="305"/>
      <c r="MZ28" s="305"/>
      <c r="NA28" s="303" t="s">
        <v>31</v>
      </c>
      <c r="NB28" s="305"/>
      <c r="NC28" s="305"/>
      <c r="ND28" s="305"/>
      <c r="NE28" s="305"/>
      <c r="NF28" s="305"/>
      <c r="NG28" s="305"/>
      <c r="NH28" s="305"/>
      <c r="NI28" s="305"/>
      <c r="NJ28" s="305"/>
      <c r="NK28" s="305"/>
      <c r="NL28" s="303" t="s">
        <v>31</v>
      </c>
      <c r="NM28" s="305"/>
      <c r="NN28" s="305">
        <v>3.6</v>
      </c>
      <c r="NO28" s="305"/>
      <c r="NP28" s="305">
        <v>3.5</v>
      </c>
      <c r="NQ28" s="305">
        <v>2.8</v>
      </c>
      <c r="NR28" s="305">
        <v>3.4</v>
      </c>
      <c r="NS28" s="305">
        <v>2.5</v>
      </c>
      <c r="NT28" s="305">
        <v>2.2000000000000002</v>
      </c>
      <c r="NU28" s="305"/>
      <c r="NV28" s="305">
        <v>2.1</v>
      </c>
      <c r="NW28" s="303" t="s">
        <v>31</v>
      </c>
      <c r="NX28" s="305">
        <v>2.7</v>
      </c>
      <c r="NY28" s="305">
        <v>2.4</v>
      </c>
      <c r="NZ28" s="305">
        <v>3.1</v>
      </c>
      <c r="OA28" s="305">
        <v>2.5</v>
      </c>
      <c r="OB28" s="305">
        <v>2.5</v>
      </c>
      <c r="OC28" s="305">
        <v>2.6</v>
      </c>
      <c r="OD28" s="305">
        <v>2.6</v>
      </c>
      <c r="OE28" s="305">
        <v>3.6</v>
      </c>
      <c r="OF28" s="305">
        <v>2.1</v>
      </c>
      <c r="OG28" s="305">
        <v>2.2000000000000002</v>
      </c>
      <c r="OH28" s="303" t="s">
        <v>31</v>
      </c>
      <c r="OI28" s="304">
        <v>6.4</v>
      </c>
      <c r="OJ28" s="304">
        <v>5.5</v>
      </c>
      <c r="OK28" s="304">
        <v>7.3</v>
      </c>
      <c r="OL28" s="304">
        <v>5.4</v>
      </c>
      <c r="OM28" s="304">
        <v>7.7</v>
      </c>
      <c r="ON28" s="304">
        <v>6.3</v>
      </c>
      <c r="OO28" s="304">
        <v>5.9</v>
      </c>
      <c r="OP28" s="304">
        <v>6.2</v>
      </c>
      <c r="OQ28" s="304">
        <v>7.1</v>
      </c>
      <c r="OR28" s="304">
        <v>5.9</v>
      </c>
      <c r="OS28" s="303" t="s">
        <v>31</v>
      </c>
      <c r="OT28" s="305">
        <v>1.4</v>
      </c>
      <c r="OU28" s="305">
        <v>2.2000000000000002</v>
      </c>
      <c r="OV28" s="305">
        <v>1.4</v>
      </c>
      <c r="OW28" s="305">
        <v>1.8</v>
      </c>
      <c r="OX28" s="305">
        <v>0.8</v>
      </c>
      <c r="OY28" s="305">
        <v>0.8</v>
      </c>
      <c r="OZ28" s="305">
        <v>1.5</v>
      </c>
      <c r="PA28" s="305">
        <v>2.6</v>
      </c>
      <c r="PB28" s="305">
        <v>0.7</v>
      </c>
      <c r="PC28" s="305">
        <v>1.2</v>
      </c>
    </row>
    <row r="29" spans="1:419">
      <c r="A29" s="272">
        <v>20</v>
      </c>
      <c r="B29" s="303" t="s">
        <v>56</v>
      </c>
      <c r="C29" s="304">
        <v>12.6</v>
      </c>
      <c r="D29" s="304">
        <v>14.4</v>
      </c>
      <c r="E29" s="304">
        <v>11.4</v>
      </c>
      <c r="F29" s="304">
        <v>12.1</v>
      </c>
      <c r="G29" s="304">
        <v>11.1</v>
      </c>
      <c r="H29" s="304">
        <v>14.3</v>
      </c>
      <c r="I29" s="304">
        <v>13.9</v>
      </c>
      <c r="J29" s="304">
        <v>14.7</v>
      </c>
      <c r="K29" s="304">
        <v>13.7</v>
      </c>
      <c r="L29" s="304">
        <v>14.3</v>
      </c>
      <c r="M29" s="303" t="s">
        <v>56</v>
      </c>
      <c r="N29" s="304">
        <v>64.8</v>
      </c>
      <c r="O29" s="304">
        <v>73.5</v>
      </c>
      <c r="P29" s="304">
        <v>59.8</v>
      </c>
      <c r="Q29" s="304">
        <v>64.400000000000006</v>
      </c>
      <c r="R29" s="304">
        <v>60</v>
      </c>
      <c r="S29" s="304">
        <v>78.3</v>
      </c>
      <c r="T29" s="304">
        <v>76.400000000000006</v>
      </c>
      <c r="U29" s="304">
        <v>81.400000000000006</v>
      </c>
      <c r="V29" s="304">
        <v>76.3</v>
      </c>
      <c r="W29" s="304">
        <v>79.900000000000006</v>
      </c>
      <c r="X29" s="303" t="s">
        <v>56</v>
      </c>
      <c r="Y29" s="304">
        <v>5.3</v>
      </c>
      <c r="Z29" s="304">
        <v>4.5</v>
      </c>
      <c r="AA29" s="304">
        <v>1.8</v>
      </c>
      <c r="AB29" s="304">
        <v>3.9</v>
      </c>
      <c r="AC29" s="304">
        <v>1.9</v>
      </c>
      <c r="AD29" s="304">
        <v>4</v>
      </c>
      <c r="AE29" s="304">
        <v>3.8</v>
      </c>
      <c r="AF29" s="304">
        <v>4.2</v>
      </c>
      <c r="AG29" s="304">
        <v>5.4</v>
      </c>
      <c r="AH29" s="304"/>
      <c r="AI29" s="303" t="s">
        <v>56</v>
      </c>
      <c r="AJ29" s="305">
        <v>12.5</v>
      </c>
      <c r="AK29" s="305">
        <v>20.100000000000001</v>
      </c>
      <c r="AL29" s="305">
        <v>16</v>
      </c>
      <c r="AM29" s="305">
        <v>18.100000000000001</v>
      </c>
      <c r="AN29" s="305">
        <v>13.5</v>
      </c>
      <c r="AO29" s="305">
        <v>23.1</v>
      </c>
      <c r="AP29" s="305">
        <v>22.6</v>
      </c>
      <c r="AQ29" s="305">
        <v>18</v>
      </c>
      <c r="AR29" s="305">
        <v>18.7</v>
      </c>
      <c r="AS29" s="305">
        <v>21</v>
      </c>
      <c r="AT29" s="303" t="s">
        <v>56</v>
      </c>
      <c r="AU29" s="305">
        <v>12.6</v>
      </c>
      <c r="AV29" s="305">
        <v>18.2</v>
      </c>
      <c r="AW29" s="305">
        <v>16.899999999999999</v>
      </c>
      <c r="AX29" s="305">
        <v>16.600000000000001</v>
      </c>
      <c r="AY29" s="305">
        <v>19.600000000000001</v>
      </c>
      <c r="AZ29" s="305">
        <v>23.3</v>
      </c>
      <c r="BA29" s="305">
        <v>19.8</v>
      </c>
      <c r="BB29" s="305">
        <v>22</v>
      </c>
      <c r="BC29" s="305">
        <v>25.9</v>
      </c>
      <c r="BD29" s="305">
        <v>17.7</v>
      </c>
      <c r="BE29" s="303" t="s">
        <v>56</v>
      </c>
      <c r="BF29" s="305">
        <v>11</v>
      </c>
      <c r="BG29" s="305">
        <v>11.3</v>
      </c>
      <c r="BH29" s="305">
        <v>9</v>
      </c>
      <c r="BI29" s="305">
        <v>8.9</v>
      </c>
      <c r="BJ29" s="305">
        <v>10.9</v>
      </c>
      <c r="BK29" s="305">
        <v>12.1</v>
      </c>
      <c r="BL29" s="305">
        <v>13.8</v>
      </c>
      <c r="BM29" s="305">
        <v>17.399999999999999</v>
      </c>
      <c r="BN29" s="305">
        <v>15.8</v>
      </c>
      <c r="BO29" s="305">
        <v>11.8</v>
      </c>
      <c r="BP29" s="303" t="s">
        <v>56</v>
      </c>
      <c r="BQ29" s="307">
        <v>6.8999999999999995</v>
      </c>
      <c r="BR29" s="307">
        <v>5.5</v>
      </c>
      <c r="BS29" s="307">
        <v>4</v>
      </c>
      <c r="BT29" s="307">
        <v>3.6</v>
      </c>
      <c r="BU29" s="307">
        <v>2</v>
      </c>
      <c r="BV29" s="307">
        <v>2.8</v>
      </c>
      <c r="BW29" s="307">
        <v>3</v>
      </c>
      <c r="BX29" s="307">
        <v>5.6</v>
      </c>
      <c r="BY29" s="307">
        <v>3.2</v>
      </c>
      <c r="BZ29" s="307">
        <v>7.4</v>
      </c>
      <c r="CA29" s="303" t="s">
        <v>56</v>
      </c>
      <c r="CB29" s="307">
        <v>16.5</v>
      </c>
      <c r="CC29" s="307">
        <v>13.9</v>
      </c>
      <c r="CD29" s="307">
        <v>12.100000000000001</v>
      </c>
      <c r="CE29" s="307">
        <v>13.200000000000001</v>
      </c>
      <c r="CF29" s="307">
        <v>11.3</v>
      </c>
      <c r="CG29" s="307">
        <v>11.5</v>
      </c>
      <c r="CH29" s="307">
        <v>12.4</v>
      </c>
      <c r="CI29" s="307">
        <v>14.2</v>
      </c>
      <c r="CJ29" s="307">
        <v>4.9000000000000004</v>
      </c>
      <c r="CK29" s="307">
        <v>21</v>
      </c>
      <c r="CL29" s="303" t="s">
        <v>56</v>
      </c>
      <c r="CM29" s="304">
        <v>16.3</v>
      </c>
      <c r="CN29" s="304">
        <v>19.2</v>
      </c>
      <c r="CO29" s="304">
        <v>11.9</v>
      </c>
      <c r="CP29" s="304">
        <v>13.2</v>
      </c>
      <c r="CQ29" s="304">
        <v>11.4</v>
      </c>
      <c r="CR29" s="304">
        <v>19.100000000000001</v>
      </c>
      <c r="CS29" s="304">
        <v>15.3</v>
      </c>
      <c r="CT29" s="304">
        <v>20.399999999999999</v>
      </c>
      <c r="CU29" s="304">
        <v>22.7</v>
      </c>
      <c r="CV29" s="304">
        <v>16.7</v>
      </c>
      <c r="CW29" s="303" t="s">
        <v>56</v>
      </c>
      <c r="CX29" s="304">
        <v>31.1</v>
      </c>
      <c r="CY29" s="304">
        <v>39.200000000000003</v>
      </c>
      <c r="CZ29" s="304">
        <v>36.200000000000003</v>
      </c>
      <c r="DA29" s="304">
        <v>32.5</v>
      </c>
      <c r="DB29" s="304">
        <v>31.9</v>
      </c>
      <c r="DC29" s="304">
        <v>44.4</v>
      </c>
      <c r="DD29" s="304">
        <v>44.8</v>
      </c>
      <c r="DE29" s="304">
        <v>44.2</v>
      </c>
      <c r="DF29" s="304">
        <v>39.200000000000003</v>
      </c>
      <c r="DG29" s="304">
        <v>44.7</v>
      </c>
      <c r="DH29" s="303" t="s">
        <v>56</v>
      </c>
      <c r="DI29" s="304">
        <v>17.5</v>
      </c>
      <c r="DJ29" s="304">
        <v>15</v>
      </c>
      <c r="DK29" s="304">
        <v>11.8</v>
      </c>
      <c r="DL29" s="304">
        <v>18.7</v>
      </c>
      <c r="DM29" s="304">
        <v>16.7</v>
      </c>
      <c r="DN29" s="304">
        <v>14.9</v>
      </c>
      <c r="DO29" s="304">
        <v>16.3</v>
      </c>
      <c r="DP29" s="304">
        <v>16.899999999999999</v>
      </c>
      <c r="DQ29" s="304">
        <v>14.4</v>
      </c>
      <c r="DR29" s="304">
        <v>18.5</v>
      </c>
      <c r="DS29" s="303" t="s">
        <v>56</v>
      </c>
      <c r="DT29" s="303"/>
      <c r="DU29" s="303"/>
      <c r="DV29" s="303"/>
      <c r="DW29" s="303"/>
      <c r="DX29" s="303"/>
      <c r="DY29" s="303"/>
      <c r="DZ29" s="303"/>
      <c r="EA29" s="303"/>
      <c r="EB29" s="303"/>
      <c r="EC29" s="303"/>
      <c r="ED29" s="303" t="s">
        <v>56</v>
      </c>
      <c r="EE29" s="306"/>
      <c r="EF29" s="306"/>
      <c r="EG29" s="306"/>
      <c r="EH29" s="306"/>
      <c r="EI29" s="306"/>
      <c r="EJ29" s="306"/>
      <c r="EK29" s="306"/>
      <c r="EL29" s="306"/>
      <c r="EM29" s="306"/>
      <c r="EN29" s="306"/>
      <c r="EO29" s="303" t="s">
        <v>56</v>
      </c>
      <c r="EP29" s="305">
        <v>9.3000000000000007</v>
      </c>
      <c r="EQ29" s="305">
        <v>7.4</v>
      </c>
      <c r="ER29" s="305">
        <v>6.1</v>
      </c>
      <c r="ES29" s="305">
        <v>10.8</v>
      </c>
      <c r="ET29" s="305">
        <v>9.3000000000000007</v>
      </c>
      <c r="EU29" s="305">
        <v>8</v>
      </c>
      <c r="EV29" s="305">
        <v>8.1</v>
      </c>
      <c r="EW29" s="305">
        <v>9.6</v>
      </c>
      <c r="EX29" s="305">
        <v>9.1999999999999993</v>
      </c>
      <c r="EY29" s="305">
        <v>8.5</v>
      </c>
      <c r="EZ29" s="303" t="s">
        <v>56</v>
      </c>
      <c r="FA29" s="305">
        <v>4.3</v>
      </c>
      <c r="FB29" s="305">
        <v>5.4</v>
      </c>
      <c r="FC29" s="305">
        <v>3.8</v>
      </c>
      <c r="FD29" s="305">
        <v>4.5</v>
      </c>
      <c r="FE29" s="305">
        <v>2.7</v>
      </c>
      <c r="FF29" s="305">
        <v>4.7</v>
      </c>
      <c r="FG29" s="305">
        <v>5.7</v>
      </c>
      <c r="FH29" s="305">
        <v>7.5</v>
      </c>
      <c r="FI29" s="305">
        <v>4.3</v>
      </c>
      <c r="FJ29" s="305">
        <v>3.8</v>
      </c>
      <c r="FK29" s="303" t="s">
        <v>56</v>
      </c>
      <c r="FL29" s="305">
        <v>4.0999999999999996</v>
      </c>
      <c r="FM29" s="305">
        <v>4.5999999999999996</v>
      </c>
      <c r="FN29" s="305">
        <v>2.8</v>
      </c>
      <c r="FO29" s="305">
        <v>3.9</v>
      </c>
      <c r="FP29" s="305">
        <v>3.8</v>
      </c>
      <c r="FQ29" s="305">
        <v>4</v>
      </c>
      <c r="FR29" s="305">
        <v>5.6</v>
      </c>
      <c r="FS29" s="305">
        <v>3.8</v>
      </c>
      <c r="FT29" s="305">
        <v>3.3</v>
      </c>
      <c r="FU29" s="305">
        <v>5.2</v>
      </c>
      <c r="FV29" s="303" t="s">
        <v>56</v>
      </c>
      <c r="FW29" s="305">
        <v>14.2</v>
      </c>
      <c r="FX29" s="305">
        <v>14.1</v>
      </c>
      <c r="FY29" s="305">
        <v>10.6</v>
      </c>
      <c r="FZ29" s="305">
        <v>11.6</v>
      </c>
      <c r="GA29" s="305">
        <v>12.8</v>
      </c>
      <c r="GB29" s="305">
        <v>13.3</v>
      </c>
      <c r="GC29" s="305">
        <v>14.2</v>
      </c>
      <c r="GD29" s="305">
        <v>16.2</v>
      </c>
      <c r="GE29" s="305">
        <v>13.3</v>
      </c>
      <c r="GF29" s="305">
        <v>14.6</v>
      </c>
      <c r="GG29" s="303" t="s">
        <v>56</v>
      </c>
      <c r="GH29" s="306"/>
      <c r="GI29" s="306"/>
      <c r="GJ29" s="306"/>
      <c r="GK29" s="305"/>
      <c r="GL29" s="306"/>
      <c r="GM29" s="306"/>
      <c r="GN29" s="305"/>
      <c r="GO29" s="306"/>
      <c r="GP29" s="306"/>
      <c r="GQ29" s="306"/>
      <c r="GR29" s="303" t="s">
        <v>56</v>
      </c>
      <c r="GS29" s="305">
        <v>9.9</v>
      </c>
      <c r="GT29" s="305">
        <v>15.1</v>
      </c>
      <c r="GU29" s="305">
        <v>8.6999999999999993</v>
      </c>
      <c r="GV29" s="305">
        <v>12.7</v>
      </c>
      <c r="GW29" s="305">
        <v>10.5</v>
      </c>
      <c r="GX29" s="305">
        <v>15.5</v>
      </c>
      <c r="GY29" s="305">
        <v>13</v>
      </c>
      <c r="GZ29" s="305">
        <v>14.3</v>
      </c>
      <c r="HA29" s="305">
        <v>14.3</v>
      </c>
      <c r="HB29" s="305">
        <v>13.6</v>
      </c>
      <c r="HC29" s="303" t="s">
        <v>56</v>
      </c>
      <c r="HD29" s="305">
        <v>10.7</v>
      </c>
      <c r="HE29" s="305">
        <v>13.3</v>
      </c>
      <c r="HF29" s="305">
        <v>13.6</v>
      </c>
      <c r="HG29" s="305">
        <v>10.1</v>
      </c>
      <c r="HH29" s="305">
        <v>11</v>
      </c>
      <c r="HI29" s="305">
        <v>16</v>
      </c>
      <c r="HJ29" s="305">
        <v>12.1</v>
      </c>
      <c r="HK29" s="305">
        <v>10.9</v>
      </c>
      <c r="HL29" s="305">
        <v>14.6</v>
      </c>
      <c r="HM29" s="305">
        <v>15</v>
      </c>
      <c r="HN29" s="303" t="s">
        <v>56</v>
      </c>
      <c r="HO29" s="305">
        <v>10.3</v>
      </c>
      <c r="HP29" s="305">
        <v>11.8</v>
      </c>
      <c r="HQ29" s="305">
        <v>11.9</v>
      </c>
      <c r="HR29" s="305">
        <v>8.8000000000000007</v>
      </c>
      <c r="HS29" s="305">
        <v>8.3000000000000007</v>
      </c>
      <c r="HT29" s="305">
        <v>13</v>
      </c>
      <c r="HU29" s="305">
        <v>14.3</v>
      </c>
      <c r="HV29" s="305">
        <v>16.5</v>
      </c>
      <c r="HW29" s="305">
        <v>15.9</v>
      </c>
      <c r="HX29" s="305">
        <v>14.9</v>
      </c>
      <c r="HY29" s="303" t="s">
        <v>56</v>
      </c>
      <c r="HZ29" s="306"/>
      <c r="IA29" s="306"/>
      <c r="IB29" s="306"/>
      <c r="IC29" s="306"/>
      <c r="ID29" s="306"/>
      <c r="IE29" s="306"/>
      <c r="IF29" s="306"/>
      <c r="IG29" s="306"/>
      <c r="IH29" s="306"/>
      <c r="II29" s="306"/>
      <c r="IJ29" s="303" t="s">
        <v>56</v>
      </c>
      <c r="IK29" s="306"/>
      <c r="IL29" s="306"/>
      <c r="IM29" s="306"/>
      <c r="IN29" s="306"/>
      <c r="IO29" s="306"/>
      <c r="IP29" s="306"/>
      <c r="IQ29" s="306"/>
      <c r="IR29" s="306"/>
      <c r="IS29" s="306"/>
      <c r="IT29" s="306"/>
      <c r="IU29" s="303" t="s">
        <v>56</v>
      </c>
      <c r="IV29" s="305">
        <v>3.3</v>
      </c>
      <c r="IW29" s="305">
        <v>4</v>
      </c>
      <c r="IX29" s="305">
        <v>4.0999999999999996</v>
      </c>
      <c r="IY29" s="305">
        <v>3.2</v>
      </c>
      <c r="IZ29" s="305">
        <v>2.6</v>
      </c>
      <c r="JA29" s="305">
        <v>4.5999999999999996</v>
      </c>
      <c r="JB29" s="305">
        <v>6.5</v>
      </c>
      <c r="JC29" s="305">
        <v>2.7</v>
      </c>
      <c r="JD29" s="305">
        <v>4.9000000000000004</v>
      </c>
      <c r="JE29" s="305">
        <v>4.3</v>
      </c>
      <c r="JF29" s="303" t="s">
        <v>56</v>
      </c>
      <c r="JG29" s="305">
        <v>15.8</v>
      </c>
      <c r="JH29" s="305">
        <v>18.600000000000001</v>
      </c>
      <c r="JI29" s="305">
        <v>15.3</v>
      </c>
      <c r="JJ29" s="305">
        <v>17.899999999999999</v>
      </c>
      <c r="JK29" s="305">
        <v>16.100000000000001</v>
      </c>
      <c r="JL29" s="305">
        <v>22.5</v>
      </c>
      <c r="JM29" s="305">
        <v>19.8</v>
      </c>
      <c r="JN29" s="305">
        <v>18.899999999999999</v>
      </c>
      <c r="JO29" s="305">
        <v>18.7</v>
      </c>
      <c r="JP29" s="305">
        <v>21.9</v>
      </c>
      <c r="JQ29" s="303" t="s">
        <v>56</v>
      </c>
      <c r="JR29" s="305">
        <v>8.1999999999999993</v>
      </c>
      <c r="JS29" s="305">
        <v>11.4</v>
      </c>
      <c r="JT29" s="305">
        <v>9.1</v>
      </c>
      <c r="JU29" s="305">
        <v>12.3</v>
      </c>
      <c r="JV29" s="305">
        <v>7.3</v>
      </c>
      <c r="JW29" s="305">
        <v>12.7</v>
      </c>
      <c r="JX29" s="305">
        <v>11.4</v>
      </c>
      <c r="JY29" s="305">
        <v>14.1</v>
      </c>
      <c r="JZ29" s="305">
        <v>10</v>
      </c>
      <c r="KA29" s="305">
        <v>11.5</v>
      </c>
      <c r="KB29" s="303" t="s">
        <v>56</v>
      </c>
      <c r="KC29" s="305">
        <v>8.8000000000000007</v>
      </c>
      <c r="KD29" s="305">
        <v>8.1999999999999993</v>
      </c>
      <c r="KE29" s="305">
        <v>7.2</v>
      </c>
      <c r="KF29" s="305">
        <v>9.1</v>
      </c>
      <c r="KG29" s="305">
        <v>6.5</v>
      </c>
      <c r="KH29" s="305">
        <v>8.6</v>
      </c>
      <c r="KI29" s="305">
        <v>9.8000000000000007</v>
      </c>
      <c r="KJ29" s="305">
        <v>11.7</v>
      </c>
      <c r="KK29" s="305">
        <v>14.3</v>
      </c>
      <c r="KL29" s="305">
        <v>10.5</v>
      </c>
      <c r="KM29" s="303" t="s">
        <v>56</v>
      </c>
      <c r="KN29" s="305">
        <v>3.2</v>
      </c>
      <c r="KO29" s="305">
        <v>3.7</v>
      </c>
      <c r="KP29" s="305">
        <v>3.8</v>
      </c>
      <c r="KQ29" s="305">
        <v>2.2000000000000002</v>
      </c>
      <c r="KR29" s="305">
        <v>1.5</v>
      </c>
      <c r="KS29" s="305">
        <v>3.7</v>
      </c>
      <c r="KT29" s="305">
        <v>3.8</v>
      </c>
      <c r="KU29" s="305">
        <v>3.2</v>
      </c>
      <c r="KV29" s="305">
        <v>3</v>
      </c>
      <c r="KW29" s="305">
        <v>2.8</v>
      </c>
      <c r="KX29" s="303" t="s">
        <v>56</v>
      </c>
      <c r="KY29" s="305">
        <v>7.1</v>
      </c>
      <c r="KZ29" s="305">
        <v>7.2</v>
      </c>
      <c r="LA29" s="305">
        <v>5</v>
      </c>
      <c r="LB29" s="305">
        <v>3.6</v>
      </c>
      <c r="LC29" s="305">
        <v>6.3</v>
      </c>
      <c r="LD29" s="305">
        <v>6.7</v>
      </c>
      <c r="LE29" s="305">
        <v>6.5</v>
      </c>
      <c r="LF29" s="305">
        <v>6.1</v>
      </c>
      <c r="LG29" s="305">
        <v>5</v>
      </c>
      <c r="LH29" s="305">
        <v>6.3</v>
      </c>
      <c r="LI29" s="303" t="s">
        <v>56</v>
      </c>
      <c r="LJ29" s="305">
        <v>1.5</v>
      </c>
      <c r="LK29" s="305">
        <v>2.2000000000000002</v>
      </c>
      <c r="LL29" s="305"/>
      <c r="LM29" s="305">
        <v>2.1</v>
      </c>
      <c r="LN29" s="305"/>
      <c r="LO29" s="305"/>
      <c r="LP29" s="305">
        <v>1.7</v>
      </c>
      <c r="LQ29" s="305"/>
      <c r="LR29" s="305">
        <v>2</v>
      </c>
      <c r="LS29" s="305"/>
      <c r="LT29" s="303" t="s">
        <v>56</v>
      </c>
      <c r="LU29" s="305"/>
      <c r="LV29" s="305"/>
      <c r="LW29" s="305"/>
      <c r="LX29" s="305"/>
      <c r="LY29" s="305"/>
      <c r="LZ29" s="305"/>
      <c r="MA29" s="305"/>
      <c r="MB29" s="305"/>
      <c r="MC29" s="305"/>
      <c r="MD29" s="305"/>
      <c r="ME29" s="303" t="s">
        <v>56</v>
      </c>
      <c r="MF29" s="305"/>
      <c r="MG29" s="305"/>
      <c r="MH29" s="305"/>
      <c r="MI29" s="305"/>
      <c r="MJ29" s="305"/>
      <c r="MK29" s="305"/>
      <c r="ML29" s="305"/>
      <c r="MM29" s="305"/>
      <c r="MN29" s="305"/>
      <c r="MO29" s="305"/>
      <c r="MP29" s="303" t="s">
        <v>56</v>
      </c>
      <c r="MQ29" s="305">
        <v>1.9</v>
      </c>
      <c r="MR29" s="305">
        <v>2</v>
      </c>
      <c r="MS29" s="305">
        <v>2.2000000000000002</v>
      </c>
      <c r="MT29" s="305"/>
      <c r="MU29" s="305">
        <v>1.6</v>
      </c>
      <c r="MV29" s="305">
        <v>2.2000000000000002</v>
      </c>
      <c r="MW29" s="305">
        <v>1.7</v>
      </c>
      <c r="MX29" s="305">
        <v>2.5</v>
      </c>
      <c r="MY29" s="305">
        <v>2.6</v>
      </c>
      <c r="MZ29" s="305">
        <v>2.1</v>
      </c>
      <c r="NA29" s="303" t="s">
        <v>56</v>
      </c>
      <c r="NB29" s="305">
        <v>2.5</v>
      </c>
      <c r="NC29" s="305">
        <v>3.2</v>
      </c>
      <c r="ND29" s="305">
        <v>1.7</v>
      </c>
      <c r="NE29" s="305">
        <v>2.9</v>
      </c>
      <c r="NF29" s="305">
        <v>3.6</v>
      </c>
      <c r="NG29" s="305">
        <v>3.1</v>
      </c>
      <c r="NH29" s="305">
        <v>3</v>
      </c>
      <c r="NI29" s="305">
        <v>3.5</v>
      </c>
      <c r="NJ29" s="305">
        <v>2.4</v>
      </c>
      <c r="NK29" s="305">
        <v>4.4000000000000004</v>
      </c>
      <c r="NL29" s="303" t="s">
        <v>56</v>
      </c>
      <c r="NM29" s="305">
        <v>2.5</v>
      </c>
      <c r="NN29" s="305">
        <v>3.2</v>
      </c>
      <c r="NO29" s="305">
        <v>2.8</v>
      </c>
      <c r="NP29" s="305">
        <v>4.3</v>
      </c>
      <c r="NQ29" s="305">
        <v>3.6</v>
      </c>
      <c r="NR29" s="305">
        <v>3.2</v>
      </c>
      <c r="NS29" s="305">
        <v>3.6</v>
      </c>
      <c r="NT29" s="305">
        <v>3.1</v>
      </c>
      <c r="NU29" s="305">
        <v>2.2999999999999998</v>
      </c>
      <c r="NV29" s="305">
        <v>4</v>
      </c>
      <c r="NW29" s="303" t="s">
        <v>56</v>
      </c>
      <c r="NX29" s="305">
        <v>2.6</v>
      </c>
      <c r="NY29" s="305">
        <v>2.2999999999999998</v>
      </c>
      <c r="NZ29" s="305">
        <v>2.2000000000000002</v>
      </c>
      <c r="OA29" s="305"/>
      <c r="OB29" s="305"/>
      <c r="OC29" s="305">
        <v>2.7</v>
      </c>
      <c r="OD29" s="305">
        <v>2.8</v>
      </c>
      <c r="OE29" s="305">
        <v>2.6</v>
      </c>
      <c r="OF29" s="305"/>
      <c r="OG29" s="305">
        <v>2.2999999999999998</v>
      </c>
      <c r="OH29" s="303" t="s">
        <v>56</v>
      </c>
      <c r="OI29" s="304">
        <v>27.9</v>
      </c>
      <c r="OJ29" s="304">
        <v>27.6</v>
      </c>
      <c r="OK29" s="304">
        <v>27.4</v>
      </c>
      <c r="OL29" s="304">
        <v>26.9</v>
      </c>
      <c r="OM29" s="304">
        <v>25.5</v>
      </c>
      <c r="ON29" s="304">
        <v>24.7</v>
      </c>
      <c r="OO29" s="304">
        <v>24.5</v>
      </c>
      <c r="OP29" s="304">
        <v>24</v>
      </c>
      <c r="OQ29" s="304">
        <v>23.4</v>
      </c>
      <c r="OR29" s="304">
        <v>23.1</v>
      </c>
      <c r="OS29" s="303" t="s">
        <v>56</v>
      </c>
      <c r="OT29" s="306">
        <v>0.8</v>
      </c>
      <c r="OU29" s="306">
        <v>0</v>
      </c>
      <c r="OV29" s="306">
        <v>0.4</v>
      </c>
      <c r="OW29" s="306">
        <v>0.4</v>
      </c>
      <c r="OX29" s="306">
        <v>0.8</v>
      </c>
      <c r="OY29" s="306">
        <v>0.3</v>
      </c>
      <c r="OZ29" s="306">
        <v>0.9</v>
      </c>
      <c r="PA29" s="306">
        <v>0.7</v>
      </c>
      <c r="PB29" s="306">
        <v>0.6</v>
      </c>
      <c r="PC29" s="306">
        <v>1.5</v>
      </c>
    </row>
    <row r="30" spans="1:419">
      <c r="A30" s="272">
        <v>21</v>
      </c>
      <c r="B30" s="303" t="s">
        <v>33</v>
      </c>
      <c r="C30" s="304">
        <v>6.7</v>
      </c>
      <c r="D30" s="304">
        <v>7.1</v>
      </c>
      <c r="E30" s="304">
        <v>8.3000000000000007</v>
      </c>
      <c r="F30" s="304">
        <v>7.5</v>
      </c>
      <c r="G30" s="304">
        <v>7.3</v>
      </c>
      <c r="H30" s="304">
        <v>7.3</v>
      </c>
      <c r="I30" s="304">
        <v>7.8</v>
      </c>
      <c r="J30" s="304">
        <v>7.7</v>
      </c>
      <c r="K30" s="304">
        <v>6.2</v>
      </c>
      <c r="L30" s="304">
        <v>5.5</v>
      </c>
      <c r="M30" s="303" t="s">
        <v>33</v>
      </c>
      <c r="N30" s="304">
        <v>10.3</v>
      </c>
      <c r="O30" s="304">
        <v>11.2</v>
      </c>
      <c r="P30" s="304">
        <v>13.5</v>
      </c>
      <c r="Q30" s="304">
        <v>11.8</v>
      </c>
      <c r="R30" s="304">
        <v>11.6</v>
      </c>
      <c r="S30" s="304">
        <v>12.1</v>
      </c>
      <c r="T30" s="304">
        <v>12.9</v>
      </c>
      <c r="U30" s="304">
        <v>12.6</v>
      </c>
      <c r="V30" s="304">
        <v>10.199999999999999</v>
      </c>
      <c r="W30" s="304">
        <v>9.1999999999999993</v>
      </c>
      <c r="X30" s="303" t="s">
        <v>33</v>
      </c>
      <c r="Y30" s="303"/>
      <c r="Z30" s="304"/>
      <c r="AA30" s="304"/>
      <c r="AB30" s="304"/>
      <c r="AC30" s="303"/>
      <c r="AD30" s="304"/>
      <c r="AE30" s="304"/>
      <c r="AF30" s="304"/>
      <c r="AG30" s="303"/>
      <c r="AH30" s="303"/>
      <c r="AI30" s="303" t="s">
        <v>33</v>
      </c>
      <c r="AJ30" s="305"/>
      <c r="AK30" s="305"/>
      <c r="AL30" s="305"/>
      <c r="AM30" s="305"/>
      <c r="AN30" s="305"/>
      <c r="AO30" s="305"/>
      <c r="AP30" s="305"/>
      <c r="AQ30" s="306"/>
      <c r="AR30" s="305"/>
      <c r="AS30" s="305"/>
      <c r="AT30" s="303" t="s">
        <v>33</v>
      </c>
      <c r="AU30" s="305">
        <v>2.2000000000000002</v>
      </c>
      <c r="AV30" s="305">
        <v>2.2000000000000002</v>
      </c>
      <c r="AW30" s="306">
        <v>3.3</v>
      </c>
      <c r="AX30" s="306">
        <v>3.6</v>
      </c>
      <c r="AY30" s="305">
        <v>2.6</v>
      </c>
      <c r="AZ30" s="305">
        <v>2.1</v>
      </c>
      <c r="BA30" s="305">
        <v>2</v>
      </c>
      <c r="BB30" s="305">
        <v>3.8</v>
      </c>
      <c r="BC30" s="305">
        <v>2</v>
      </c>
      <c r="BD30" s="305">
        <v>1.9</v>
      </c>
      <c r="BE30" s="303" t="s">
        <v>33</v>
      </c>
      <c r="BF30" s="306">
        <v>4.2</v>
      </c>
      <c r="BG30" s="306">
        <v>4.8</v>
      </c>
      <c r="BH30" s="306">
        <v>5.2</v>
      </c>
      <c r="BI30" s="306">
        <v>4.2</v>
      </c>
      <c r="BJ30" s="306">
        <v>4.7</v>
      </c>
      <c r="BK30" s="306">
        <v>5.6</v>
      </c>
      <c r="BL30" s="306">
        <v>4.4000000000000004</v>
      </c>
      <c r="BM30" s="306">
        <v>5</v>
      </c>
      <c r="BN30" s="305">
        <v>4</v>
      </c>
      <c r="BO30" s="306">
        <v>3.4</v>
      </c>
      <c r="BP30" s="303" t="s">
        <v>33</v>
      </c>
      <c r="BQ30" s="307"/>
      <c r="BR30" s="307"/>
      <c r="BS30" s="307"/>
      <c r="BT30" s="307"/>
      <c r="BU30" s="307"/>
      <c r="BV30" s="307"/>
      <c r="BW30" s="307"/>
      <c r="BX30" s="307"/>
      <c r="BY30" s="307"/>
      <c r="BZ30" s="307"/>
      <c r="CA30" s="303" t="s">
        <v>33</v>
      </c>
      <c r="CB30" s="307"/>
      <c r="CC30" s="307"/>
      <c r="CD30" s="307"/>
      <c r="CE30" s="307"/>
      <c r="CF30" s="307"/>
      <c r="CG30" s="307"/>
      <c r="CH30" s="307"/>
      <c r="CI30" s="307"/>
      <c r="CJ30" s="307"/>
      <c r="CK30" s="307"/>
      <c r="CL30" s="303" t="s">
        <v>33</v>
      </c>
      <c r="CM30" s="303">
        <v>4.5</v>
      </c>
      <c r="CN30" s="304">
        <v>4.7</v>
      </c>
      <c r="CO30" s="304">
        <v>4.8</v>
      </c>
      <c r="CP30" s="303">
        <v>4.4000000000000004</v>
      </c>
      <c r="CQ30" s="304">
        <v>4.2</v>
      </c>
      <c r="CR30" s="304">
        <v>4.9000000000000004</v>
      </c>
      <c r="CS30" s="303">
        <v>3.7</v>
      </c>
      <c r="CT30" s="303">
        <v>3.9</v>
      </c>
      <c r="CU30" s="304">
        <v>3.9</v>
      </c>
      <c r="CV30" s="303">
        <v>3.3</v>
      </c>
      <c r="CW30" s="303" t="s">
        <v>33</v>
      </c>
      <c r="CX30" s="304">
        <v>3.4</v>
      </c>
      <c r="CY30" s="304">
        <v>3.6</v>
      </c>
      <c r="CZ30" s="304">
        <v>5.3</v>
      </c>
      <c r="DA30" s="304">
        <v>4.0999999999999996</v>
      </c>
      <c r="DB30" s="304">
        <v>3.5</v>
      </c>
      <c r="DC30" s="304">
        <v>4.2</v>
      </c>
      <c r="DD30" s="304">
        <v>6</v>
      </c>
      <c r="DE30" s="304">
        <v>4.8</v>
      </c>
      <c r="DF30" s="304">
        <v>3.6</v>
      </c>
      <c r="DG30" s="304">
        <v>3.5</v>
      </c>
      <c r="DH30" s="303" t="s">
        <v>33</v>
      </c>
      <c r="DI30" s="303">
        <v>2.4</v>
      </c>
      <c r="DJ30" s="304">
        <v>2.9</v>
      </c>
      <c r="DK30" s="304">
        <v>3.3</v>
      </c>
      <c r="DL30" s="303">
        <v>3.3</v>
      </c>
      <c r="DM30" s="304">
        <v>3.9</v>
      </c>
      <c r="DN30" s="303">
        <v>3</v>
      </c>
      <c r="DO30" s="304">
        <v>3.2</v>
      </c>
      <c r="DP30" s="303">
        <v>3.9</v>
      </c>
      <c r="DQ30" s="304">
        <v>2.7</v>
      </c>
      <c r="DR30" s="304">
        <v>2.4</v>
      </c>
      <c r="DS30" s="303" t="s">
        <v>33</v>
      </c>
      <c r="DT30" s="303"/>
      <c r="DU30" s="303"/>
      <c r="DV30" s="303"/>
      <c r="DW30" s="303"/>
      <c r="DX30" s="303"/>
      <c r="DY30" s="303"/>
      <c r="DZ30" s="303"/>
      <c r="EA30" s="303"/>
      <c r="EB30" s="303"/>
      <c r="EC30" s="303"/>
      <c r="ED30" s="303" t="s">
        <v>33</v>
      </c>
      <c r="EE30" s="306"/>
      <c r="EF30" s="306"/>
      <c r="EG30" s="306"/>
      <c r="EH30" s="306"/>
      <c r="EI30" s="306"/>
      <c r="EJ30" s="306"/>
      <c r="EK30" s="306"/>
      <c r="EL30" s="306"/>
      <c r="EM30" s="306"/>
      <c r="EN30" s="306"/>
      <c r="EO30" s="303" t="s">
        <v>33</v>
      </c>
      <c r="EP30" s="305"/>
      <c r="EQ30" s="306"/>
      <c r="ER30" s="306"/>
      <c r="ES30" s="306"/>
      <c r="ET30" s="306"/>
      <c r="EU30" s="306"/>
      <c r="EV30" s="305"/>
      <c r="EW30" s="305"/>
      <c r="EX30" s="305"/>
      <c r="EY30" s="306"/>
      <c r="EZ30" s="303" t="s">
        <v>33</v>
      </c>
      <c r="FA30" s="306"/>
      <c r="FB30" s="306"/>
      <c r="FC30" s="306"/>
      <c r="FD30" s="305"/>
      <c r="FE30" s="305"/>
      <c r="FF30" s="306"/>
      <c r="FG30" s="306"/>
      <c r="FH30" s="305"/>
      <c r="FI30" s="305"/>
      <c r="FJ30" s="306"/>
      <c r="FK30" s="303" t="s">
        <v>33</v>
      </c>
      <c r="FL30" s="305"/>
      <c r="FM30" s="306"/>
      <c r="FN30" s="306">
        <v>2</v>
      </c>
      <c r="FO30" s="305">
        <v>1.8</v>
      </c>
      <c r="FP30" s="305">
        <v>2.1</v>
      </c>
      <c r="FQ30" s="305"/>
      <c r="FR30" s="306">
        <v>2.1</v>
      </c>
      <c r="FS30" s="305">
        <v>2.5</v>
      </c>
      <c r="FT30" s="305"/>
      <c r="FU30" s="306"/>
      <c r="FV30" s="303" t="s">
        <v>33</v>
      </c>
      <c r="FW30" s="305">
        <v>2.2000000000000002</v>
      </c>
      <c r="FX30" s="305">
        <v>1.9</v>
      </c>
      <c r="FY30" s="305">
        <v>3.3</v>
      </c>
      <c r="FZ30" s="305">
        <v>2.9</v>
      </c>
      <c r="GA30" s="305">
        <v>2.7</v>
      </c>
      <c r="GB30" s="305">
        <v>2.8</v>
      </c>
      <c r="GC30" s="305">
        <v>3.4</v>
      </c>
      <c r="GD30" s="305">
        <v>2.4</v>
      </c>
      <c r="GE30" s="305">
        <v>3</v>
      </c>
      <c r="GF30" s="305">
        <v>2.6</v>
      </c>
      <c r="GG30" s="303" t="s">
        <v>33</v>
      </c>
      <c r="GH30" s="306"/>
      <c r="GI30" s="306"/>
      <c r="GJ30" s="306"/>
      <c r="GK30" s="306"/>
      <c r="GL30" s="306"/>
      <c r="GM30" s="306"/>
      <c r="GN30" s="306"/>
      <c r="GO30" s="306"/>
      <c r="GP30" s="306"/>
      <c r="GQ30" s="306"/>
      <c r="GR30" s="303" t="s">
        <v>33</v>
      </c>
      <c r="GS30" s="306"/>
      <c r="GT30" s="306"/>
      <c r="GU30" s="306"/>
      <c r="GV30" s="306"/>
      <c r="GW30" s="306"/>
      <c r="GX30" s="306"/>
      <c r="GY30" s="306"/>
      <c r="GZ30" s="306"/>
      <c r="HA30" s="306"/>
      <c r="HB30" s="306"/>
      <c r="HC30" s="303" t="s">
        <v>33</v>
      </c>
      <c r="HD30" s="305"/>
      <c r="HE30" s="306"/>
      <c r="HF30" s="306"/>
      <c r="HG30" s="306"/>
      <c r="HH30" s="306"/>
      <c r="HI30" s="306"/>
      <c r="HJ30" s="306"/>
      <c r="HK30" s="306"/>
      <c r="HL30" s="306"/>
      <c r="HM30" s="306"/>
      <c r="HN30" s="303" t="s">
        <v>33</v>
      </c>
      <c r="HO30" s="305"/>
      <c r="HP30" s="305"/>
      <c r="HQ30" s="305"/>
      <c r="HR30" s="305"/>
      <c r="HS30" s="306"/>
      <c r="HT30" s="306"/>
      <c r="HU30" s="305"/>
      <c r="HV30" s="306"/>
      <c r="HW30" s="306"/>
      <c r="HX30" s="306"/>
      <c r="HY30" s="303" t="s">
        <v>33</v>
      </c>
      <c r="HZ30" s="306"/>
      <c r="IA30" s="306"/>
      <c r="IB30" s="306"/>
      <c r="IC30" s="306"/>
      <c r="ID30" s="306"/>
      <c r="IE30" s="306"/>
      <c r="IF30" s="306"/>
      <c r="IG30" s="306"/>
      <c r="IH30" s="306"/>
      <c r="II30" s="306"/>
      <c r="IJ30" s="303" t="s">
        <v>33</v>
      </c>
      <c r="IK30" s="306"/>
      <c r="IL30" s="306"/>
      <c r="IM30" s="306"/>
      <c r="IN30" s="306"/>
      <c r="IO30" s="306"/>
      <c r="IP30" s="306"/>
      <c r="IQ30" s="306"/>
      <c r="IR30" s="306"/>
      <c r="IS30" s="306"/>
      <c r="IT30" s="306"/>
      <c r="IU30" s="303" t="s">
        <v>33</v>
      </c>
      <c r="IV30" s="305"/>
      <c r="IW30" s="305"/>
      <c r="IX30" s="306"/>
      <c r="IY30" s="306"/>
      <c r="IZ30" s="306"/>
      <c r="JA30" s="305"/>
      <c r="JB30" s="306"/>
      <c r="JC30" s="306"/>
      <c r="JD30" s="306"/>
      <c r="JE30" s="306"/>
      <c r="JF30" s="303" t="s">
        <v>33</v>
      </c>
      <c r="JG30" s="305"/>
      <c r="JH30" s="305"/>
      <c r="JI30" s="305"/>
      <c r="JJ30" s="306"/>
      <c r="JK30" s="306"/>
      <c r="JL30" s="306"/>
      <c r="JM30" s="306"/>
      <c r="JN30" s="306"/>
      <c r="JO30" s="306"/>
      <c r="JP30" s="306"/>
      <c r="JQ30" s="303" t="s">
        <v>33</v>
      </c>
      <c r="JR30" s="305"/>
      <c r="JS30" s="305"/>
      <c r="JT30" s="306"/>
      <c r="JU30" s="306"/>
      <c r="JV30" s="306"/>
      <c r="JW30" s="306"/>
      <c r="JX30" s="306"/>
      <c r="JY30" s="306"/>
      <c r="JZ30" s="306"/>
      <c r="KA30" s="306"/>
      <c r="KB30" s="303" t="s">
        <v>33</v>
      </c>
      <c r="KC30" s="305"/>
      <c r="KD30" s="305"/>
      <c r="KE30" s="306"/>
      <c r="KF30" s="306"/>
      <c r="KG30" s="306"/>
      <c r="KH30" s="305"/>
      <c r="KI30" s="306"/>
      <c r="KJ30" s="306"/>
      <c r="KK30" s="306"/>
      <c r="KL30" s="305"/>
      <c r="KM30" s="303" t="s">
        <v>33</v>
      </c>
      <c r="KN30" s="306"/>
      <c r="KO30" s="306"/>
      <c r="KP30" s="306"/>
      <c r="KQ30" s="306"/>
      <c r="KR30" s="306"/>
      <c r="KS30" s="306"/>
      <c r="KT30" s="306"/>
      <c r="KU30" s="306"/>
      <c r="KV30" s="306"/>
      <c r="KW30" s="306"/>
      <c r="KX30" s="303" t="s">
        <v>33</v>
      </c>
      <c r="KY30" s="306"/>
      <c r="KZ30" s="306"/>
      <c r="LA30" s="306"/>
      <c r="LB30" s="306"/>
      <c r="LC30" s="306"/>
      <c r="LD30" s="306"/>
      <c r="LE30" s="306"/>
      <c r="LF30" s="306"/>
      <c r="LG30" s="306"/>
      <c r="LH30" s="306"/>
      <c r="LI30" s="303" t="s">
        <v>33</v>
      </c>
      <c r="LJ30" s="306"/>
      <c r="LK30" s="306"/>
      <c r="LL30" s="306"/>
      <c r="LM30" s="306"/>
      <c r="LN30" s="306"/>
      <c r="LO30" s="306"/>
      <c r="LP30" s="306"/>
      <c r="LQ30" s="306"/>
      <c r="LR30" s="306"/>
      <c r="LS30" s="306"/>
      <c r="LT30" s="303" t="s">
        <v>33</v>
      </c>
      <c r="LU30" s="306"/>
      <c r="LV30" s="306"/>
      <c r="LW30" s="306"/>
      <c r="LX30" s="306"/>
      <c r="LY30" s="306"/>
      <c r="LZ30" s="306"/>
      <c r="MA30" s="306"/>
      <c r="MB30" s="306"/>
      <c r="MC30" s="306"/>
      <c r="MD30" s="306"/>
      <c r="ME30" s="303" t="s">
        <v>33</v>
      </c>
      <c r="MF30" s="306"/>
      <c r="MG30" s="306"/>
      <c r="MH30" s="306"/>
      <c r="MI30" s="306"/>
      <c r="MJ30" s="306"/>
      <c r="MK30" s="306"/>
      <c r="ML30" s="306"/>
      <c r="MM30" s="306"/>
      <c r="MN30" s="306"/>
      <c r="MO30" s="306"/>
      <c r="MP30" s="303" t="s">
        <v>33</v>
      </c>
      <c r="MQ30" s="306"/>
      <c r="MR30" s="306"/>
      <c r="MS30" s="306"/>
      <c r="MT30" s="306"/>
      <c r="MU30" s="306"/>
      <c r="MV30" s="306"/>
      <c r="MW30" s="306"/>
      <c r="MX30" s="306"/>
      <c r="MY30" s="306"/>
      <c r="MZ30" s="306"/>
      <c r="NA30" s="303" t="s">
        <v>33</v>
      </c>
      <c r="NB30" s="306"/>
      <c r="NC30" s="306"/>
      <c r="ND30" s="306"/>
      <c r="NE30" s="306"/>
      <c r="NF30" s="306"/>
      <c r="NG30" s="306"/>
      <c r="NH30" s="306"/>
      <c r="NI30" s="306"/>
      <c r="NJ30" s="306"/>
      <c r="NK30" s="306"/>
      <c r="NL30" s="303" t="s">
        <v>33</v>
      </c>
      <c r="NM30" s="306"/>
      <c r="NN30" s="306"/>
      <c r="NO30" s="306"/>
      <c r="NP30" s="306"/>
      <c r="NQ30" s="306"/>
      <c r="NR30" s="306"/>
      <c r="NS30" s="306"/>
      <c r="NT30" s="306"/>
      <c r="NU30" s="306"/>
      <c r="NV30" s="306"/>
      <c r="NW30" s="303" t="s">
        <v>33</v>
      </c>
      <c r="NX30" s="306"/>
      <c r="NY30" s="306"/>
      <c r="NZ30" s="306"/>
      <c r="OA30" s="306"/>
      <c r="OB30" s="306"/>
      <c r="OC30" s="306"/>
      <c r="OD30" s="306"/>
      <c r="OE30" s="306"/>
      <c r="OF30" s="306"/>
      <c r="OG30" s="306"/>
      <c r="OH30" s="303" t="s">
        <v>33</v>
      </c>
      <c r="OI30" s="304">
        <v>5.9</v>
      </c>
      <c r="OJ30" s="304">
        <v>5.7</v>
      </c>
      <c r="OK30" s="304">
        <v>5.7</v>
      </c>
      <c r="OL30" s="304">
        <v>5.4</v>
      </c>
      <c r="OM30" s="304">
        <v>5.3</v>
      </c>
      <c r="ON30" s="304">
        <v>5.2</v>
      </c>
      <c r="OO30" s="304">
        <v>4.9000000000000004</v>
      </c>
      <c r="OP30" s="304">
        <v>4.9000000000000004</v>
      </c>
      <c r="OQ30" s="304">
        <v>4.8</v>
      </c>
      <c r="OR30" s="304">
        <v>4.2</v>
      </c>
      <c r="OS30" s="303" t="s">
        <v>33</v>
      </c>
      <c r="OT30" s="305">
        <v>-0.1</v>
      </c>
      <c r="OU30" s="305">
        <v>0.5</v>
      </c>
      <c r="OV30" s="305">
        <v>1.3</v>
      </c>
      <c r="OW30" s="305">
        <v>-1.2</v>
      </c>
      <c r="OX30" s="305">
        <v>1.3</v>
      </c>
      <c r="OY30" s="305">
        <v>-0.2</v>
      </c>
      <c r="OZ30" s="305">
        <v>-0.7</v>
      </c>
      <c r="PA30" s="305">
        <v>1.4</v>
      </c>
      <c r="PB30" s="305">
        <v>0.1</v>
      </c>
      <c r="PC30" s="305">
        <v>1.1000000000000001</v>
      </c>
    </row>
    <row r="31" spans="1:419">
      <c r="A31" s="269">
        <v>22</v>
      </c>
      <c r="B31" s="285" t="s">
        <v>34</v>
      </c>
      <c r="C31" s="286">
        <v>19</v>
      </c>
      <c r="D31" s="286">
        <v>19.899999999999999</v>
      </c>
      <c r="E31" s="286">
        <v>20.7</v>
      </c>
      <c r="F31" s="286">
        <v>20.2</v>
      </c>
      <c r="G31" s="286">
        <v>19.7</v>
      </c>
      <c r="H31" s="286">
        <v>20.399999999999999</v>
      </c>
      <c r="I31" s="286">
        <v>21.1</v>
      </c>
      <c r="J31" s="286">
        <v>21.3</v>
      </c>
      <c r="K31" s="286">
        <v>21.2</v>
      </c>
      <c r="L31" s="286">
        <v>21.7</v>
      </c>
      <c r="M31" s="285" t="s">
        <v>34</v>
      </c>
      <c r="N31" s="286">
        <v>1278.5999999999999</v>
      </c>
      <c r="O31" s="286">
        <v>1350.3</v>
      </c>
      <c r="P31" s="286">
        <v>1412.2</v>
      </c>
      <c r="Q31" s="286">
        <v>1370.9</v>
      </c>
      <c r="R31" s="286">
        <v>1325.3</v>
      </c>
      <c r="S31" s="286">
        <v>1397.1</v>
      </c>
      <c r="T31" s="286">
        <v>1455.4</v>
      </c>
      <c r="U31" s="286">
        <v>1467.4</v>
      </c>
      <c r="V31" s="286">
        <v>1454.7</v>
      </c>
      <c r="W31" s="286">
        <v>1510.6</v>
      </c>
      <c r="X31" s="285" t="s">
        <v>34</v>
      </c>
      <c r="Y31" s="286">
        <v>3</v>
      </c>
      <c r="Z31" s="286">
        <v>4.3</v>
      </c>
      <c r="AA31" s="286">
        <v>10.6</v>
      </c>
      <c r="AB31" s="286">
        <v>4.0999999999999996</v>
      </c>
      <c r="AC31" s="286">
        <v>4.2</v>
      </c>
      <c r="AD31" s="286">
        <v>5.4</v>
      </c>
      <c r="AE31" s="286">
        <v>9.6999999999999993</v>
      </c>
      <c r="AF31" s="286">
        <v>6.2</v>
      </c>
      <c r="AG31" s="286">
        <v>4.5</v>
      </c>
      <c r="AH31" s="286">
        <v>3.8</v>
      </c>
      <c r="AI31" s="285" t="s">
        <v>34</v>
      </c>
      <c r="AJ31" s="281">
        <v>59.4</v>
      </c>
      <c r="AK31" s="281">
        <v>69.8</v>
      </c>
      <c r="AL31" s="281">
        <v>96.3</v>
      </c>
      <c r="AM31" s="280">
        <v>73</v>
      </c>
      <c r="AN31" s="280">
        <v>53.2</v>
      </c>
      <c r="AO31" s="280">
        <v>60.4</v>
      </c>
      <c r="AP31" s="281">
        <v>90.5</v>
      </c>
      <c r="AQ31" s="281">
        <v>61</v>
      </c>
      <c r="AR31" s="281">
        <v>56.7</v>
      </c>
      <c r="AS31" s="281">
        <v>68.900000000000006</v>
      </c>
      <c r="AT31" s="285" t="s">
        <v>34</v>
      </c>
      <c r="AU31" s="280">
        <v>70</v>
      </c>
      <c r="AV31" s="280">
        <v>77.099999999999994</v>
      </c>
      <c r="AW31" s="280">
        <v>70.5</v>
      </c>
      <c r="AX31" s="280">
        <v>56.1</v>
      </c>
      <c r="AY31" s="280">
        <v>55.5</v>
      </c>
      <c r="AZ31" s="280">
        <v>63.2</v>
      </c>
      <c r="BA31" s="280">
        <v>71.5</v>
      </c>
      <c r="BB31" s="280">
        <v>61.1</v>
      </c>
      <c r="BC31" s="280">
        <v>59</v>
      </c>
      <c r="BD31" s="280">
        <v>67.400000000000006</v>
      </c>
      <c r="BE31" s="285" t="s">
        <v>34</v>
      </c>
      <c r="BF31" s="280">
        <v>353.6</v>
      </c>
      <c r="BG31" s="280">
        <v>355.3</v>
      </c>
      <c r="BH31" s="280">
        <v>364.3</v>
      </c>
      <c r="BI31" s="280">
        <v>386.9</v>
      </c>
      <c r="BJ31" s="280">
        <v>400.1</v>
      </c>
      <c r="BK31" s="280">
        <v>409.4</v>
      </c>
      <c r="BL31" s="280">
        <v>404.4</v>
      </c>
      <c r="BM31" s="280">
        <v>399</v>
      </c>
      <c r="BN31" s="280">
        <v>425</v>
      </c>
      <c r="BO31" s="280">
        <v>424.5</v>
      </c>
      <c r="BP31" s="285" t="s">
        <v>34</v>
      </c>
      <c r="BQ31" s="283">
        <v>44.599999999999994</v>
      </c>
      <c r="BR31" s="283">
        <v>48.3</v>
      </c>
      <c r="BS31" s="283">
        <v>50.6</v>
      </c>
      <c r="BT31" s="283">
        <v>46</v>
      </c>
      <c r="BU31" s="283">
        <v>51.8</v>
      </c>
      <c r="BV31" s="283">
        <v>42.3</v>
      </c>
      <c r="BW31" s="283">
        <v>57.7</v>
      </c>
      <c r="BX31" s="283">
        <v>57.9</v>
      </c>
      <c r="BY31" s="283">
        <v>48.7</v>
      </c>
      <c r="BZ31" s="283">
        <v>58.9</v>
      </c>
      <c r="CA31" s="282" t="s">
        <v>34</v>
      </c>
      <c r="CB31" s="283">
        <v>28.700000000000003</v>
      </c>
      <c r="CC31" s="283">
        <v>32.5</v>
      </c>
      <c r="CD31" s="283">
        <v>36</v>
      </c>
      <c r="CE31" s="283">
        <v>33.700000000000003</v>
      </c>
      <c r="CF31" s="283">
        <v>27.9</v>
      </c>
      <c r="CG31" s="283">
        <v>29.3</v>
      </c>
      <c r="CH31" s="283">
        <v>31</v>
      </c>
      <c r="CI31" s="283">
        <v>30.5</v>
      </c>
      <c r="CJ31" s="283">
        <v>29.5</v>
      </c>
      <c r="CK31" s="283">
        <v>31.1</v>
      </c>
      <c r="CL31" s="285" t="s">
        <v>34</v>
      </c>
      <c r="CM31" s="286">
        <v>398.5</v>
      </c>
      <c r="CN31" s="286">
        <v>426.9</v>
      </c>
      <c r="CO31" s="286">
        <v>428.7</v>
      </c>
      <c r="CP31" s="286">
        <v>423</v>
      </c>
      <c r="CQ31" s="286">
        <v>426.3</v>
      </c>
      <c r="CR31" s="286">
        <v>452.3</v>
      </c>
      <c r="CS31" s="286">
        <v>458</v>
      </c>
      <c r="CT31" s="286">
        <v>457.1</v>
      </c>
      <c r="CU31" s="286">
        <v>453.9</v>
      </c>
      <c r="CV31" s="286">
        <v>471.2</v>
      </c>
      <c r="CW31" s="285" t="s">
        <v>34</v>
      </c>
      <c r="CX31" s="286">
        <v>538.29999999999995</v>
      </c>
      <c r="CY31" s="286">
        <v>564.1</v>
      </c>
      <c r="CZ31" s="286">
        <v>604.29999999999995</v>
      </c>
      <c r="DA31" s="286">
        <v>571.70000000000005</v>
      </c>
      <c r="DB31" s="286">
        <v>538.4</v>
      </c>
      <c r="DC31" s="286">
        <v>571.9</v>
      </c>
      <c r="DD31" s="286">
        <v>618.9</v>
      </c>
      <c r="DE31" s="286">
        <v>600.70000000000005</v>
      </c>
      <c r="DF31" s="286">
        <v>593</v>
      </c>
      <c r="DG31" s="286">
        <v>613.79999999999995</v>
      </c>
      <c r="DH31" s="285" t="s">
        <v>34</v>
      </c>
      <c r="DI31" s="286">
        <v>330.3</v>
      </c>
      <c r="DJ31" s="286">
        <v>348.3</v>
      </c>
      <c r="DK31" s="286">
        <v>366.6</v>
      </c>
      <c r="DL31" s="286">
        <v>366</v>
      </c>
      <c r="DM31" s="286">
        <v>349.6</v>
      </c>
      <c r="DN31" s="286">
        <v>357.6</v>
      </c>
      <c r="DO31" s="286">
        <v>363.4</v>
      </c>
      <c r="DP31" s="286">
        <v>392.9</v>
      </c>
      <c r="DQ31" s="286">
        <v>389.2</v>
      </c>
      <c r="DR31" s="286">
        <v>407.2</v>
      </c>
      <c r="DS31" s="285" t="s">
        <v>34</v>
      </c>
      <c r="DT31" s="287">
        <v>11.6</v>
      </c>
      <c r="DU31" s="287">
        <v>11.1</v>
      </c>
      <c r="DV31" s="287">
        <v>12.5</v>
      </c>
      <c r="DW31" s="287">
        <v>10.1</v>
      </c>
      <c r="DX31" s="287">
        <v>11</v>
      </c>
      <c r="DY31" s="287">
        <v>15.3</v>
      </c>
      <c r="DZ31" s="287">
        <v>15.1</v>
      </c>
      <c r="EA31" s="286">
        <v>16.7</v>
      </c>
      <c r="EB31" s="287">
        <v>18.5</v>
      </c>
      <c r="EC31" s="287">
        <v>18.399999999999999</v>
      </c>
      <c r="ED31" s="285" t="s">
        <v>34</v>
      </c>
      <c r="EE31" s="280">
        <v>20</v>
      </c>
      <c r="EF31" s="280">
        <v>19</v>
      </c>
      <c r="EG31" s="280">
        <v>19.3</v>
      </c>
      <c r="EH31" s="280">
        <v>20.2</v>
      </c>
      <c r="EI31" s="280">
        <v>21.3</v>
      </c>
      <c r="EJ31" s="280">
        <v>25.2</v>
      </c>
      <c r="EK31" s="280">
        <v>22.8</v>
      </c>
      <c r="EL31" s="280">
        <v>25.9</v>
      </c>
      <c r="EM31" s="280">
        <v>22.2</v>
      </c>
      <c r="EN31" s="280">
        <v>23.4</v>
      </c>
      <c r="EO31" s="285" t="s">
        <v>34</v>
      </c>
      <c r="EP31" s="280">
        <v>213.2</v>
      </c>
      <c r="EQ31" s="280">
        <v>226.6</v>
      </c>
      <c r="ER31" s="280">
        <v>227.3</v>
      </c>
      <c r="ES31" s="280">
        <v>244.3</v>
      </c>
      <c r="ET31" s="280">
        <v>234.8</v>
      </c>
      <c r="EU31" s="280">
        <v>235.4</v>
      </c>
      <c r="EV31" s="280">
        <v>229.6</v>
      </c>
      <c r="EW31" s="280">
        <v>248.3</v>
      </c>
      <c r="EX31" s="280">
        <v>241.2</v>
      </c>
      <c r="EY31" s="280">
        <v>257.8</v>
      </c>
      <c r="EZ31" s="285" t="s">
        <v>34</v>
      </c>
      <c r="FA31" s="280">
        <v>149</v>
      </c>
      <c r="FB31" s="280">
        <v>146.9</v>
      </c>
      <c r="FC31" s="280">
        <v>158.69999999999999</v>
      </c>
      <c r="FD31" s="280">
        <v>149.19999999999999</v>
      </c>
      <c r="FE31" s="280">
        <v>141.30000000000001</v>
      </c>
      <c r="FF31" s="280">
        <v>143.30000000000001</v>
      </c>
      <c r="FG31" s="280">
        <v>159.5</v>
      </c>
      <c r="FH31" s="280">
        <v>174.2</v>
      </c>
      <c r="FI31" s="280">
        <v>176</v>
      </c>
      <c r="FJ31" s="280">
        <v>179.2</v>
      </c>
      <c r="FK31" s="285" t="s">
        <v>34</v>
      </c>
      <c r="FL31" s="280">
        <v>126.7</v>
      </c>
      <c r="FM31" s="280">
        <v>136.1</v>
      </c>
      <c r="FN31" s="280">
        <v>133.6</v>
      </c>
      <c r="FO31" s="280">
        <v>132.19999999999999</v>
      </c>
      <c r="FP31" s="280">
        <v>124.7</v>
      </c>
      <c r="FQ31" s="280">
        <v>136.6</v>
      </c>
      <c r="FR31" s="280">
        <v>145.30000000000001</v>
      </c>
      <c r="FS31" s="280">
        <v>146</v>
      </c>
      <c r="FT31" s="280">
        <v>139.6</v>
      </c>
      <c r="FU31" s="280">
        <v>147</v>
      </c>
      <c r="FV31" s="285" t="s">
        <v>34</v>
      </c>
      <c r="FW31" s="280">
        <v>348.3</v>
      </c>
      <c r="FX31" s="280">
        <v>370.6</v>
      </c>
      <c r="FY31" s="280">
        <v>388.8</v>
      </c>
      <c r="FZ31" s="280">
        <v>370.6</v>
      </c>
      <c r="GA31" s="280">
        <v>351.9</v>
      </c>
      <c r="GB31" s="280">
        <v>383.1</v>
      </c>
      <c r="GC31" s="280">
        <v>388.1</v>
      </c>
      <c r="GD31" s="280">
        <v>387.4</v>
      </c>
      <c r="GE31" s="280">
        <v>388.1</v>
      </c>
      <c r="GF31" s="280">
        <v>400</v>
      </c>
      <c r="GG31" s="285" t="s">
        <v>34</v>
      </c>
      <c r="GH31" s="280">
        <v>13.5</v>
      </c>
      <c r="GI31" s="280">
        <v>18.5</v>
      </c>
      <c r="GJ31" s="280">
        <v>17.100000000000001</v>
      </c>
      <c r="GK31" s="280">
        <v>14.7</v>
      </c>
      <c r="GL31" s="280">
        <v>13.7</v>
      </c>
      <c r="GM31" s="280">
        <v>20.100000000000001</v>
      </c>
      <c r="GN31" s="280">
        <v>19.100000000000001</v>
      </c>
      <c r="GO31" s="280">
        <v>16.399999999999999</v>
      </c>
      <c r="GP31" s="280">
        <v>15.1</v>
      </c>
      <c r="GQ31" s="280">
        <v>19</v>
      </c>
      <c r="GR31" s="285" t="s">
        <v>34</v>
      </c>
      <c r="GS31" s="280">
        <v>94.4</v>
      </c>
      <c r="GT31" s="280">
        <v>101.9</v>
      </c>
      <c r="GU31" s="280">
        <v>107.2</v>
      </c>
      <c r="GV31" s="280">
        <v>112</v>
      </c>
      <c r="GW31" s="280">
        <v>103.5</v>
      </c>
      <c r="GX31" s="280">
        <v>109.2</v>
      </c>
      <c r="GY31" s="280">
        <v>114.9</v>
      </c>
      <c r="GZ31" s="280">
        <v>114.4</v>
      </c>
      <c r="HA31" s="280">
        <v>105.4</v>
      </c>
      <c r="HB31" s="280">
        <v>101.9</v>
      </c>
      <c r="HC31" s="279" t="s">
        <v>34</v>
      </c>
      <c r="HD31" s="280">
        <v>67.5</v>
      </c>
      <c r="HE31" s="280">
        <v>70.599999999999994</v>
      </c>
      <c r="HF31" s="280">
        <v>72.599999999999994</v>
      </c>
      <c r="HG31" s="280">
        <v>67</v>
      </c>
      <c r="HH31" s="280">
        <v>74.599999999999994</v>
      </c>
      <c r="HI31" s="280">
        <v>70.900000000000006</v>
      </c>
      <c r="HJ31" s="280">
        <v>75</v>
      </c>
      <c r="HK31" s="280">
        <v>77.599999999999994</v>
      </c>
      <c r="HL31" s="280">
        <v>74.400000000000006</v>
      </c>
      <c r="HM31" s="280">
        <v>76.400000000000006</v>
      </c>
      <c r="HN31" s="285" t="s">
        <v>34</v>
      </c>
      <c r="HO31" s="280">
        <v>230.7</v>
      </c>
      <c r="HP31" s="280">
        <v>243.1</v>
      </c>
      <c r="HQ31" s="280">
        <v>270.8</v>
      </c>
      <c r="HR31" s="280">
        <v>245.6</v>
      </c>
      <c r="HS31" s="280">
        <v>243.8</v>
      </c>
      <c r="HT31" s="280">
        <v>256.39999999999998</v>
      </c>
      <c r="HU31" s="280">
        <v>281.8</v>
      </c>
      <c r="HV31" s="280">
        <v>257.7</v>
      </c>
      <c r="HW31" s="280">
        <v>272.7</v>
      </c>
      <c r="HX31" s="280">
        <v>279.8</v>
      </c>
      <c r="HY31" s="285" t="s">
        <v>34</v>
      </c>
      <c r="HZ31" s="281"/>
      <c r="IA31" s="281"/>
      <c r="IB31" s="281"/>
      <c r="IC31" s="281"/>
      <c r="ID31" s="281"/>
      <c r="IE31" s="281"/>
      <c r="IF31" s="281"/>
      <c r="IG31" s="281"/>
      <c r="IH31" s="281"/>
      <c r="II31" s="281"/>
      <c r="IJ31" s="285" t="s">
        <v>34</v>
      </c>
      <c r="IK31" s="280">
        <v>14.9</v>
      </c>
      <c r="IL31" s="280">
        <v>16.100000000000001</v>
      </c>
      <c r="IM31" s="280">
        <v>16.100000000000001</v>
      </c>
      <c r="IN31" s="280">
        <v>14.4</v>
      </c>
      <c r="IO31" s="280">
        <v>15.7</v>
      </c>
      <c r="IP31" s="280">
        <v>16.600000000000001</v>
      </c>
      <c r="IQ31" s="280">
        <v>19.100000000000001</v>
      </c>
      <c r="IR31" s="280">
        <v>18.600000000000001</v>
      </c>
      <c r="IS31" s="280">
        <v>19.100000000000001</v>
      </c>
      <c r="IT31" s="280">
        <v>25.3</v>
      </c>
      <c r="IU31" s="285" t="s">
        <v>34</v>
      </c>
      <c r="IV31" s="281">
        <v>16.899999999999999</v>
      </c>
      <c r="IW31" s="281">
        <v>22.3</v>
      </c>
      <c r="IX31" s="281">
        <v>22.2</v>
      </c>
      <c r="IY31" s="281">
        <v>18.899999999999999</v>
      </c>
      <c r="IZ31" s="281">
        <v>19.899999999999999</v>
      </c>
      <c r="JA31" s="281">
        <v>21.2</v>
      </c>
      <c r="JB31" s="281">
        <v>21.7</v>
      </c>
      <c r="JC31" s="281">
        <v>15.9</v>
      </c>
      <c r="JD31" s="281">
        <v>17.100000000000001</v>
      </c>
      <c r="JE31" s="281">
        <v>20.5</v>
      </c>
      <c r="JF31" s="285" t="s">
        <v>34</v>
      </c>
      <c r="JG31" s="281">
        <v>106.1</v>
      </c>
      <c r="JH31" s="281">
        <v>109.5</v>
      </c>
      <c r="JI31" s="281">
        <v>119.1</v>
      </c>
      <c r="JJ31" s="281">
        <v>120.6</v>
      </c>
      <c r="JK31" s="281">
        <v>109.3</v>
      </c>
      <c r="JL31" s="281">
        <v>118.8</v>
      </c>
      <c r="JM31" s="281">
        <v>121.1</v>
      </c>
      <c r="JN31" s="281">
        <v>130.4</v>
      </c>
      <c r="JO31" s="281">
        <v>124.1</v>
      </c>
      <c r="JP31" s="281">
        <v>120.4</v>
      </c>
      <c r="JQ31" s="285" t="s">
        <v>34</v>
      </c>
      <c r="JR31" s="281">
        <v>37.200000000000003</v>
      </c>
      <c r="JS31" s="281">
        <v>43.4</v>
      </c>
      <c r="JT31" s="281">
        <v>44.6</v>
      </c>
      <c r="JU31" s="281">
        <v>44.8</v>
      </c>
      <c r="JV31" s="281">
        <v>38.5</v>
      </c>
      <c r="JW31" s="281">
        <v>42.4</v>
      </c>
      <c r="JX31" s="281">
        <v>48.4</v>
      </c>
      <c r="JY31" s="281">
        <v>50.9</v>
      </c>
      <c r="JZ31" s="281">
        <v>44.6</v>
      </c>
      <c r="KA31" s="281">
        <v>44.8</v>
      </c>
      <c r="KB31" s="285" t="s">
        <v>34</v>
      </c>
      <c r="KC31" s="281">
        <v>233.2</v>
      </c>
      <c r="KD31" s="280">
        <v>245.8</v>
      </c>
      <c r="KE31" s="281">
        <v>248.5</v>
      </c>
      <c r="KF31" s="280">
        <v>244.5</v>
      </c>
      <c r="KG31" s="280">
        <v>243.1</v>
      </c>
      <c r="KH31" s="280">
        <v>262.10000000000002</v>
      </c>
      <c r="KI31" s="280">
        <v>268.89999999999998</v>
      </c>
      <c r="KJ31" s="281">
        <v>272.89999999999998</v>
      </c>
      <c r="KK31" s="281">
        <v>278.39999999999998</v>
      </c>
      <c r="KL31" s="281">
        <v>275.7</v>
      </c>
      <c r="KM31" s="285" t="s">
        <v>34</v>
      </c>
      <c r="KN31" s="281">
        <v>58.1</v>
      </c>
      <c r="KO31" s="281">
        <v>60.5</v>
      </c>
      <c r="KP31" s="281">
        <v>64.5</v>
      </c>
      <c r="KQ31" s="281">
        <v>61.7</v>
      </c>
      <c r="KR31" s="281">
        <v>66.099999999999994</v>
      </c>
      <c r="KS31" s="281">
        <v>66.7</v>
      </c>
      <c r="KT31" s="281">
        <v>70.2</v>
      </c>
      <c r="KU31" s="281">
        <v>70.2</v>
      </c>
      <c r="KV31" s="281">
        <v>63.2</v>
      </c>
      <c r="KW31" s="281">
        <v>70.7</v>
      </c>
      <c r="KX31" s="285" t="s">
        <v>34</v>
      </c>
      <c r="KY31" s="281">
        <v>115.5</v>
      </c>
      <c r="KZ31" s="281">
        <v>132</v>
      </c>
      <c r="LA31" s="281">
        <v>146.1</v>
      </c>
      <c r="LB31" s="281">
        <v>128.69999999999999</v>
      </c>
      <c r="LC31" s="281">
        <v>123.6</v>
      </c>
      <c r="LD31" s="281">
        <v>141.30000000000001</v>
      </c>
      <c r="LE31" s="281">
        <v>144.6</v>
      </c>
      <c r="LF31" s="281">
        <v>123.4</v>
      </c>
      <c r="LG31" s="281">
        <v>130</v>
      </c>
      <c r="LH31" s="281">
        <v>130.6</v>
      </c>
      <c r="LI31" s="285" t="s">
        <v>34</v>
      </c>
      <c r="LJ31" s="281">
        <v>24.8</v>
      </c>
      <c r="LK31" s="281">
        <v>26.4</v>
      </c>
      <c r="LL31" s="281">
        <v>27.8</v>
      </c>
      <c r="LM31" s="281">
        <v>27.2</v>
      </c>
      <c r="LN31" s="281">
        <v>28.8</v>
      </c>
      <c r="LO31" s="281">
        <v>32.1</v>
      </c>
      <c r="LP31" s="281">
        <v>32.700000000000003</v>
      </c>
      <c r="LQ31" s="281">
        <v>32.799999999999997</v>
      </c>
      <c r="LR31" s="281">
        <v>28</v>
      </c>
      <c r="LS31" s="281">
        <v>29.3</v>
      </c>
      <c r="LT31" s="285" t="s">
        <v>34</v>
      </c>
      <c r="LU31" s="281">
        <v>23.6</v>
      </c>
      <c r="LV31" s="281">
        <v>19.2</v>
      </c>
      <c r="LW31" s="281">
        <v>21.4</v>
      </c>
      <c r="LX31" s="281">
        <v>23.1</v>
      </c>
      <c r="LY31" s="281">
        <v>22</v>
      </c>
      <c r="LZ31" s="281">
        <v>24.3</v>
      </c>
      <c r="MA31" s="281">
        <v>23.5</v>
      </c>
      <c r="MB31" s="281">
        <v>26.5</v>
      </c>
      <c r="MC31" s="281">
        <v>26.6</v>
      </c>
      <c r="MD31" s="281">
        <v>26.9</v>
      </c>
      <c r="ME31" s="285" t="s">
        <v>34</v>
      </c>
      <c r="MF31" s="281">
        <v>45.7</v>
      </c>
      <c r="MG31" s="281">
        <v>47.5</v>
      </c>
      <c r="MH31" s="281">
        <v>49.8</v>
      </c>
      <c r="MI31" s="281">
        <v>47.4</v>
      </c>
      <c r="MJ31" s="281">
        <v>52.5</v>
      </c>
      <c r="MK31" s="281">
        <v>50.1</v>
      </c>
      <c r="ML31" s="281">
        <v>51.2</v>
      </c>
      <c r="MM31" s="281">
        <v>57.6</v>
      </c>
      <c r="MN31" s="281">
        <v>51.8</v>
      </c>
      <c r="MO31" s="281">
        <v>59.5</v>
      </c>
      <c r="MP31" s="285" t="s">
        <v>34</v>
      </c>
      <c r="MQ31" s="281">
        <v>103.1</v>
      </c>
      <c r="MR31" s="281">
        <v>113.9</v>
      </c>
      <c r="MS31" s="281">
        <v>111.6</v>
      </c>
      <c r="MT31" s="281">
        <v>112.1</v>
      </c>
      <c r="MU31" s="281">
        <v>111.5</v>
      </c>
      <c r="MV31" s="281">
        <v>115.1</v>
      </c>
      <c r="MW31" s="281">
        <v>124.3</v>
      </c>
      <c r="MX31" s="281">
        <v>123.2</v>
      </c>
      <c r="MY31" s="281">
        <v>119.1</v>
      </c>
      <c r="MZ31" s="281">
        <v>117.6</v>
      </c>
      <c r="NA31" s="285" t="s">
        <v>34</v>
      </c>
      <c r="NB31" s="281">
        <v>37.799999999999997</v>
      </c>
      <c r="NC31" s="280">
        <v>43.7</v>
      </c>
      <c r="ND31" s="280">
        <v>40.700000000000003</v>
      </c>
      <c r="NE31" s="281">
        <v>39.700000000000003</v>
      </c>
      <c r="NF31" s="280">
        <v>36.299999999999997</v>
      </c>
      <c r="NG31" s="280">
        <v>37.700000000000003</v>
      </c>
      <c r="NH31" s="281">
        <v>39.299999999999997</v>
      </c>
      <c r="NI31" s="281">
        <v>42.8</v>
      </c>
      <c r="NJ31" s="281">
        <v>45.9</v>
      </c>
      <c r="NK31" s="280">
        <v>48.5</v>
      </c>
      <c r="NL31" s="285" t="s">
        <v>34</v>
      </c>
      <c r="NM31" s="281">
        <v>79.3</v>
      </c>
      <c r="NN31" s="281">
        <v>85.4</v>
      </c>
      <c r="NO31" s="280">
        <v>79</v>
      </c>
      <c r="NP31" s="281">
        <v>87</v>
      </c>
      <c r="NQ31" s="280">
        <v>86.5</v>
      </c>
      <c r="NR31" s="281">
        <v>79.400000000000006</v>
      </c>
      <c r="NS31" s="280">
        <v>72.099999999999994</v>
      </c>
      <c r="NT31" s="280">
        <v>87.8</v>
      </c>
      <c r="NU31" s="280">
        <v>82.3</v>
      </c>
      <c r="NV31" s="280">
        <v>84.8</v>
      </c>
      <c r="NW31" s="285" t="s">
        <v>34</v>
      </c>
      <c r="NX31" s="280">
        <v>149.4</v>
      </c>
      <c r="NY31" s="281">
        <v>151.5</v>
      </c>
      <c r="NZ31" s="280">
        <v>171.7</v>
      </c>
      <c r="OA31" s="280">
        <v>163.19999999999999</v>
      </c>
      <c r="OB31" s="280">
        <v>155.80000000000001</v>
      </c>
      <c r="OC31" s="280">
        <v>167.1</v>
      </c>
      <c r="OD31" s="280">
        <v>183.5</v>
      </c>
      <c r="OE31" s="280">
        <v>178.1</v>
      </c>
      <c r="OF31" s="280">
        <v>172.2</v>
      </c>
      <c r="OG31" s="280">
        <v>166.6</v>
      </c>
      <c r="OH31" s="296" t="s">
        <v>34</v>
      </c>
      <c r="OI31" s="297">
        <v>7</v>
      </c>
      <c r="OJ31" s="297">
        <v>7.1</v>
      </c>
      <c r="OK31" s="297">
        <v>7.5</v>
      </c>
      <c r="OL31" s="297">
        <v>6.9</v>
      </c>
      <c r="OM31" s="297">
        <v>6.6</v>
      </c>
      <c r="ON31" s="297">
        <v>6.6</v>
      </c>
      <c r="OO31" s="297">
        <v>6.8</v>
      </c>
      <c r="OP31" s="297">
        <v>6.2</v>
      </c>
      <c r="OQ31" s="297">
        <v>5.6</v>
      </c>
      <c r="OR31" s="297">
        <v>5.4</v>
      </c>
      <c r="OS31" s="285" t="s">
        <v>34</v>
      </c>
      <c r="OT31" s="280">
        <v>1.4</v>
      </c>
      <c r="OU31" s="280">
        <v>0.6</v>
      </c>
      <c r="OV31" s="280">
        <v>1.2</v>
      </c>
      <c r="OW31" s="280">
        <v>0.9</v>
      </c>
      <c r="OX31" s="280">
        <v>0</v>
      </c>
      <c r="OY31" s="280">
        <v>1.1000000000000001</v>
      </c>
      <c r="OZ31" s="280">
        <v>0.3</v>
      </c>
      <c r="PA31" s="280">
        <v>1.8</v>
      </c>
      <c r="PB31" s="280">
        <v>1.1000000000000001</v>
      </c>
      <c r="PC31" s="280">
        <v>0.9</v>
      </c>
    </row>
    <row r="32" spans="1:419">
      <c r="A32" s="269">
        <v>23</v>
      </c>
      <c r="B32" s="285" t="s">
        <v>45</v>
      </c>
      <c r="C32" s="286">
        <v>7.3</v>
      </c>
      <c r="D32" s="286">
        <v>8.1</v>
      </c>
      <c r="E32" s="286">
        <v>8.5</v>
      </c>
      <c r="F32" s="286">
        <v>8.1999999999999993</v>
      </c>
      <c r="G32" s="286">
        <v>8.4</v>
      </c>
      <c r="H32" s="286">
        <v>8.9</v>
      </c>
      <c r="I32" s="286">
        <v>9.5</v>
      </c>
      <c r="J32" s="286">
        <v>8.1999999999999993</v>
      </c>
      <c r="K32" s="286">
        <v>7.8</v>
      </c>
      <c r="L32" s="286">
        <v>8.6999999999999993</v>
      </c>
      <c r="M32" s="285" t="s">
        <v>45</v>
      </c>
      <c r="N32" s="286">
        <v>171.7</v>
      </c>
      <c r="O32" s="286">
        <v>193.3</v>
      </c>
      <c r="P32" s="286">
        <v>202.3</v>
      </c>
      <c r="Q32" s="286">
        <v>194</v>
      </c>
      <c r="R32" s="286">
        <v>199.3</v>
      </c>
      <c r="S32" s="286">
        <v>212.4</v>
      </c>
      <c r="T32" s="286">
        <v>226.3</v>
      </c>
      <c r="U32" s="286">
        <v>195</v>
      </c>
      <c r="V32" s="286">
        <v>184.6</v>
      </c>
      <c r="W32" s="286">
        <v>209</v>
      </c>
      <c r="X32" s="285" t="s">
        <v>45</v>
      </c>
      <c r="Y32" s="286"/>
      <c r="Z32" s="286">
        <v>2.7</v>
      </c>
      <c r="AA32" s="286">
        <v>4.8</v>
      </c>
      <c r="AB32" s="286"/>
      <c r="AC32" s="286"/>
      <c r="AD32" s="286">
        <v>2.5</v>
      </c>
      <c r="AE32" s="286">
        <v>5.6</v>
      </c>
      <c r="AF32" s="286"/>
      <c r="AG32" s="286"/>
      <c r="AH32" s="286"/>
      <c r="AI32" s="285" t="s">
        <v>45</v>
      </c>
      <c r="AJ32" s="280">
        <v>4.9000000000000004</v>
      </c>
      <c r="AK32" s="280">
        <v>11.9</v>
      </c>
      <c r="AL32" s="280">
        <v>21</v>
      </c>
      <c r="AM32" s="280">
        <v>9.8000000000000007</v>
      </c>
      <c r="AN32" s="280">
        <v>5.4</v>
      </c>
      <c r="AO32" s="280">
        <v>13.5</v>
      </c>
      <c r="AP32" s="280">
        <v>19.5</v>
      </c>
      <c r="AQ32" s="280">
        <v>10.6</v>
      </c>
      <c r="AR32" s="280">
        <v>5.9</v>
      </c>
      <c r="AS32" s="280">
        <v>12.4</v>
      </c>
      <c r="AT32" s="285" t="s">
        <v>45</v>
      </c>
      <c r="AU32" s="280">
        <v>10.3</v>
      </c>
      <c r="AV32" s="280">
        <v>8.6999999999999993</v>
      </c>
      <c r="AW32" s="280">
        <v>10</v>
      </c>
      <c r="AX32" s="280">
        <v>9.6</v>
      </c>
      <c r="AY32" s="280">
        <v>11</v>
      </c>
      <c r="AZ32" s="280">
        <v>10.8</v>
      </c>
      <c r="BA32" s="280">
        <v>11.4</v>
      </c>
      <c r="BB32" s="280">
        <v>7.5</v>
      </c>
      <c r="BC32" s="280">
        <v>10.6</v>
      </c>
      <c r="BD32" s="280">
        <v>10.9</v>
      </c>
      <c r="BE32" s="285" t="s">
        <v>45</v>
      </c>
      <c r="BF32" s="280">
        <v>21</v>
      </c>
      <c r="BG32" s="280">
        <v>20.7</v>
      </c>
      <c r="BH32" s="280">
        <v>17.5</v>
      </c>
      <c r="BI32" s="280">
        <v>20.7</v>
      </c>
      <c r="BJ32" s="280">
        <v>27.7</v>
      </c>
      <c r="BK32" s="280">
        <v>21.4</v>
      </c>
      <c r="BL32" s="280">
        <v>29</v>
      </c>
      <c r="BM32" s="280">
        <v>29.7</v>
      </c>
      <c r="BN32" s="280">
        <v>28.2</v>
      </c>
      <c r="BO32" s="280">
        <v>28.2</v>
      </c>
      <c r="BP32" s="285" t="s">
        <v>45</v>
      </c>
      <c r="BQ32" s="283">
        <v>22.5</v>
      </c>
      <c r="BR32" s="283">
        <v>22.6</v>
      </c>
      <c r="BS32" s="283">
        <v>27</v>
      </c>
      <c r="BT32" s="283">
        <v>21.4</v>
      </c>
      <c r="BU32" s="283">
        <v>21.6</v>
      </c>
      <c r="BV32" s="283">
        <v>25.200000000000003</v>
      </c>
      <c r="BW32" s="283">
        <v>25.5</v>
      </c>
      <c r="BX32" s="283">
        <v>20.799999999999997</v>
      </c>
      <c r="BY32" s="283">
        <v>20.7</v>
      </c>
      <c r="BZ32" s="283">
        <v>23.2</v>
      </c>
      <c r="CA32" s="282" t="s">
        <v>45</v>
      </c>
      <c r="CB32" s="283">
        <v>34.700000000000003</v>
      </c>
      <c r="CC32" s="283">
        <v>38.1</v>
      </c>
      <c r="CD32" s="283">
        <v>33.4</v>
      </c>
      <c r="CE32" s="283">
        <v>33.299999999999997</v>
      </c>
      <c r="CF32" s="283">
        <v>38.799999999999997</v>
      </c>
      <c r="CG32" s="283">
        <v>40</v>
      </c>
      <c r="CH32" s="283">
        <v>39.700000000000003</v>
      </c>
      <c r="CI32" s="283">
        <v>37.1</v>
      </c>
      <c r="CJ32" s="283">
        <v>36.4</v>
      </c>
      <c r="CK32" s="283">
        <v>41.5</v>
      </c>
      <c r="CL32" s="285" t="s">
        <v>45</v>
      </c>
      <c r="CM32" s="286">
        <v>43.5</v>
      </c>
      <c r="CN32" s="286">
        <v>43.9</v>
      </c>
      <c r="CO32" s="286">
        <v>51.2</v>
      </c>
      <c r="CP32" s="286">
        <v>53.8</v>
      </c>
      <c r="CQ32" s="286">
        <v>57.1</v>
      </c>
      <c r="CR32" s="286">
        <v>63.5</v>
      </c>
      <c r="CS32" s="286">
        <v>67</v>
      </c>
      <c r="CT32" s="286">
        <v>57.5</v>
      </c>
      <c r="CU32" s="286">
        <v>55.4</v>
      </c>
      <c r="CV32" s="286">
        <v>60.2</v>
      </c>
      <c r="CW32" s="285" t="s">
        <v>45</v>
      </c>
      <c r="CX32" s="286">
        <v>58.5</v>
      </c>
      <c r="CY32" s="286">
        <v>70.8</v>
      </c>
      <c r="CZ32" s="286">
        <v>75.8</v>
      </c>
      <c r="DA32" s="286">
        <v>65.900000000000006</v>
      </c>
      <c r="DB32" s="286">
        <v>65.7</v>
      </c>
      <c r="DC32" s="286">
        <v>64.5</v>
      </c>
      <c r="DD32" s="286">
        <v>74.900000000000006</v>
      </c>
      <c r="DE32" s="286">
        <v>59.5</v>
      </c>
      <c r="DF32" s="286">
        <v>59.3</v>
      </c>
      <c r="DG32" s="286">
        <v>64.8</v>
      </c>
      <c r="DH32" s="285" t="s">
        <v>45</v>
      </c>
      <c r="DI32" s="286">
        <v>69</v>
      </c>
      <c r="DJ32" s="286">
        <v>78.5</v>
      </c>
      <c r="DK32" s="286">
        <v>75.400000000000006</v>
      </c>
      <c r="DL32" s="286">
        <v>74.2</v>
      </c>
      <c r="DM32" s="286">
        <v>76.5</v>
      </c>
      <c r="DN32" s="286">
        <v>84.3</v>
      </c>
      <c r="DO32" s="286">
        <v>84.3</v>
      </c>
      <c r="DP32" s="286">
        <v>77.900000000000006</v>
      </c>
      <c r="DQ32" s="286">
        <v>69.900000000000006</v>
      </c>
      <c r="DR32" s="286">
        <v>84.1</v>
      </c>
      <c r="DS32" s="285" t="s">
        <v>45</v>
      </c>
      <c r="DT32" s="286"/>
      <c r="DU32" s="286"/>
      <c r="DV32" s="287"/>
      <c r="DW32" s="287"/>
      <c r="DX32" s="287"/>
      <c r="DY32" s="286"/>
      <c r="DZ32" s="286"/>
      <c r="EA32" s="287"/>
      <c r="EB32" s="286"/>
      <c r="EC32" s="287"/>
      <c r="ED32" s="285" t="s">
        <v>45</v>
      </c>
      <c r="EE32" s="281"/>
      <c r="EF32" s="281"/>
      <c r="EG32" s="281"/>
      <c r="EH32" s="281"/>
      <c r="EI32" s="280"/>
      <c r="EJ32" s="281"/>
      <c r="EK32" s="281"/>
      <c r="EL32" s="281"/>
      <c r="EM32" s="280"/>
      <c r="EN32" s="281"/>
      <c r="EO32" s="285" t="s">
        <v>45</v>
      </c>
      <c r="EP32" s="280">
        <v>53.9</v>
      </c>
      <c r="EQ32" s="280">
        <v>53.8</v>
      </c>
      <c r="ER32" s="280">
        <v>48</v>
      </c>
      <c r="ES32" s="280">
        <v>50.5</v>
      </c>
      <c r="ET32" s="280">
        <v>56.5</v>
      </c>
      <c r="EU32" s="280">
        <v>55.3</v>
      </c>
      <c r="EV32" s="280">
        <v>55.4</v>
      </c>
      <c r="EW32" s="280">
        <v>52.8</v>
      </c>
      <c r="EX32" s="280">
        <v>51.5</v>
      </c>
      <c r="EY32" s="280">
        <v>52.5</v>
      </c>
      <c r="EZ32" s="279" t="s">
        <v>45</v>
      </c>
      <c r="FA32" s="280">
        <v>18.100000000000001</v>
      </c>
      <c r="FB32" s="280">
        <v>21.9</v>
      </c>
      <c r="FC32" s="280">
        <v>19.600000000000001</v>
      </c>
      <c r="FD32" s="280">
        <v>20.9</v>
      </c>
      <c r="FE32" s="280">
        <v>20.9</v>
      </c>
      <c r="FF32" s="280">
        <v>22.3</v>
      </c>
      <c r="FG32" s="280">
        <v>23</v>
      </c>
      <c r="FH32" s="280">
        <v>18</v>
      </c>
      <c r="FI32" s="280">
        <v>18.899999999999999</v>
      </c>
      <c r="FJ32" s="280">
        <v>24.1</v>
      </c>
      <c r="FK32" s="279" t="s">
        <v>45</v>
      </c>
      <c r="FL32" s="280">
        <v>12</v>
      </c>
      <c r="FM32" s="280">
        <v>12.7</v>
      </c>
      <c r="FN32" s="280">
        <v>15.1</v>
      </c>
      <c r="FO32" s="280">
        <v>9.9</v>
      </c>
      <c r="FP32" s="280">
        <v>13.2</v>
      </c>
      <c r="FQ32" s="280">
        <v>15.2</v>
      </c>
      <c r="FR32" s="280">
        <v>15.4</v>
      </c>
      <c r="FS32" s="280">
        <v>13.3</v>
      </c>
      <c r="FT32" s="280">
        <v>11.3</v>
      </c>
      <c r="FU32" s="280">
        <v>16</v>
      </c>
      <c r="FV32" s="279" t="s">
        <v>45</v>
      </c>
      <c r="FW32" s="280">
        <v>52</v>
      </c>
      <c r="FX32" s="280">
        <v>62.9</v>
      </c>
      <c r="FY32" s="280">
        <v>68.5</v>
      </c>
      <c r="FZ32" s="280">
        <v>67</v>
      </c>
      <c r="GA32" s="280">
        <v>70.900000000000006</v>
      </c>
      <c r="GB32" s="280">
        <v>75.400000000000006</v>
      </c>
      <c r="GC32" s="280">
        <v>82.3</v>
      </c>
      <c r="GD32" s="280">
        <v>67.099999999999994</v>
      </c>
      <c r="GE32" s="280">
        <v>61.8</v>
      </c>
      <c r="GF32" s="280">
        <v>73</v>
      </c>
      <c r="GG32" s="279" t="s">
        <v>45</v>
      </c>
      <c r="GH32" s="280"/>
      <c r="GI32" s="281">
        <v>3</v>
      </c>
      <c r="GJ32" s="280">
        <v>3.9</v>
      </c>
      <c r="GK32" s="280">
        <v>2.2999999999999998</v>
      </c>
      <c r="GL32" s="280"/>
      <c r="GM32" s="281">
        <v>2.6</v>
      </c>
      <c r="GN32" s="280">
        <v>3.3</v>
      </c>
      <c r="GO32" s="280"/>
      <c r="GP32" s="281"/>
      <c r="GQ32" s="281">
        <v>2.5</v>
      </c>
      <c r="GR32" s="285" t="s">
        <v>45</v>
      </c>
      <c r="GS32" s="280">
        <v>13.9</v>
      </c>
      <c r="GT32" s="280">
        <v>11.7</v>
      </c>
      <c r="GU32" s="280">
        <v>13.7</v>
      </c>
      <c r="GV32" s="280">
        <v>15.3</v>
      </c>
      <c r="GW32" s="280">
        <v>13.2</v>
      </c>
      <c r="GX32" s="280">
        <v>14</v>
      </c>
      <c r="GY32" s="280">
        <v>13.5</v>
      </c>
      <c r="GZ32" s="280">
        <v>14.8</v>
      </c>
      <c r="HA32" s="280">
        <v>15.9</v>
      </c>
      <c r="HB32" s="280">
        <v>11.4</v>
      </c>
      <c r="HC32" s="279" t="s">
        <v>45</v>
      </c>
      <c r="HD32" s="280">
        <v>7.3</v>
      </c>
      <c r="HE32" s="280">
        <v>8.6</v>
      </c>
      <c r="HF32" s="280">
        <v>11.5</v>
      </c>
      <c r="HG32" s="280">
        <v>9.3000000000000007</v>
      </c>
      <c r="HH32" s="280">
        <v>7.6</v>
      </c>
      <c r="HI32" s="280">
        <v>9.1</v>
      </c>
      <c r="HJ32" s="280">
        <v>12</v>
      </c>
      <c r="HK32" s="280">
        <v>10.9</v>
      </c>
      <c r="HL32" s="280">
        <v>9.8000000000000007</v>
      </c>
      <c r="HM32" s="280">
        <v>10.3</v>
      </c>
      <c r="HN32" s="285" t="s">
        <v>45</v>
      </c>
      <c r="HO32" s="280">
        <v>9.9</v>
      </c>
      <c r="HP32" s="280">
        <v>14</v>
      </c>
      <c r="HQ32" s="280">
        <v>15.6</v>
      </c>
      <c r="HR32" s="280">
        <v>14.3</v>
      </c>
      <c r="HS32" s="280">
        <v>12.9</v>
      </c>
      <c r="HT32" s="280">
        <v>14.5</v>
      </c>
      <c r="HU32" s="280">
        <v>17.3</v>
      </c>
      <c r="HV32" s="280">
        <v>9.6999999999999993</v>
      </c>
      <c r="HW32" s="280">
        <v>9.6</v>
      </c>
      <c r="HX32" s="280">
        <v>11.6</v>
      </c>
      <c r="HY32" s="279" t="s">
        <v>45</v>
      </c>
      <c r="HZ32" s="280">
        <v>2.5</v>
      </c>
      <c r="IA32" s="280">
        <v>2.9</v>
      </c>
      <c r="IB32" s="280">
        <v>4.5999999999999996</v>
      </c>
      <c r="IC32" s="280">
        <v>2.4</v>
      </c>
      <c r="ID32" s="280"/>
      <c r="IE32" s="281">
        <v>2.7</v>
      </c>
      <c r="IF32" s="280">
        <v>2.7</v>
      </c>
      <c r="IG32" s="280">
        <v>4.4000000000000004</v>
      </c>
      <c r="IH32" s="280">
        <v>3.4</v>
      </c>
      <c r="II32" s="280">
        <v>4.5</v>
      </c>
      <c r="IJ32" s="279" t="s">
        <v>45</v>
      </c>
      <c r="IK32" s="281"/>
      <c r="IL32" s="281"/>
      <c r="IM32" s="281"/>
      <c r="IN32" s="281"/>
      <c r="IO32" s="281"/>
      <c r="IP32" s="281"/>
      <c r="IQ32" s="281"/>
      <c r="IR32" s="281"/>
      <c r="IS32" s="281"/>
      <c r="IT32" s="281"/>
      <c r="IU32" s="279" t="s">
        <v>45</v>
      </c>
      <c r="IV32" s="280"/>
      <c r="IW32" s="280">
        <v>3.8</v>
      </c>
      <c r="IX32" s="280">
        <v>4.2</v>
      </c>
      <c r="IY32" s="280">
        <v>2.2999999999999998</v>
      </c>
      <c r="IZ32" s="280"/>
      <c r="JA32" s="280">
        <v>2.8</v>
      </c>
      <c r="JB32" s="280">
        <v>4.0999999999999996</v>
      </c>
      <c r="JC32" s="280"/>
      <c r="JD32" s="280"/>
      <c r="JE32" s="280">
        <v>2.5</v>
      </c>
      <c r="JF32" s="279" t="s">
        <v>45</v>
      </c>
      <c r="JG32" s="280">
        <v>8.5</v>
      </c>
      <c r="JH32" s="280">
        <v>10.9</v>
      </c>
      <c r="JI32" s="280">
        <v>8.3000000000000007</v>
      </c>
      <c r="JJ32" s="280">
        <v>9.6</v>
      </c>
      <c r="JK32" s="280">
        <v>6.7</v>
      </c>
      <c r="JL32" s="280">
        <v>10</v>
      </c>
      <c r="JM32" s="280">
        <v>11.5</v>
      </c>
      <c r="JN32" s="280">
        <v>9.1</v>
      </c>
      <c r="JO32" s="280">
        <v>9.1999999999999993</v>
      </c>
      <c r="JP32" s="280">
        <v>9.1</v>
      </c>
      <c r="JQ32" s="285" t="s">
        <v>45</v>
      </c>
      <c r="JR32" s="280">
        <v>7.8</v>
      </c>
      <c r="JS32" s="280">
        <v>6.7</v>
      </c>
      <c r="JT32" s="280">
        <v>10.6</v>
      </c>
      <c r="JU32" s="280">
        <v>9.9</v>
      </c>
      <c r="JV32" s="280">
        <v>9.3000000000000007</v>
      </c>
      <c r="JW32" s="280">
        <v>9.4</v>
      </c>
      <c r="JX32" s="280">
        <v>10.9</v>
      </c>
      <c r="JY32" s="280">
        <v>8.6999999999999993</v>
      </c>
      <c r="JZ32" s="280">
        <v>9.3000000000000007</v>
      </c>
      <c r="KA32" s="280">
        <v>7.5</v>
      </c>
      <c r="KB32" s="279" t="s">
        <v>45</v>
      </c>
      <c r="KC32" s="280">
        <v>18.3</v>
      </c>
      <c r="KD32" s="280">
        <v>22.2</v>
      </c>
      <c r="KE32" s="280">
        <v>25.3</v>
      </c>
      <c r="KF32" s="280">
        <v>22.9</v>
      </c>
      <c r="KG32" s="280">
        <v>23.6</v>
      </c>
      <c r="KH32" s="280">
        <v>19.899999999999999</v>
      </c>
      <c r="KI32" s="280">
        <v>30.5</v>
      </c>
      <c r="KJ32" s="280">
        <v>20.399999999999999</v>
      </c>
      <c r="KK32" s="280">
        <v>18.399999999999999</v>
      </c>
      <c r="KL32" s="280">
        <v>24.1</v>
      </c>
      <c r="KM32" s="279" t="s">
        <v>45</v>
      </c>
      <c r="KN32" s="280">
        <v>6.6</v>
      </c>
      <c r="KO32" s="280">
        <v>6.4</v>
      </c>
      <c r="KP32" s="280">
        <v>11.5</v>
      </c>
      <c r="KQ32" s="280">
        <v>7.3</v>
      </c>
      <c r="KR32" s="280">
        <v>5.2</v>
      </c>
      <c r="KS32" s="280">
        <v>5.8</v>
      </c>
      <c r="KT32" s="280">
        <v>6</v>
      </c>
      <c r="KU32" s="280">
        <v>4.5999999999999996</v>
      </c>
      <c r="KV32" s="280">
        <v>4.3</v>
      </c>
      <c r="KW32" s="280">
        <v>8.1</v>
      </c>
      <c r="KX32" s="279" t="s">
        <v>45</v>
      </c>
      <c r="KY32" s="280">
        <v>5.3</v>
      </c>
      <c r="KZ32" s="280">
        <v>9</v>
      </c>
      <c r="LA32" s="280">
        <v>11</v>
      </c>
      <c r="LB32" s="280">
        <v>9.1999999999999993</v>
      </c>
      <c r="LC32" s="280">
        <v>9.3000000000000007</v>
      </c>
      <c r="LD32" s="280">
        <v>9.9</v>
      </c>
      <c r="LE32" s="280">
        <v>11.5</v>
      </c>
      <c r="LF32" s="280">
        <v>8.4</v>
      </c>
      <c r="LG32" s="280">
        <v>7.5</v>
      </c>
      <c r="LH32" s="280">
        <v>10.7</v>
      </c>
      <c r="LI32" s="285" t="s">
        <v>45</v>
      </c>
      <c r="LJ32" s="280">
        <v>4.7</v>
      </c>
      <c r="LK32" s="280">
        <v>4.9000000000000004</v>
      </c>
      <c r="LL32" s="280">
        <v>4.7</v>
      </c>
      <c r="LM32" s="280">
        <v>4.7</v>
      </c>
      <c r="LN32" s="280">
        <v>4.8</v>
      </c>
      <c r="LO32" s="280">
        <v>3.6</v>
      </c>
      <c r="LP32" s="280">
        <v>4.4000000000000004</v>
      </c>
      <c r="LQ32" s="280">
        <v>4.4000000000000004</v>
      </c>
      <c r="LR32" s="280">
        <v>4.0999999999999996</v>
      </c>
      <c r="LS32" s="280">
        <v>4.2</v>
      </c>
      <c r="LT32" s="279" t="s">
        <v>45</v>
      </c>
      <c r="LU32" s="280"/>
      <c r="LV32" s="280"/>
      <c r="LW32" s="280"/>
      <c r="LX32" s="280"/>
      <c r="LY32" s="280"/>
      <c r="LZ32" s="280"/>
      <c r="MA32" s="280"/>
      <c r="MB32" s="280"/>
      <c r="MC32" s="280"/>
      <c r="MD32" s="280"/>
      <c r="ME32" s="285" t="s">
        <v>45</v>
      </c>
      <c r="MF32" s="280">
        <v>4.4000000000000004</v>
      </c>
      <c r="MG32" s="280">
        <v>5.2</v>
      </c>
      <c r="MH32" s="280">
        <v>6</v>
      </c>
      <c r="MI32" s="280">
        <v>7</v>
      </c>
      <c r="MJ32" s="280">
        <v>6.5</v>
      </c>
      <c r="MK32" s="280">
        <v>7.2</v>
      </c>
      <c r="ML32" s="280">
        <v>5.0999999999999996</v>
      </c>
      <c r="MM32" s="280">
        <v>4</v>
      </c>
      <c r="MN32" s="280">
        <v>5</v>
      </c>
      <c r="MO32" s="280">
        <v>5.8</v>
      </c>
      <c r="MP32" s="285" t="s">
        <v>45</v>
      </c>
      <c r="MQ32" s="280">
        <v>11.7</v>
      </c>
      <c r="MR32" s="280">
        <v>12.1</v>
      </c>
      <c r="MS32" s="280">
        <v>11.2</v>
      </c>
      <c r="MT32" s="280">
        <v>11.8</v>
      </c>
      <c r="MU32" s="280">
        <v>11.2</v>
      </c>
      <c r="MV32" s="280">
        <v>12.4</v>
      </c>
      <c r="MW32" s="280">
        <v>13.2</v>
      </c>
      <c r="MX32" s="280">
        <v>13.6</v>
      </c>
      <c r="MY32" s="280">
        <v>11.5</v>
      </c>
      <c r="MZ32" s="280">
        <v>13</v>
      </c>
      <c r="NA32" s="285" t="s">
        <v>45</v>
      </c>
      <c r="NB32" s="280">
        <v>9.6999999999999993</v>
      </c>
      <c r="NC32" s="280">
        <v>11.1</v>
      </c>
      <c r="ND32" s="280">
        <v>9.3000000000000007</v>
      </c>
      <c r="NE32" s="280">
        <v>11.6</v>
      </c>
      <c r="NF32" s="280">
        <v>11.6</v>
      </c>
      <c r="NG32" s="280">
        <v>12.2</v>
      </c>
      <c r="NH32" s="280">
        <v>14.6</v>
      </c>
      <c r="NI32" s="280">
        <v>14.5</v>
      </c>
      <c r="NJ32" s="280">
        <v>13.6</v>
      </c>
      <c r="NK32" s="280">
        <v>15.5</v>
      </c>
      <c r="NL32" s="285" t="s">
        <v>45</v>
      </c>
      <c r="NM32" s="280">
        <v>26.9</v>
      </c>
      <c r="NN32" s="280">
        <v>27</v>
      </c>
      <c r="NO32" s="280">
        <v>19.5</v>
      </c>
      <c r="NP32" s="280">
        <v>22.4</v>
      </c>
      <c r="NQ32" s="280">
        <v>28.2</v>
      </c>
      <c r="NR32" s="280">
        <v>29.9</v>
      </c>
      <c r="NS32" s="280">
        <v>25.4</v>
      </c>
      <c r="NT32" s="280">
        <v>33.700000000000003</v>
      </c>
      <c r="NU32" s="280">
        <v>29.6</v>
      </c>
      <c r="NV32" s="280">
        <v>28.1</v>
      </c>
      <c r="NW32" s="279" t="s">
        <v>45</v>
      </c>
      <c r="NX32" s="280">
        <v>51.6</v>
      </c>
      <c r="NY32" s="280">
        <v>56.4</v>
      </c>
      <c r="NZ32" s="280">
        <v>57.2</v>
      </c>
      <c r="OA32" s="280">
        <v>56.4</v>
      </c>
      <c r="OB32" s="280">
        <v>63.2</v>
      </c>
      <c r="OC32" s="280">
        <v>65.900000000000006</v>
      </c>
      <c r="OD32" s="280">
        <v>66.5</v>
      </c>
      <c r="OE32" s="280">
        <v>57.3</v>
      </c>
      <c r="OF32" s="280">
        <v>53.1</v>
      </c>
      <c r="OG32" s="280">
        <v>62.6</v>
      </c>
      <c r="OH32" s="296" t="s">
        <v>45</v>
      </c>
      <c r="OI32" s="297">
        <v>3.6</v>
      </c>
      <c r="OJ32" s="297">
        <v>3.4</v>
      </c>
      <c r="OK32" s="297">
        <v>4.2</v>
      </c>
      <c r="OL32" s="297">
        <v>4.3</v>
      </c>
      <c r="OM32" s="297">
        <v>4.4000000000000004</v>
      </c>
      <c r="ON32" s="297">
        <v>4.2</v>
      </c>
      <c r="OO32" s="297">
        <v>4.8</v>
      </c>
      <c r="OP32" s="297">
        <v>4.8</v>
      </c>
      <c r="OQ32" s="297">
        <v>4.8</v>
      </c>
      <c r="OR32" s="297">
        <v>4.3</v>
      </c>
      <c r="OS32" s="279" t="s">
        <v>45</v>
      </c>
      <c r="OT32" s="280">
        <v>0.7</v>
      </c>
      <c r="OU32" s="280">
        <v>0.4</v>
      </c>
      <c r="OV32" s="280">
        <v>0.1</v>
      </c>
      <c r="OW32" s="280">
        <v>0.3</v>
      </c>
      <c r="OX32" s="280">
        <v>0.3</v>
      </c>
      <c r="OY32" s="280">
        <v>0.2</v>
      </c>
      <c r="OZ32" s="280">
        <v>0.9</v>
      </c>
      <c r="PA32" s="280">
        <v>0.8</v>
      </c>
      <c r="PB32" s="280">
        <v>0.9</v>
      </c>
      <c r="PC32" s="280">
        <v>0.3</v>
      </c>
    </row>
    <row r="33" spans="1:419">
      <c r="A33" s="269">
        <v>24</v>
      </c>
      <c r="B33" s="285" t="s">
        <v>36</v>
      </c>
      <c r="C33" s="286">
        <v>28</v>
      </c>
      <c r="D33" s="286">
        <v>28.2</v>
      </c>
      <c r="E33" s="286">
        <v>27.9</v>
      </c>
      <c r="F33" s="286">
        <v>27.8</v>
      </c>
      <c r="G33" s="286">
        <v>27.7</v>
      </c>
      <c r="H33" s="286">
        <v>28.2</v>
      </c>
      <c r="I33" s="286">
        <v>27.3</v>
      </c>
      <c r="J33" s="286">
        <v>26.7</v>
      </c>
      <c r="K33" s="286">
        <v>26.3</v>
      </c>
      <c r="L33" s="286">
        <v>26.7</v>
      </c>
      <c r="M33" s="285" t="s">
        <v>36</v>
      </c>
      <c r="N33" s="286">
        <v>3457</v>
      </c>
      <c r="O33" s="286">
        <v>3516</v>
      </c>
      <c r="P33" s="286">
        <v>3516.1</v>
      </c>
      <c r="Q33" s="286">
        <v>3537.5</v>
      </c>
      <c r="R33" s="286">
        <v>3469.5</v>
      </c>
      <c r="S33" s="286">
        <v>3569</v>
      </c>
      <c r="T33" s="286">
        <v>3480.1</v>
      </c>
      <c r="U33" s="286">
        <v>3422.1</v>
      </c>
      <c r="V33" s="286">
        <v>3345.7</v>
      </c>
      <c r="W33" s="286">
        <v>3469.9</v>
      </c>
      <c r="X33" s="285" t="s">
        <v>36</v>
      </c>
      <c r="Y33" s="287">
        <v>89.7</v>
      </c>
      <c r="Z33" s="287">
        <v>75.2</v>
      </c>
      <c r="AA33" s="287">
        <v>89.1</v>
      </c>
      <c r="AB33" s="287">
        <v>72.8</v>
      </c>
      <c r="AC33" s="287">
        <v>90.7</v>
      </c>
      <c r="AD33" s="287">
        <v>75</v>
      </c>
      <c r="AE33" s="287">
        <v>67.099999999999994</v>
      </c>
      <c r="AF33" s="287">
        <v>61.7</v>
      </c>
      <c r="AG33" s="287">
        <v>59.8</v>
      </c>
      <c r="AH33" s="287">
        <v>65.3</v>
      </c>
      <c r="AI33" s="285" t="s">
        <v>36</v>
      </c>
      <c r="AJ33" s="280">
        <v>479.8</v>
      </c>
      <c r="AK33" s="280">
        <v>517.79999999999995</v>
      </c>
      <c r="AL33" s="281">
        <v>521.70000000000005</v>
      </c>
      <c r="AM33" s="281">
        <v>523.29999999999995</v>
      </c>
      <c r="AN33" s="281">
        <v>482.6</v>
      </c>
      <c r="AO33" s="280">
        <v>497.6</v>
      </c>
      <c r="AP33" s="281">
        <v>504.6</v>
      </c>
      <c r="AQ33" s="280">
        <v>527.20000000000005</v>
      </c>
      <c r="AR33" s="281">
        <v>448.3</v>
      </c>
      <c r="AS33" s="280">
        <v>432.4</v>
      </c>
      <c r="AT33" s="285" t="s">
        <v>36</v>
      </c>
      <c r="AU33" s="280">
        <v>416.8</v>
      </c>
      <c r="AV33" s="280">
        <v>443.8</v>
      </c>
      <c r="AW33" s="280">
        <v>505.9</v>
      </c>
      <c r="AX33" s="280">
        <v>482.9</v>
      </c>
      <c r="AY33" s="280">
        <v>372.4</v>
      </c>
      <c r="AZ33" s="280">
        <v>402.2</v>
      </c>
      <c r="BA33" s="280">
        <v>454.9</v>
      </c>
      <c r="BB33" s="280">
        <v>414.4</v>
      </c>
      <c r="BC33" s="280">
        <v>344.7</v>
      </c>
      <c r="BD33" s="280">
        <v>405.9</v>
      </c>
      <c r="BE33" s="285" t="s">
        <v>36</v>
      </c>
      <c r="BF33" s="280">
        <v>1005.8</v>
      </c>
      <c r="BG33" s="280">
        <v>1003.9</v>
      </c>
      <c r="BH33" s="280">
        <v>976</v>
      </c>
      <c r="BI33" s="280">
        <v>961.1</v>
      </c>
      <c r="BJ33" s="280">
        <v>998.2</v>
      </c>
      <c r="BK33" s="280">
        <v>1075.9000000000001</v>
      </c>
      <c r="BL33" s="280">
        <v>1028.5999999999999</v>
      </c>
      <c r="BM33" s="280">
        <v>1017.5</v>
      </c>
      <c r="BN33" s="280">
        <v>1048</v>
      </c>
      <c r="BO33" s="280">
        <v>1116.9000000000001</v>
      </c>
      <c r="BP33" s="285" t="s">
        <v>36</v>
      </c>
      <c r="BQ33" s="283">
        <v>685.3</v>
      </c>
      <c r="BR33" s="283">
        <v>670.40000000000009</v>
      </c>
      <c r="BS33" s="283">
        <v>634.70000000000005</v>
      </c>
      <c r="BT33" s="283">
        <v>674.2</v>
      </c>
      <c r="BU33" s="283">
        <v>672.9</v>
      </c>
      <c r="BV33" s="283">
        <v>706.2</v>
      </c>
      <c r="BW33" s="283">
        <v>677.1</v>
      </c>
      <c r="BX33" s="283">
        <v>666.5</v>
      </c>
      <c r="BY33" s="283">
        <v>706.8</v>
      </c>
      <c r="BZ33" s="283">
        <v>742.09999999999991</v>
      </c>
      <c r="CA33" s="282" t="s">
        <v>36</v>
      </c>
      <c r="CB33" s="283">
        <v>779.5</v>
      </c>
      <c r="CC33" s="283">
        <v>804.9</v>
      </c>
      <c r="CD33" s="283">
        <v>788.6</v>
      </c>
      <c r="CE33" s="283">
        <v>823.3</v>
      </c>
      <c r="CF33" s="283">
        <v>852.59999999999991</v>
      </c>
      <c r="CG33" s="283">
        <v>812.1</v>
      </c>
      <c r="CH33" s="283">
        <v>747.8</v>
      </c>
      <c r="CI33" s="283">
        <v>734.90000000000009</v>
      </c>
      <c r="CJ33" s="283">
        <v>738.2</v>
      </c>
      <c r="CK33" s="283">
        <v>707.3</v>
      </c>
      <c r="CL33" s="285" t="s">
        <v>36</v>
      </c>
      <c r="CM33" s="286">
        <v>298.60000000000002</v>
      </c>
      <c r="CN33" s="286">
        <v>289.2</v>
      </c>
      <c r="CO33" s="286">
        <v>326.10000000000002</v>
      </c>
      <c r="CP33" s="286">
        <v>322.10000000000002</v>
      </c>
      <c r="CQ33" s="286">
        <v>283.3</v>
      </c>
      <c r="CR33" s="286">
        <v>279.10000000000002</v>
      </c>
      <c r="CS33" s="286">
        <v>268.5</v>
      </c>
      <c r="CT33" s="286">
        <v>276.89999999999998</v>
      </c>
      <c r="CU33" s="286">
        <v>264.8</v>
      </c>
      <c r="CV33" s="286">
        <v>280.60000000000002</v>
      </c>
      <c r="CW33" s="285" t="s">
        <v>36</v>
      </c>
      <c r="CX33" s="286">
        <v>2298.6999999999998</v>
      </c>
      <c r="CY33" s="286">
        <v>2320.8000000000002</v>
      </c>
      <c r="CZ33" s="286">
        <v>2323.4</v>
      </c>
      <c r="DA33" s="286">
        <v>2312.4</v>
      </c>
      <c r="DB33" s="286">
        <v>2298.6999999999998</v>
      </c>
      <c r="DC33" s="286">
        <v>2384.9</v>
      </c>
      <c r="DD33" s="286">
        <v>2350.1999999999998</v>
      </c>
      <c r="DE33" s="286">
        <v>2285.6</v>
      </c>
      <c r="DF33" s="286">
        <v>2211.3000000000002</v>
      </c>
      <c r="DG33" s="286">
        <v>2249.8000000000002</v>
      </c>
      <c r="DH33" s="285" t="s">
        <v>36</v>
      </c>
      <c r="DI33" s="286">
        <v>859.7</v>
      </c>
      <c r="DJ33" s="286">
        <v>906</v>
      </c>
      <c r="DK33" s="286">
        <v>866.5</v>
      </c>
      <c r="DL33" s="286">
        <v>903</v>
      </c>
      <c r="DM33" s="286">
        <v>887.5</v>
      </c>
      <c r="DN33" s="286">
        <v>905</v>
      </c>
      <c r="DO33" s="286">
        <v>861.3</v>
      </c>
      <c r="DP33" s="286">
        <v>859.6</v>
      </c>
      <c r="DQ33" s="286">
        <v>869.6</v>
      </c>
      <c r="DR33" s="286">
        <v>939.5</v>
      </c>
      <c r="DS33" s="285" t="s">
        <v>36</v>
      </c>
      <c r="DT33" s="287"/>
      <c r="DU33" s="287"/>
      <c r="DV33" s="287"/>
      <c r="DW33" s="287"/>
      <c r="DX33" s="287"/>
      <c r="DY33" s="287"/>
      <c r="DZ33" s="287"/>
      <c r="EA33" s="287"/>
      <c r="EB33" s="287"/>
      <c r="EC33" s="287"/>
      <c r="ED33" s="279" t="s">
        <v>36</v>
      </c>
      <c r="EE33" s="280">
        <v>62.3</v>
      </c>
      <c r="EF33" s="280">
        <v>58.7</v>
      </c>
      <c r="EG33" s="280">
        <v>62.8</v>
      </c>
      <c r="EH33" s="280">
        <v>63.1</v>
      </c>
      <c r="EI33" s="280">
        <v>61.8</v>
      </c>
      <c r="EJ33" s="280">
        <v>66.2</v>
      </c>
      <c r="EK33" s="280">
        <v>80.2</v>
      </c>
      <c r="EL33" s="280">
        <v>69.5</v>
      </c>
      <c r="EM33" s="280">
        <v>56.8</v>
      </c>
      <c r="EN33" s="280">
        <v>65.7</v>
      </c>
      <c r="EO33" s="279" t="s">
        <v>36</v>
      </c>
      <c r="EP33" s="280">
        <v>413.6</v>
      </c>
      <c r="EQ33" s="280">
        <v>432.1</v>
      </c>
      <c r="ER33" s="280">
        <v>428.6</v>
      </c>
      <c r="ES33" s="280">
        <v>444.3</v>
      </c>
      <c r="ET33" s="280">
        <v>449.1</v>
      </c>
      <c r="EU33" s="280">
        <v>440.6</v>
      </c>
      <c r="EV33" s="280">
        <v>375.8</v>
      </c>
      <c r="EW33" s="280">
        <v>378.7</v>
      </c>
      <c r="EX33" s="280">
        <v>410.8</v>
      </c>
      <c r="EY33" s="280">
        <v>455.8</v>
      </c>
      <c r="EZ33" s="279" t="s">
        <v>36</v>
      </c>
      <c r="FA33" s="280">
        <v>340.1</v>
      </c>
      <c r="FB33" s="280">
        <v>341.9</v>
      </c>
      <c r="FC33" s="280">
        <v>331.8</v>
      </c>
      <c r="FD33" s="280">
        <v>342.6</v>
      </c>
      <c r="FE33" s="280">
        <v>321.10000000000002</v>
      </c>
      <c r="FF33" s="280">
        <v>359.9</v>
      </c>
      <c r="FG33" s="280">
        <v>380.2</v>
      </c>
      <c r="FH33" s="280">
        <v>357</v>
      </c>
      <c r="FI33" s="280">
        <v>313.39999999999998</v>
      </c>
      <c r="FJ33" s="280">
        <v>353.3</v>
      </c>
      <c r="FK33" s="279" t="s">
        <v>36</v>
      </c>
      <c r="FL33" s="280">
        <v>286.5</v>
      </c>
      <c r="FM33" s="280">
        <v>293.39999999999998</v>
      </c>
      <c r="FN33" s="280">
        <v>298.2</v>
      </c>
      <c r="FO33" s="280">
        <v>298.89999999999998</v>
      </c>
      <c r="FP33" s="280">
        <v>301.2</v>
      </c>
      <c r="FQ33" s="280">
        <v>277.2</v>
      </c>
      <c r="FR33" s="280">
        <v>297.8</v>
      </c>
      <c r="FS33" s="280">
        <v>303.2</v>
      </c>
      <c r="FT33" s="280">
        <v>314.8</v>
      </c>
      <c r="FU33" s="280">
        <v>291.10000000000002</v>
      </c>
      <c r="FV33" s="279" t="s">
        <v>36</v>
      </c>
      <c r="FW33" s="280">
        <v>722.7</v>
      </c>
      <c r="FX33" s="280">
        <v>731.2</v>
      </c>
      <c r="FY33" s="280">
        <v>746</v>
      </c>
      <c r="FZ33" s="280">
        <v>756.7</v>
      </c>
      <c r="GA33" s="280">
        <v>739.5</v>
      </c>
      <c r="GB33" s="280">
        <v>718.2</v>
      </c>
      <c r="GC33" s="280">
        <v>719</v>
      </c>
      <c r="GD33" s="280">
        <v>756.8</v>
      </c>
      <c r="GE33" s="280">
        <v>700.1</v>
      </c>
      <c r="GF33" s="280">
        <v>656</v>
      </c>
      <c r="GG33" s="279" t="s">
        <v>36</v>
      </c>
      <c r="GH33" s="280">
        <v>24.9</v>
      </c>
      <c r="GI33" s="280">
        <v>22.1</v>
      </c>
      <c r="GJ33" s="280">
        <v>30.4</v>
      </c>
      <c r="GK33" s="280">
        <v>23.2</v>
      </c>
      <c r="GL33" s="280">
        <v>17.100000000000001</v>
      </c>
      <c r="GM33" s="280">
        <v>21.7</v>
      </c>
      <c r="GN33" s="280">
        <v>23.2</v>
      </c>
      <c r="GO33" s="280">
        <v>18.399999999999999</v>
      </c>
      <c r="GP33" s="280">
        <v>22.9</v>
      </c>
      <c r="GQ33" s="280">
        <v>26.6</v>
      </c>
      <c r="GR33" s="285" t="s">
        <v>36</v>
      </c>
      <c r="GS33" s="280">
        <v>669.8</v>
      </c>
      <c r="GT33" s="280">
        <v>668.6</v>
      </c>
      <c r="GU33" s="280">
        <v>636</v>
      </c>
      <c r="GV33" s="280">
        <v>629.4</v>
      </c>
      <c r="GW33" s="280">
        <v>627.1</v>
      </c>
      <c r="GX33" s="280">
        <v>670.9</v>
      </c>
      <c r="GY33" s="280">
        <v>649.29999999999995</v>
      </c>
      <c r="GZ33" s="280">
        <v>597.4</v>
      </c>
      <c r="HA33" s="280">
        <v>588.70000000000005</v>
      </c>
      <c r="HB33" s="280">
        <v>652.6</v>
      </c>
      <c r="HC33" s="279" t="s">
        <v>36</v>
      </c>
      <c r="HD33" s="280">
        <v>425.1</v>
      </c>
      <c r="HE33" s="280">
        <v>434.4</v>
      </c>
      <c r="HF33" s="280">
        <v>419.4</v>
      </c>
      <c r="HG33" s="280">
        <v>427.5</v>
      </c>
      <c r="HH33" s="280">
        <v>430.7</v>
      </c>
      <c r="HI33" s="280">
        <v>461.6</v>
      </c>
      <c r="HJ33" s="280">
        <v>436.7</v>
      </c>
      <c r="HK33" s="280">
        <v>440.9</v>
      </c>
      <c r="HL33" s="280">
        <v>418</v>
      </c>
      <c r="HM33" s="280">
        <v>424.8</v>
      </c>
      <c r="HN33" s="279" t="s">
        <v>36</v>
      </c>
      <c r="HO33" s="280">
        <v>470.6</v>
      </c>
      <c r="HP33" s="280">
        <v>484</v>
      </c>
      <c r="HQ33" s="280">
        <v>523.1</v>
      </c>
      <c r="HR33" s="280">
        <v>516.1</v>
      </c>
      <c r="HS33" s="280">
        <v>484.3</v>
      </c>
      <c r="HT33" s="280">
        <v>503</v>
      </c>
      <c r="HU33" s="280">
        <v>479.6</v>
      </c>
      <c r="HV33" s="280">
        <v>459.9</v>
      </c>
      <c r="HW33" s="280">
        <v>477.3</v>
      </c>
      <c r="HX33" s="280">
        <v>504.8</v>
      </c>
      <c r="HY33" s="279" t="s">
        <v>36</v>
      </c>
      <c r="HZ33" s="280">
        <v>29.2</v>
      </c>
      <c r="IA33" s="280">
        <v>32.6</v>
      </c>
      <c r="IB33" s="280">
        <v>31.7</v>
      </c>
      <c r="IC33" s="280">
        <v>23.8</v>
      </c>
      <c r="ID33" s="280">
        <v>29.1</v>
      </c>
      <c r="IE33" s="280">
        <v>26.8</v>
      </c>
      <c r="IF33" s="280">
        <v>20.8</v>
      </c>
      <c r="IG33" s="280">
        <v>24.8</v>
      </c>
      <c r="IH33" s="280">
        <v>24.7</v>
      </c>
      <c r="II33" s="280">
        <v>25.1</v>
      </c>
      <c r="IJ33" s="279" t="s">
        <v>36</v>
      </c>
      <c r="IK33" s="280">
        <v>12.3</v>
      </c>
      <c r="IL33" s="280">
        <v>16.899999999999999</v>
      </c>
      <c r="IM33" s="280">
        <v>8.1</v>
      </c>
      <c r="IN33" s="280">
        <v>11.9</v>
      </c>
      <c r="IO33" s="280">
        <v>8.6</v>
      </c>
      <c r="IP33" s="280">
        <v>22.8</v>
      </c>
      <c r="IQ33" s="280">
        <v>17.600000000000001</v>
      </c>
      <c r="IR33" s="280">
        <v>15.6</v>
      </c>
      <c r="IS33" s="280">
        <v>18.2</v>
      </c>
      <c r="IT33" s="280">
        <v>14.2</v>
      </c>
      <c r="IU33" s="279" t="s">
        <v>36</v>
      </c>
      <c r="IV33" s="281">
        <v>75.400000000000006</v>
      </c>
      <c r="IW33" s="281">
        <v>80.5</v>
      </c>
      <c r="IX33" s="281">
        <v>93.3</v>
      </c>
      <c r="IY33" s="281">
        <v>73.3</v>
      </c>
      <c r="IZ33" s="281">
        <v>63.7</v>
      </c>
      <c r="JA33" s="281">
        <v>80.3</v>
      </c>
      <c r="JB33" s="281">
        <v>76.7</v>
      </c>
      <c r="JC33" s="281">
        <v>67.3</v>
      </c>
      <c r="JD33" s="281">
        <v>73.3</v>
      </c>
      <c r="JE33" s="281">
        <v>97</v>
      </c>
      <c r="JF33" s="279" t="s">
        <v>36</v>
      </c>
      <c r="JG33" s="281">
        <v>898.4</v>
      </c>
      <c r="JH33" s="281">
        <v>906.9</v>
      </c>
      <c r="JI33" s="280">
        <v>873.1</v>
      </c>
      <c r="JJ33" s="281">
        <v>859.2</v>
      </c>
      <c r="JK33" s="280">
        <v>896.1</v>
      </c>
      <c r="JL33" s="280">
        <v>965.6</v>
      </c>
      <c r="JM33" s="280">
        <v>924</v>
      </c>
      <c r="JN33" s="281">
        <v>866.1</v>
      </c>
      <c r="JO33" s="281">
        <v>870.2</v>
      </c>
      <c r="JP33" s="281">
        <v>923.3</v>
      </c>
      <c r="JQ33" s="279" t="s">
        <v>36</v>
      </c>
      <c r="JR33" s="281">
        <v>356.1</v>
      </c>
      <c r="JS33" s="281">
        <v>356.3</v>
      </c>
      <c r="JT33" s="281">
        <v>396.1</v>
      </c>
      <c r="JU33" s="281">
        <v>372.6</v>
      </c>
      <c r="JV33" s="281">
        <v>318.8</v>
      </c>
      <c r="JW33" s="281">
        <v>342.8</v>
      </c>
      <c r="JX33" s="281">
        <v>365.8</v>
      </c>
      <c r="JY33" s="281">
        <v>326.10000000000002</v>
      </c>
      <c r="JZ33" s="281">
        <v>307.3</v>
      </c>
      <c r="KA33" s="281">
        <v>307.2</v>
      </c>
      <c r="KB33" s="279" t="s">
        <v>36</v>
      </c>
      <c r="KC33" s="281">
        <v>647.6</v>
      </c>
      <c r="KD33" s="281">
        <v>670.9</v>
      </c>
      <c r="KE33" s="281">
        <v>658.1</v>
      </c>
      <c r="KF33" s="281">
        <v>691</v>
      </c>
      <c r="KG33" s="281">
        <v>707.9</v>
      </c>
      <c r="KH33" s="281">
        <v>679.5</v>
      </c>
      <c r="KI33" s="281">
        <v>638.6</v>
      </c>
      <c r="KJ33" s="281">
        <v>679.1</v>
      </c>
      <c r="KK33" s="281">
        <v>636.70000000000005</v>
      </c>
      <c r="KL33" s="281">
        <v>616.5</v>
      </c>
      <c r="KM33" s="279" t="s">
        <v>36</v>
      </c>
      <c r="KN33" s="281">
        <v>186.5</v>
      </c>
      <c r="KO33" s="281">
        <v>183.1</v>
      </c>
      <c r="KP33" s="281">
        <v>201.4</v>
      </c>
      <c r="KQ33" s="281">
        <v>221.1</v>
      </c>
      <c r="KR33" s="281">
        <v>222.4</v>
      </c>
      <c r="KS33" s="281">
        <v>204.7</v>
      </c>
      <c r="KT33" s="281">
        <v>189.3</v>
      </c>
      <c r="KU33" s="281">
        <v>211.4</v>
      </c>
      <c r="KV33" s="281">
        <v>204.6</v>
      </c>
      <c r="KW33" s="281">
        <v>198.1</v>
      </c>
      <c r="KX33" s="279" t="s">
        <v>36</v>
      </c>
      <c r="KY33" s="280">
        <v>135</v>
      </c>
      <c r="KZ33" s="280">
        <v>152.4</v>
      </c>
      <c r="LA33" s="280">
        <v>151</v>
      </c>
      <c r="LB33" s="281">
        <v>134.69999999999999</v>
      </c>
      <c r="LC33" s="281">
        <v>137.9</v>
      </c>
      <c r="LD33" s="281">
        <v>164.8</v>
      </c>
      <c r="LE33" s="281">
        <v>176.9</v>
      </c>
      <c r="LF33" s="281">
        <v>158.19999999999999</v>
      </c>
      <c r="LG33" s="281">
        <v>141.80000000000001</v>
      </c>
      <c r="LH33" s="281">
        <v>154.19999999999999</v>
      </c>
      <c r="LI33" s="285" t="s">
        <v>36</v>
      </c>
      <c r="LJ33" s="281">
        <v>74.099999999999994</v>
      </c>
      <c r="LK33" s="281">
        <v>79.099999999999994</v>
      </c>
      <c r="LL33" s="281">
        <v>73</v>
      </c>
      <c r="LM33" s="281">
        <v>60.9</v>
      </c>
      <c r="LN33" s="281">
        <v>62.4</v>
      </c>
      <c r="LO33" s="281">
        <v>66.099999999999994</v>
      </c>
      <c r="LP33" s="281">
        <v>64</v>
      </c>
      <c r="LQ33" s="281">
        <v>62.7</v>
      </c>
      <c r="LR33" s="281">
        <v>70.599999999999994</v>
      </c>
      <c r="LS33" s="281">
        <v>69.7</v>
      </c>
      <c r="LT33" s="279" t="s">
        <v>36</v>
      </c>
      <c r="LU33" s="281">
        <v>68</v>
      </c>
      <c r="LV33" s="281">
        <v>82.9</v>
      </c>
      <c r="LW33" s="281">
        <v>73.7</v>
      </c>
      <c r="LX33" s="281">
        <v>66.5</v>
      </c>
      <c r="LY33" s="281">
        <v>60.2</v>
      </c>
      <c r="LZ33" s="281">
        <v>65.7</v>
      </c>
      <c r="MA33" s="281">
        <v>69.3</v>
      </c>
      <c r="MB33" s="281">
        <v>63.3</v>
      </c>
      <c r="MC33" s="281">
        <v>61.2</v>
      </c>
      <c r="MD33" s="281">
        <v>58.9</v>
      </c>
      <c r="ME33" s="279" t="s">
        <v>36</v>
      </c>
      <c r="MF33" s="281">
        <v>86.3</v>
      </c>
      <c r="MG33" s="281">
        <v>109.7</v>
      </c>
      <c r="MH33" s="281">
        <v>93.8</v>
      </c>
      <c r="MI33" s="281">
        <v>86.4</v>
      </c>
      <c r="MJ33" s="281">
        <v>92.6</v>
      </c>
      <c r="MK33" s="281">
        <v>94.5</v>
      </c>
      <c r="ML33" s="281">
        <v>92.9</v>
      </c>
      <c r="MM33" s="281">
        <v>85.6</v>
      </c>
      <c r="MN33" s="281">
        <v>80.8</v>
      </c>
      <c r="MO33" s="281">
        <v>89.5</v>
      </c>
      <c r="MP33" s="279" t="s">
        <v>36</v>
      </c>
      <c r="MQ33" s="281">
        <v>220.2</v>
      </c>
      <c r="MR33" s="281">
        <v>192.4</v>
      </c>
      <c r="MS33" s="281">
        <v>226.3</v>
      </c>
      <c r="MT33" s="281">
        <v>243</v>
      </c>
      <c r="MU33" s="281">
        <v>215.9</v>
      </c>
      <c r="MV33" s="281">
        <v>210.1</v>
      </c>
      <c r="MW33" s="281">
        <v>211.7</v>
      </c>
      <c r="MX33" s="281">
        <v>205.8</v>
      </c>
      <c r="MY33" s="281">
        <v>215.4</v>
      </c>
      <c r="MZ33" s="281">
        <v>236.3</v>
      </c>
      <c r="NA33" s="285" t="s">
        <v>36</v>
      </c>
      <c r="NB33" s="281">
        <v>136.4</v>
      </c>
      <c r="NC33" s="281">
        <v>143.19999999999999</v>
      </c>
      <c r="ND33" s="281">
        <v>146.6</v>
      </c>
      <c r="NE33" s="281">
        <v>130</v>
      </c>
      <c r="NF33" s="280">
        <v>114.5</v>
      </c>
      <c r="NG33" s="280">
        <v>129.30000000000001</v>
      </c>
      <c r="NH33" s="281">
        <v>136.30000000000001</v>
      </c>
      <c r="NI33" s="280">
        <v>137.69999999999999</v>
      </c>
      <c r="NJ33" s="280">
        <v>128.4</v>
      </c>
      <c r="NK33" s="280">
        <v>130.19999999999999</v>
      </c>
      <c r="NL33" s="279" t="s">
        <v>36</v>
      </c>
      <c r="NM33" s="280">
        <v>184.8</v>
      </c>
      <c r="NN33" s="281">
        <v>167.1</v>
      </c>
      <c r="NO33" s="280">
        <v>149.30000000000001</v>
      </c>
      <c r="NP33" s="281">
        <v>182.2</v>
      </c>
      <c r="NQ33" s="281">
        <v>172.8</v>
      </c>
      <c r="NR33" s="280">
        <v>171.3</v>
      </c>
      <c r="NS33" s="280">
        <v>143.80000000000001</v>
      </c>
      <c r="NT33" s="280">
        <v>158.4</v>
      </c>
      <c r="NU33" s="281">
        <v>170.9</v>
      </c>
      <c r="NV33" s="280">
        <v>172.7</v>
      </c>
      <c r="NW33" s="279" t="s">
        <v>36</v>
      </c>
      <c r="NX33" s="281">
        <v>161</v>
      </c>
      <c r="NY33" s="281">
        <v>157.1</v>
      </c>
      <c r="NZ33" s="281">
        <v>156.4</v>
      </c>
      <c r="OA33" s="281">
        <v>171.7</v>
      </c>
      <c r="OB33" s="281">
        <v>178.2</v>
      </c>
      <c r="OC33" s="280">
        <v>169.8</v>
      </c>
      <c r="OD33" s="281">
        <v>159.80000000000001</v>
      </c>
      <c r="OE33" s="281">
        <v>164.1</v>
      </c>
      <c r="OF33" s="280">
        <v>167.3</v>
      </c>
      <c r="OG33" s="280">
        <v>190.1</v>
      </c>
      <c r="OH33" s="296" t="s">
        <v>36</v>
      </c>
      <c r="OI33" s="297">
        <v>8.1999999999999993</v>
      </c>
      <c r="OJ33" s="297">
        <v>8.1</v>
      </c>
      <c r="OK33" s="297">
        <v>8.6</v>
      </c>
      <c r="OL33" s="297">
        <v>7.4</v>
      </c>
      <c r="OM33" s="297">
        <v>7.1</v>
      </c>
      <c r="ON33" s="297">
        <v>6.9</v>
      </c>
      <c r="OO33" s="297">
        <v>7</v>
      </c>
      <c r="OP33" s="297">
        <v>6.2</v>
      </c>
      <c r="OQ33" s="297">
        <v>5.9</v>
      </c>
      <c r="OR33" s="297">
        <v>5.6</v>
      </c>
      <c r="OS33" s="279" t="s">
        <v>36</v>
      </c>
      <c r="OT33" s="281">
        <v>1.3</v>
      </c>
      <c r="OU33" s="281">
        <v>0</v>
      </c>
      <c r="OV33" s="281">
        <v>1.8</v>
      </c>
      <c r="OW33" s="281">
        <v>1</v>
      </c>
      <c r="OX33" s="281">
        <v>1.2</v>
      </c>
      <c r="OY33" s="281">
        <v>1.6</v>
      </c>
      <c r="OZ33" s="281">
        <v>0.3</v>
      </c>
      <c r="PA33" s="281">
        <v>1.7</v>
      </c>
      <c r="PB33" s="281">
        <v>2</v>
      </c>
      <c r="PC33" s="281">
        <v>2</v>
      </c>
    </row>
    <row r="34" spans="1:419">
      <c r="A34" s="269">
        <v>25</v>
      </c>
      <c r="B34" s="285" t="s">
        <v>37</v>
      </c>
      <c r="C34" s="286">
        <v>21.3</v>
      </c>
      <c r="D34" s="286">
        <v>22.2</v>
      </c>
      <c r="E34" s="286">
        <v>22.3</v>
      </c>
      <c r="F34" s="286">
        <v>22.1</v>
      </c>
      <c r="G34" s="286">
        <v>22</v>
      </c>
      <c r="H34" s="286">
        <v>22.6</v>
      </c>
      <c r="I34" s="286">
        <v>22.4</v>
      </c>
      <c r="J34" s="286">
        <v>22.1</v>
      </c>
      <c r="K34" s="286">
        <v>21.2</v>
      </c>
      <c r="L34" s="286">
        <v>22.1</v>
      </c>
      <c r="M34" s="285" t="s">
        <v>37</v>
      </c>
      <c r="N34" s="286">
        <v>764.4</v>
      </c>
      <c r="O34" s="286">
        <v>816.4</v>
      </c>
      <c r="P34" s="286">
        <v>823.1</v>
      </c>
      <c r="Q34" s="286">
        <v>816.7</v>
      </c>
      <c r="R34" s="286">
        <v>808.7</v>
      </c>
      <c r="S34" s="286">
        <v>842.7</v>
      </c>
      <c r="T34" s="286">
        <v>845.2</v>
      </c>
      <c r="U34" s="286">
        <v>835.9</v>
      </c>
      <c r="V34" s="286">
        <v>804.7</v>
      </c>
      <c r="W34" s="286">
        <v>856.8</v>
      </c>
      <c r="X34" s="285" t="s">
        <v>37</v>
      </c>
      <c r="Y34" s="287">
        <v>49.9</v>
      </c>
      <c r="Z34" s="287">
        <v>43.3</v>
      </c>
      <c r="AA34" s="287">
        <v>54.8</v>
      </c>
      <c r="AB34" s="287">
        <v>52.7</v>
      </c>
      <c r="AC34" s="287">
        <v>54.6</v>
      </c>
      <c r="AD34" s="287">
        <v>57.2</v>
      </c>
      <c r="AE34" s="286">
        <v>66.7</v>
      </c>
      <c r="AF34" s="287">
        <v>51.1</v>
      </c>
      <c r="AG34" s="287">
        <v>43.5</v>
      </c>
      <c r="AH34" s="287">
        <v>50.2</v>
      </c>
      <c r="AI34" s="285" t="s">
        <v>37</v>
      </c>
      <c r="AJ34" s="280">
        <v>59.6</v>
      </c>
      <c r="AK34" s="280">
        <v>69.2</v>
      </c>
      <c r="AL34" s="280">
        <v>77.5</v>
      </c>
      <c r="AM34" s="280">
        <v>68.599999999999994</v>
      </c>
      <c r="AN34" s="280">
        <v>61.5</v>
      </c>
      <c r="AO34" s="280">
        <v>53.2</v>
      </c>
      <c r="AP34" s="280">
        <v>70.400000000000006</v>
      </c>
      <c r="AQ34" s="280">
        <v>63.6</v>
      </c>
      <c r="AR34" s="280">
        <v>50.4</v>
      </c>
      <c r="AS34" s="280">
        <v>51.9</v>
      </c>
      <c r="AT34" s="285" t="s">
        <v>37</v>
      </c>
      <c r="AU34" s="280">
        <v>197</v>
      </c>
      <c r="AV34" s="280">
        <v>222.1</v>
      </c>
      <c r="AW34" s="280">
        <v>220.1</v>
      </c>
      <c r="AX34" s="280">
        <v>209.4</v>
      </c>
      <c r="AY34" s="280">
        <v>217.7</v>
      </c>
      <c r="AZ34" s="280">
        <v>221.6</v>
      </c>
      <c r="BA34" s="280">
        <v>229.9</v>
      </c>
      <c r="BB34" s="280">
        <v>211.7</v>
      </c>
      <c r="BC34" s="280">
        <v>210.8</v>
      </c>
      <c r="BD34" s="280">
        <v>243.7</v>
      </c>
      <c r="BE34" s="285" t="s">
        <v>37</v>
      </c>
      <c r="BF34" s="280">
        <v>281.8</v>
      </c>
      <c r="BG34" s="280">
        <v>300.2</v>
      </c>
      <c r="BH34" s="280">
        <v>283.39999999999998</v>
      </c>
      <c r="BI34" s="280">
        <v>297.2</v>
      </c>
      <c r="BJ34" s="280">
        <v>297.8</v>
      </c>
      <c r="BK34" s="280">
        <v>306.2</v>
      </c>
      <c r="BL34" s="280">
        <v>286.7</v>
      </c>
      <c r="BM34" s="280">
        <v>304.8</v>
      </c>
      <c r="BN34" s="280">
        <v>297.5</v>
      </c>
      <c r="BO34" s="280">
        <v>311.89999999999998</v>
      </c>
      <c r="BP34" s="285" t="s">
        <v>37</v>
      </c>
      <c r="BQ34" s="283">
        <v>27.8</v>
      </c>
      <c r="BR34" s="283">
        <v>25.8</v>
      </c>
      <c r="BS34" s="283">
        <v>35.1</v>
      </c>
      <c r="BT34" s="283">
        <v>29</v>
      </c>
      <c r="BU34" s="283">
        <v>26.8</v>
      </c>
      <c r="BV34" s="283">
        <v>34.599999999999994</v>
      </c>
      <c r="BW34" s="283">
        <v>31.599999999999998</v>
      </c>
      <c r="BX34" s="283">
        <v>31</v>
      </c>
      <c r="BY34" s="283">
        <v>25</v>
      </c>
      <c r="BZ34" s="283">
        <v>26.5</v>
      </c>
      <c r="CA34" s="282" t="s">
        <v>37</v>
      </c>
      <c r="CB34" s="283">
        <v>44.5</v>
      </c>
      <c r="CC34" s="283">
        <v>43.2</v>
      </c>
      <c r="CD34" s="283">
        <v>44.1</v>
      </c>
      <c r="CE34" s="283">
        <v>44.3</v>
      </c>
      <c r="CF34" s="283">
        <v>49.300000000000004</v>
      </c>
      <c r="CG34" s="283">
        <v>45.3</v>
      </c>
      <c r="CH34" s="283">
        <v>42</v>
      </c>
      <c r="CI34" s="283">
        <v>44.6</v>
      </c>
      <c r="CJ34" s="283">
        <v>44.5</v>
      </c>
      <c r="CK34" s="283">
        <v>44</v>
      </c>
      <c r="CL34" s="285" t="s">
        <v>37</v>
      </c>
      <c r="CM34" s="286">
        <v>315.39999999999998</v>
      </c>
      <c r="CN34" s="286">
        <v>336.2</v>
      </c>
      <c r="CO34" s="286">
        <v>338.4</v>
      </c>
      <c r="CP34" s="286">
        <v>332.4</v>
      </c>
      <c r="CQ34" s="286">
        <v>331.8</v>
      </c>
      <c r="CR34" s="286">
        <v>343.4</v>
      </c>
      <c r="CS34" s="286">
        <v>337</v>
      </c>
      <c r="CT34" s="286">
        <v>325.2</v>
      </c>
      <c r="CU34" s="286">
        <v>310.7</v>
      </c>
      <c r="CV34" s="286">
        <v>335.9</v>
      </c>
      <c r="CW34" s="285" t="s">
        <v>37</v>
      </c>
      <c r="CX34" s="286">
        <v>230.4</v>
      </c>
      <c r="CY34" s="286">
        <v>248</v>
      </c>
      <c r="CZ34" s="286">
        <v>259.5</v>
      </c>
      <c r="DA34" s="286">
        <v>253.7</v>
      </c>
      <c r="DB34" s="286">
        <v>254.6</v>
      </c>
      <c r="DC34" s="286">
        <v>259.2</v>
      </c>
      <c r="DD34" s="286">
        <v>272.7</v>
      </c>
      <c r="DE34" s="286">
        <v>269.39999999999998</v>
      </c>
      <c r="DF34" s="286">
        <v>265.7</v>
      </c>
      <c r="DG34" s="286">
        <v>282.3</v>
      </c>
      <c r="DH34" s="285" t="s">
        <v>37</v>
      </c>
      <c r="DI34" s="286">
        <v>218.7</v>
      </c>
      <c r="DJ34" s="286">
        <v>232.2</v>
      </c>
      <c r="DK34" s="286">
        <v>225.1</v>
      </c>
      <c r="DL34" s="286">
        <v>230.6</v>
      </c>
      <c r="DM34" s="286">
        <v>222.3</v>
      </c>
      <c r="DN34" s="286">
        <v>240</v>
      </c>
      <c r="DO34" s="286">
        <v>235.5</v>
      </c>
      <c r="DP34" s="286">
        <v>241.2</v>
      </c>
      <c r="DQ34" s="286">
        <v>228.2</v>
      </c>
      <c r="DR34" s="286">
        <v>238.6</v>
      </c>
      <c r="DS34" s="285" t="s">
        <v>37</v>
      </c>
      <c r="DT34" s="286"/>
      <c r="DU34" s="286"/>
      <c r="DV34" s="286"/>
      <c r="DW34" s="286"/>
      <c r="DX34" s="286"/>
      <c r="DY34" s="286"/>
      <c r="DZ34" s="286"/>
      <c r="EA34" s="286"/>
      <c r="EB34" s="286"/>
      <c r="EC34" s="286"/>
      <c r="ED34" s="279" t="s">
        <v>37</v>
      </c>
      <c r="EE34" s="280">
        <v>10</v>
      </c>
      <c r="EF34" s="280">
        <v>12.3</v>
      </c>
      <c r="EG34" s="280">
        <v>8.6999999999999993</v>
      </c>
      <c r="EH34" s="280">
        <v>16.399999999999999</v>
      </c>
      <c r="EI34" s="280">
        <v>12.6</v>
      </c>
      <c r="EJ34" s="280">
        <v>13.8</v>
      </c>
      <c r="EK34" s="280">
        <v>12.7</v>
      </c>
      <c r="EL34" s="280">
        <v>11.8</v>
      </c>
      <c r="EM34" s="280">
        <v>12.2</v>
      </c>
      <c r="EN34" s="280">
        <v>8.1</v>
      </c>
      <c r="EO34" s="279" t="s">
        <v>37</v>
      </c>
      <c r="EP34" s="280">
        <v>151.19999999999999</v>
      </c>
      <c r="EQ34" s="280">
        <v>159.9</v>
      </c>
      <c r="ER34" s="280">
        <v>145.30000000000001</v>
      </c>
      <c r="ES34" s="280">
        <v>155.30000000000001</v>
      </c>
      <c r="ET34" s="280">
        <v>152.1</v>
      </c>
      <c r="EU34" s="280">
        <v>149.9</v>
      </c>
      <c r="EV34" s="280">
        <v>149.19999999999999</v>
      </c>
      <c r="EW34" s="280">
        <v>155.80000000000001</v>
      </c>
      <c r="EX34" s="280">
        <v>151.6</v>
      </c>
      <c r="EY34" s="280">
        <v>163.80000000000001</v>
      </c>
      <c r="EZ34" s="279" t="s">
        <v>37</v>
      </c>
      <c r="FA34" s="280">
        <v>75.2</v>
      </c>
      <c r="FB34" s="280">
        <v>65.099999999999994</v>
      </c>
      <c r="FC34" s="280">
        <v>76</v>
      </c>
      <c r="FD34" s="280">
        <v>64.400000000000006</v>
      </c>
      <c r="FE34" s="280">
        <v>69.099999999999994</v>
      </c>
      <c r="FF34" s="280">
        <v>84</v>
      </c>
      <c r="FG34" s="280">
        <v>80.599999999999994</v>
      </c>
      <c r="FH34" s="280">
        <v>84.8</v>
      </c>
      <c r="FI34" s="280">
        <v>72.5</v>
      </c>
      <c r="FJ34" s="280">
        <v>71.599999999999994</v>
      </c>
      <c r="FK34" s="279" t="s">
        <v>37</v>
      </c>
      <c r="FL34" s="280">
        <v>59.9</v>
      </c>
      <c r="FM34" s="280">
        <v>72.3</v>
      </c>
      <c r="FN34" s="280">
        <v>68.400000000000006</v>
      </c>
      <c r="FO34" s="280">
        <v>69.3</v>
      </c>
      <c r="FP34" s="280">
        <v>65.2</v>
      </c>
      <c r="FQ34" s="280">
        <v>68.400000000000006</v>
      </c>
      <c r="FR34" s="280">
        <v>74.8</v>
      </c>
      <c r="FS34" s="280">
        <v>74.2</v>
      </c>
      <c r="FT34" s="280">
        <v>72.2</v>
      </c>
      <c r="FU34" s="280">
        <v>72</v>
      </c>
      <c r="FV34" s="279" t="s">
        <v>37</v>
      </c>
      <c r="FW34" s="280">
        <v>138.30000000000001</v>
      </c>
      <c r="FX34" s="280">
        <v>157.9</v>
      </c>
      <c r="FY34" s="280">
        <v>170.3</v>
      </c>
      <c r="FZ34" s="280">
        <v>167.4</v>
      </c>
      <c r="GA34" s="280">
        <v>166.7</v>
      </c>
      <c r="GB34" s="280">
        <v>179.4</v>
      </c>
      <c r="GC34" s="280">
        <v>181.7</v>
      </c>
      <c r="GD34" s="280">
        <v>156.6</v>
      </c>
      <c r="GE34" s="280">
        <v>159</v>
      </c>
      <c r="GF34" s="280">
        <v>173.1</v>
      </c>
      <c r="GG34" s="279" t="s">
        <v>37</v>
      </c>
      <c r="GH34" s="280">
        <v>18.100000000000001</v>
      </c>
      <c r="GI34" s="280">
        <v>20.6</v>
      </c>
      <c r="GJ34" s="280">
        <v>23.8</v>
      </c>
      <c r="GK34" s="280">
        <v>22.2</v>
      </c>
      <c r="GL34" s="280">
        <v>24.5</v>
      </c>
      <c r="GM34" s="280">
        <v>22.3</v>
      </c>
      <c r="GN34" s="280">
        <v>19.600000000000001</v>
      </c>
      <c r="GO34" s="280">
        <v>20.2</v>
      </c>
      <c r="GP34" s="280">
        <v>24.9</v>
      </c>
      <c r="GQ34" s="280">
        <v>26.9</v>
      </c>
      <c r="GR34" s="279" t="s">
        <v>37</v>
      </c>
      <c r="GS34" s="280">
        <v>97.4</v>
      </c>
      <c r="GT34" s="280">
        <v>103.2</v>
      </c>
      <c r="GU34" s="280">
        <v>99.4</v>
      </c>
      <c r="GV34" s="280">
        <v>102.2</v>
      </c>
      <c r="GW34" s="280">
        <v>91.7</v>
      </c>
      <c r="GX34" s="280">
        <v>89.6</v>
      </c>
      <c r="GY34" s="280">
        <v>100.2</v>
      </c>
      <c r="GZ34" s="280">
        <v>106.6</v>
      </c>
      <c r="HA34" s="280">
        <v>90.7</v>
      </c>
      <c r="HB34" s="280">
        <v>105.2</v>
      </c>
      <c r="HC34" s="279" t="s">
        <v>37</v>
      </c>
      <c r="HD34" s="280">
        <v>76.900000000000006</v>
      </c>
      <c r="HE34" s="280">
        <v>80.099999999999994</v>
      </c>
      <c r="HF34" s="280">
        <v>75.400000000000006</v>
      </c>
      <c r="HG34" s="280">
        <v>69.900000000000006</v>
      </c>
      <c r="HH34" s="280">
        <v>79.5</v>
      </c>
      <c r="HI34" s="280">
        <v>72.599999999999994</v>
      </c>
      <c r="HJ34" s="280">
        <v>74.2</v>
      </c>
      <c r="HK34" s="280">
        <v>74.3</v>
      </c>
      <c r="HL34" s="280">
        <v>71.3</v>
      </c>
      <c r="HM34" s="280">
        <v>76.900000000000006</v>
      </c>
      <c r="HN34" s="279" t="s">
        <v>37</v>
      </c>
      <c r="HO34" s="280">
        <v>127</v>
      </c>
      <c r="HP34" s="280">
        <v>136.1</v>
      </c>
      <c r="HQ34" s="280">
        <v>146.30000000000001</v>
      </c>
      <c r="HR34" s="280">
        <v>139.30000000000001</v>
      </c>
      <c r="HS34" s="280">
        <v>138.19999999999999</v>
      </c>
      <c r="HT34" s="280">
        <v>151</v>
      </c>
      <c r="HU34" s="280">
        <v>144.19999999999999</v>
      </c>
      <c r="HV34" s="280">
        <v>143.9</v>
      </c>
      <c r="HW34" s="280">
        <v>143.80000000000001</v>
      </c>
      <c r="HX34" s="280">
        <v>152.19999999999999</v>
      </c>
      <c r="HY34" s="279" t="s">
        <v>37</v>
      </c>
      <c r="HZ34" s="280">
        <v>10.4</v>
      </c>
      <c r="IA34" s="280">
        <v>9</v>
      </c>
      <c r="IB34" s="280">
        <v>9.3000000000000007</v>
      </c>
      <c r="IC34" s="280">
        <v>10.199999999999999</v>
      </c>
      <c r="ID34" s="280">
        <v>9.1</v>
      </c>
      <c r="IE34" s="280">
        <v>11.7</v>
      </c>
      <c r="IF34" s="280">
        <v>7.9</v>
      </c>
      <c r="IG34" s="280">
        <v>7.6</v>
      </c>
      <c r="IH34" s="280"/>
      <c r="II34" s="281"/>
      <c r="IJ34" s="279" t="s">
        <v>37</v>
      </c>
      <c r="IK34" s="281"/>
      <c r="IL34" s="281"/>
      <c r="IM34" s="281"/>
      <c r="IN34" s="281"/>
      <c r="IO34" s="281"/>
      <c r="IP34" s="281"/>
      <c r="IQ34" s="281"/>
      <c r="IR34" s="281"/>
      <c r="IS34" s="281"/>
      <c r="IT34" s="281"/>
      <c r="IU34" s="279" t="s">
        <v>37</v>
      </c>
      <c r="IV34" s="280">
        <v>23.7</v>
      </c>
      <c r="IW34" s="280">
        <v>27.7</v>
      </c>
      <c r="IX34" s="280">
        <v>30.4</v>
      </c>
      <c r="IY34" s="280">
        <v>27.3</v>
      </c>
      <c r="IZ34" s="280">
        <v>30</v>
      </c>
      <c r="JA34" s="280">
        <v>25.8</v>
      </c>
      <c r="JB34" s="280">
        <v>32.4</v>
      </c>
      <c r="JC34" s="280">
        <v>28.6</v>
      </c>
      <c r="JD34" s="280">
        <v>26.6</v>
      </c>
      <c r="JE34" s="280">
        <v>31.4</v>
      </c>
      <c r="JF34" s="279" t="s">
        <v>37</v>
      </c>
      <c r="JG34" s="280">
        <v>127.2</v>
      </c>
      <c r="JH34" s="280">
        <v>132.80000000000001</v>
      </c>
      <c r="JI34" s="280">
        <v>136.1</v>
      </c>
      <c r="JJ34" s="280">
        <v>121.5</v>
      </c>
      <c r="JK34" s="280">
        <v>119.4</v>
      </c>
      <c r="JL34" s="280">
        <v>122.5</v>
      </c>
      <c r="JM34" s="280">
        <v>129.5</v>
      </c>
      <c r="JN34" s="280">
        <v>129.69999999999999</v>
      </c>
      <c r="JO34" s="280">
        <v>129</v>
      </c>
      <c r="JP34" s="280">
        <v>135.69999999999999</v>
      </c>
      <c r="JQ34" s="279" t="s">
        <v>37</v>
      </c>
      <c r="JR34" s="280">
        <v>58.3</v>
      </c>
      <c r="JS34" s="280">
        <v>65</v>
      </c>
      <c r="JT34" s="280">
        <v>58.4</v>
      </c>
      <c r="JU34" s="280">
        <v>64.2</v>
      </c>
      <c r="JV34" s="280">
        <v>55.2</v>
      </c>
      <c r="JW34" s="280">
        <v>51.9</v>
      </c>
      <c r="JX34" s="280">
        <v>54.8</v>
      </c>
      <c r="JY34" s="280">
        <v>62.9</v>
      </c>
      <c r="JZ34" s="280">
        <v>57.8</v>
      </c>
      <c r="KA34" s="280">
        <v>60.7</v>
      </c>
      <c r="KB34" s="279" t="s">
        <v>37</v>
      </c>
      <c r="KC34" s="280">
        <v>106.8</v>
      </c>
      <c r="KD34" s="280">
        <v>108.1</v>
      </c>
      <c r="KE34" s="280">
        <v>114.9</v>
      </c>
      <c r="KF34" s="280">
        <v>126.2</v>
      </c>
      <c r="KG34" s="280">
        <v>126.3</v>
      </c>
      <c r="KH34" s="280">
        <v>120.4</v>
      </c>
      <c r="KI34" s="280">
        <v>117.5</v>
      </c>
      <c r="KJ34" s="280">
        <v>122.9</v>
      </c>
      <c r="KK34" s="280">
        <v>113.7</v>
      </c>
      <c r="KL34" s="280">
        <v>122</v>
      </c>
      <c r="KM34" s="279" t="s">
        <v>37</v>
      </c>
      <c r="KN34" s="280">
        <v>27.9</v>
      </c>
      <c r="KO34" s="280">
        <v>33.4</v>
      </c>
      <c r="KP34" s="280">
        <v>33</v>
      </c>
      <c r="KQ34" s="280">
        <v>27.2</v>
      </c>
      <c r="KR34" s="280">
        <v>33.799999999999997</v>
      </c>
      <c r="KS34" s="280">
        <v>36.1</v>
      </c>
      <c r="KT34" s="280">
        <v>36.200000000000003</v>
      </c>
      <c r="KU34" s="280">
        <v>38.5</v>
      </c>
      <c r="KV34" s="280">
        <v>37.799999999999997</v>
      </c>
      <c r="KW34" s="280">
        <v>42.7</v>
      </c>
      <c r="KX34" s="279" t="s">
        <v>37</v>
      </c>
      <c r="KY34" s="280">
        <v>57.8</v>
      </c>
      <c r="KZ34" s="280">
        <v>65.7</v>
      </c>
      <c r="LA34" s="280">
        <v>76.3</v>
      </c>
      <c r="LB34" s="280">
        <v>66.599999999999994</v>
      </c>
      <c r="LC34" s="280">
        <v>67.599999999999994</v>
      </c>
      <c r="LD34" s="280">
        <v>78.599999999999994</v>
      </c>
      <c r="LE34" s="280">
        <v>83.6</v>
      </c>
      <c r="LF34" s="280">
        <v>72.7</v>
      </c>
      <c r="LG34" s="280">
        <v>71.2</v>
      </c>
      <c r="LH34" s="280">
        <v>96.6</v>
      </c>
      <c r="LI34" s="279" t="s">
        <v>37</v>
      </c>
      <c r="LJ34" s="280">
        <v>25.5</v>
      </c>
      <c r="LK34" s="280">
        <v>20.2</v>
      </c>
      <c r="LL34" s="280">
        <v>18.899999999999999</v>
      </c>
      <c r="LM34" s="280">
        <v>25.1</v>
      </c>
      <c r="LN34" s="280">
        <v>24</v>
      </c>
      <c r="LO34" s="280">
        <v>23.5</v>
      </c>
      <c r="LP34" s="280">
        <v>29</v>
      </c>
      <c r="LQ34" s="280">
        <v>22</v>
      </c>
      <c r="LR34" s="280">
        <v>21.1</v>
      </c>
      <c r="LS34" s="280">
        <v>25.5</v>
      </c>
      <c r="LT34" s="279" t="s">
        <v>37</v>
      </c>
      <c r="LU34" s="280"/>
      <c r="LV34" s="280">
        <v>10.199999999999999</v>
      </c>
      <c r="LW34" s="280"/>
      <c r="LX34" s="280">
        <v>9.4</v>
      </c>
      <c r="LY34" s="280"/>
      <c r="LZ34" s="280">
        <v>8.1999999999999993</v>
      </c>
      <c r="MA34" s="280">
        <v>12.2</v>
      </c>
      <c r="MB34" s="280">
        <v>9.8000000000000007</v>
      </c>
      <c r="MC34" s="280"/>
      <c r="MD34" s="280"/>
      <c r="ME34" s="279" t="s">
        <v>37</v>
      </c>
      <c r="MF34" s="280">
        <v>33.799999999999997</v>
      </c>
      <c r="MG34" s="280">
        <v>32.799999999999997</v>
      </c>
      <c r="MH34" s="280">
        <v>32.1</v>
      </c>
      <c r="MI34" s="280">
        <v>35.799999999999997</v>
      </c>
      <c r="MJ34" s="280">
        <v>31</v>
      </c>
      <c r="MK34" s="280">
        <v>37.4</v>
      </c>
      <c r="ML34" s="280">
        <v>34.700000000000003</v>
      </c>
      <c r="MM34" s="280">
        <v>34.6</v>
      </c>
      <c r="MN34" s="280">
        <v>31.1</v>
      </c>
      <c r="MO34" s="280">
        <v>36.5</v>
      </c>
      <c r="MP34" s="279" t="s">
        <v>37</v>
      </c>
      <c r="MQ34" s="280">
        <v>41.2</v>
      </c>
      <c r="MR34" s="280">
        <v>50.4</v>
      </c>
      <c r="MS34" s="280">
        <v>45.3</v>
      </c>
      <c r="MT34" s="280">
        <v>48.1</v>
      </c>
      <c r="MU34" s="280">
        <v>43.7</v>
      </c>
      <c r="MV34" s="280">
        <v>48.9</v>
      </c>
      <c r="MW34" s="280">
        <v>41.8</v>
      </c>
      <c r="MX34" s="280">
        <v>45.1</v>
      </c>
      <c r="MY34" s="280">
        <v>51.1</v>
      </c>
      <c r="MZ34" s="280">
        <v>41</v>
      </c>
      <c r="NA34" s="279" t="s">
        <v>37</v>
      </c>
      <c r="NB34" s="280">
        <v>38.1</v>
      </c>
      <c r="NC34" s="280">
        <v>34.6</v>
      </c>
      <c r="ND34" s="280">
        <v>41.3</v>
      </c>
      <c r="NE34" s="280">
        <v>39.9</v>
      </c>
      <c r="NF34" s="280">
        <v>37.200000000000003</v>
      </c>
      <c r="NG34" s="280">
        <v>43.5</v>
      </c>
      <c r="NH34" s="280">
        <v>40.299999999999997</v>
      </c>
      <c r="NI34" s="280">
        <v>35.799999999999997</v>
      </c>
      <c r="NJ34" s="280">
        <v>30.5</v>
      </c>
      <c r="NK34" s="280">
        <v>28.9</v>
      </c>
      <c r="NL34" s="279" t="s">
        <v>37</v>
      </c>
      <c r="NM34" s="280">
        <v>82.2</v>
      </c>
      <c r="NN34" s="280">
        <v>80.2</v>
      </c>
      <c r="NO34" s="280">
        <v>66.2</v>
      </c>
      <c r="NP34" s="280">
        <v>76</v>
      </c>
      <c r="NQ34" s="280">
        <v>81.7</v>
      </c>
      <c r="NR34" s="280">
        <v>82.4</v>
      </c>
      <c r="NS34" s="280">
        <v>72.099999999999994</v>
      </c>
      <c r="NT34" s="280">
        <v>73.2</v>
      </c>
      <c r="NU34" s="280">
        <v>71</v>
      </c>
      <c r="NV34" s="280">
        <v>80.7</v>
      </c>
      <c r="NW34" s="279" t="s">
        <v>37</v>
      </c>
      <c r="NX34" s="280">
        <v>64.7</v>
      </c>
      <c r="NY34" s="280">
        <v>76.099999999999994</v>
      </c>
      <c r="NZ34" s="280">
        <v>79.900000000000006</v>
      </c>
      <c r="OA34" s="280">
        <v>71.3</v>
      </c>
      <c r="OB34" s="280">
        <v>77.599999999999994</v>
      </c>
      <c r="OC34" s="280">
        <v>80.900000000000006</v>
      </c>
      <c r="OD34" s="280">
        <v>76.8</v>
      </c>
      <c r="OE34" s="280">
        <v>77.5</v>
      </c>
      <c r="OF34" s="280">
        <v>77.8</v>
      </c>
      <c r="OG34" s="280">
        <v>66.3</v>
      </c>
      <c r="OH34" s="296" t="s">
        <v>37</v>
      </c>
      <c r="OI34" s="297">
        <v>13.3</v>
      </c>
      <c r="OJ34" s="297">
        <v>13.6</v>
      </c>
      <c r="OK34" s="297">
        <v>13.9</v>
      </c>
      <c r="OL34" s="297">
        <v>12.1</v>
      </c>
      <c r="OM34" s="297">
        <v>12.1</v>
      </c>
      <c r="ON34" s="297">
        <v>12.4</v>
      </c>
      <c r="OO34" s="297">
        <v>12.6</v>
      </c>
      <c r="OP34" s="297">
        <v>11</v>
      </c>
      <c r="OQ34" s="297">
        <v>10.7</v>
      </c>
      <c r="OR34" s="297">
        <v>10.6</v>
      </c>
      <c r="OS34" s="279" t="s">
        <v>37</v>
      </c>
      <c r="OT34" s="280"/>
      <c r="OU34" s="280"/>
      <c r="OV34" s="280"/>
      <c r="OW34" s="280"/>
      <c r="OX34" s="280"/>
      <c r="OY34" s="280"/>
      <c r="OZ34" s="280"/>
      <c r="PA34" s="280"/>
      <c r="PB34" s="280"/>
      <c r="PC34" s="280"/>
    </row>
    <row r="35" spans="1:419">
      <c r="A35" s="277">
        <v>26</v>
      </c>
      <c r="B35" s="308" t="s">
        <v>38</v>
      </c>
      <c r="C35" s="309">
        <v>1.4</v>
      </c>
      <c r="D35" s="309">
        <v>1.7</v>
      </c>
      <c r="E35" s="309">
        <v>1.3</v>
      </c>
      <c r="F35" s="309">
        <v>1.2</v>
      </c>
      <c r="G35" s="309">
        <v>1.4</v>
      </c>
      <c r="H35" s="309">
        <v>1.4</v>
      </c>
      <c r="I35" s="309">
        <v>1.4</v>
      </c>
      <c r="J35" s="309">
        <v>1.3</v>
      </c>
      <c r="K35" s="309">
        <v>1.2</v>
      </c>
      <c r="L35" s="309">
        <v>1.2</v>
      </c>
      <c r="M35" s="308" t="s">
        <v>38</v>
      </c>
      <c r="N35" s="309">
        <v>81.3</v>
      </c>
      <c r="O35" s="309">
        <v>101.8</v>
      </c>
      <c r="P35" s="309">
        <v>77.900000000000006</v>
      </c>
      <c r="Q35" s="309">
        <v>76</v>
      </c>
      <c r="R35" s="309">
        <v>83.7</v>
      </c>
      <c r="S35" s="309">
        <v>87.3</v>
      </c>
      <c r="T35" s="309">
        <v>88.1</v>
      </c>
      <c r="U35" s="309">
        <v>82.5</v>
      </c>
      <c r="V35" s="309">
        <v>72.7</v>
      </c>
      <c r="W35" s="309">
        <v>73.400000000000006</v>
      </c>
      <c r="X35" s="308" t="s">
        <v>38</v>
      </c>
      <c r="Y35" s="309"/>
      <c r="Z35" s="309"/>
      <c r="AA35" s="309"/>
      <c r="AB35" s="309"/>
      <c r="AC35" s="309"/>
      <c r="AD35" s="309"/>
      <c r="AE35" s="309"/>
      <c r="AF35" s="309"/>
      <c r="AG35" s="309"/>
      <c r="AH35" s="309"/>
      <c r="AI35" s="308" t="s">
        <v>38</v>
      </c>
      <c r="AJ35" s="310">
        <v>16.899999999999999</v>
      </c>
      <c r="AK35" s="310">
        <v>15.4</v>
      </c>
      <c r="AL35" s="310">
        <v>14</v>
      </c>
      <c r="AM35" s="310">
        <v>9.5</v>
      </c>
      <c r="AN35" s="310"/>
      <c r="AO35" s="310">
        <v>11</v>
      </c>
      <c r="AP35" s="310">
        <v>15.5</v>
      </c>
      <c r="AQ35" s="310">
        <v>11.5</v>
      </c>
      <c r="AR35" s="310">
        <v>7.1</v>
      </c>
      <c r="AS35" s="310">
        <v>8.8000000000000007</v>
      </c>
      <c r="AT35" s="308" t="s">
        <v>38</v>
      </c>
      <c r="AU35" s="310">
        <v>19.3</v>
      </c>
      <c r="AV35" s="310">
        <v>35.700000000000003</v>
      </c>
      <c r="AW35" s="310">
        <v>26.1</v>
      </c>
      <c r="AX35" s="310">
        <v>26.4</v>
      </c>
      <c r="AY35" s="310">
        <v>20.6</v>
      </c>
      <c r="AZ35" s="310">
        <v>25.8</v>
      </c>
      <c r="BA35" s="310">
        <v>23.5</v>
      </c>
      <c r="BB35" s="310">
        <v>24.5</v>
      </c>
      <c r="BC35" s="310">
        <v>17.8</v>
      </c>
      <c r="BD35" s="310">
        <v>19.2</v>
      </c>
      <c r="BE35" s="308" t="s">
        <v>38</v>
      </c>
      <c r="BF35" s="310">
        <v>30.5</v>
      </c>
      <c r="BG35" s="310">
        <v>37.9</v>
      </c>
      <c r="BH35" s="310">
        <v>29</v>
      </c>
      <c r="BI35" s="310">
        <v>28.4</v>
      </c>
      <c r="BJ35" s="310">
        <v>43.9</v>
      </c>
      <c r="BK35" s="310">
        <v>38.799999999999997</v>
      </c>
      <c r="BL35" s="310">
        <v>32.700000000000003</v>
      </c>
      <c r="BM35" s="310">
        <v>35.799999999999997</v>
      </c>
      <c r="BN35" s="310">
        <v>38.299999999999997</v>
      </c>
      <c r="BO35" s="310">
        <v>36</v>
      </c>
      <c r="BP35" s="308" t="s">
        <v>38</v>
      </c>
      <c r="BQ35" s="311"/>
      <c r="BR35" s="311"/>
      <c r="BS35" s="311"/>
      <c r="BT35" s="311"/>
      <c r="BU35" s="311"/>
      <c r="BV35" s="311"/>
      <c r="BW35" s="311"/>
      <c r="BX35" s="311"/>
      <c r="BY35" s="311"/>
      <c r="BZ35" s="311"/>
      <c r="CA35" s="312" t="s">
        <v>38</v>
      </c>
      <c r="CB35" s="311"/>
      <c r="CC35" s="311"/>
      <c r="CD35" s="311"/>
      <c r="CE35" s="311"/>
      <c r="CF35" s="311"/>
      <c r="CG35" s="311"/>
      <c r="CH35" s="311"/>
      <c r="CI35" s="311"/>
      <c r="CJ35" s="311"/>
      <c r="CK35" s="311"/>
      <c r="CL35" s="308" t="s">
        <v>38</v>
      </c>
      <c r="CM35" s="309">
        <v>19.5</v>
      </c>
      <c r="CN35" s="309">
        <v>27.3</v>
      </c>
      <c r="CO35" s="309">
        <v>23</v>
      </c>
      <c r="CP35" s="309">
        <v>21.6</v>
      </c>
      <c r="CQ35" s="309">
        <v>26</v>
      </c>
      <c r="CR35" s="309">
        <v>28</v>
      </c>
      <c r="CS35" s="309">
        <v>23.5</v>
      </c>
      <c r="CT35" s="309">
        <v>22</v>
      </c>
      <c r="CU35" s="309">
        <v>22.7</v>
      </c>
      <c r="CV35" s="309">
        <v>23.5</v>
      </c>
      <c r="CW35" s="308" t="s">
        <v>38</v>
      </c>
      <c r="CX35" s="309">
        <v>54.1</v>
      </c>
      <c r="CY35" s="309">
        <v>65.7</v>
      </c>
      <c r="CZ35" s="309">
        <v>50.3</v>
      </c>
      <c r="DA35" s="309">
        <v>46.5</v>
      </c>
      <c r="DB35" s="309">
        <v>50.9</v>
      </c>
      <c r="DC35" s="309">
        <v>52.1</v>
      </c>
      <c r="DD35" s="309">
        <v>57.8</v>
      </c>
      <c r="DE35" s="309">
        <v>54.9</v>
      </c>
      <c r="DF35" s="309">
        <v>45.9</v>
      </c>
      <c r="DG35" s="309">
        <v>43.7</v>
      </c>
      <c r="DH35" s="308" t="s">
        <v>38</v>
      </c>
      <c r="DI35" s="309">
        <v>7.7</v>
      </c>
      <c r="DJ35" s="309">
        <v>8.8000000000000007</v>
      </c>
      <c r="DK35" s="309"/>
      <c r="DL35" s="309">
        <v>7.9</v>
      </c>
      <c r="DM35" s="309">
        <v>6.8</v>
      </c>
      <c r="DN35" s="309">
        <v>7.2</v>
      </c>
      <c r="DO35" s="309">
        <v>6.7</v>
      </c>
      <c r="DP35" s="309"/>
      <c r="DQ35" s="309"/>
      <c r="DR35" s="309"/>
      <c r="DS35" s="308" t="s">
        <v>38</v>
      </c>
      <c r="DT35" s="308"/>
      <c r="DU35" s="308"/>
      <c r="DV35" s="308"/>
      <c r="DW35" s="308"/>
      <c r="DX35" s="308"/>
      <c r="DY35" s="308"/>
      <c r="DZ35" s="308"/>
      <c r="EA35" s="308"/>
      <c r="EB35" s="308"/>
      <c r="EC35" s="308"/>
      <c r="ED35" s="313" t="s">
        <v>38</v>
      </c>
      <c r="EE35" s="313"/>
      <c r="EF35" s="313"/>
      <c r="EG35" s="313"/>
      <c r="EH35" s="313"/>
      <c r="EI35" s="313"/>
      <c r="EJ35" s="313"/>
      <c r="EK35" s="313"/>
      <c r="EL35" s="313"/>
      <c r="EM35" s="313"/>
      <c r="EN35" s="313"/>
      <c r="EO35" s="313" t="s">
        <v>38</v>
      </c>
      <c r="EP35" s="313"/>
      <c r="EQ35" s="313"/>
      <c r="ER35" s="313"/>
      <c r="ES35" s="313"/>
      <c r="ET35" s="313"/>
      <c r="EU35" s="313"/>
      <c r="EV35" s="313"/>
      <c r="EW35" s="313"/>
      <c r="EX35" s="313"/>
      <c r="EY35" s="313"/>
      <c r="EZ35" s="313" t="s">
        <v>38</v>
      </c>
      <c r="FA35" s="313"/>
      <c r="FB35" s="313"/>
      <c r="FC35" s="313"/>
      <c r="FD35" s="313"/>
      <c r="FE35" s="313"/>
      <c r="FF35" s="313"/>
      <c r="FG35" s="313"/>
      <c r="FH35" s="313"/>
      <c r="FI35" s="313"/>
      <c r="FJ35" s="313"/>
      <c r="FK35" s="313" t="s">
        <v>38</v>
      </c>
      <c r="FL35" s="313"/>
      <c r="FM35" s="313"/>
      <c r="FN35" s="313"/>
      <c r="FO35" s="313"/>
      <c r="FP35" s="313"/>
      <c r="FQ35" s="313"/>
      <c r="FR35" s="313"/>
      <c r="FS35" s="313"/>
      <c r="FT35" s="313"/>
      <c r="FU35" s="313"/>
      <c r="FV35" s="313" t="s">
        <v>38</v>
      </c>
      <c r="FW35" s="310">
        <v>13.9</v>
      </c>
      <c r="FX35" s="310">
        <v>13.5</v>
      </c>
      <c r="FY35" s="310">
        <v>9.5</v>
      </c>
      <c r="FZ35" s="310">
        <v>8.3000000000000007</v>
      </c>
      <c r="GA35" s="310">
        <v>12.1</v>
      </c>
      <c r="GB35" s="310">
        <v>13.5</v>
      </c>
      <c r="GC35" s="310">
        <v>9.9</v>
      </c>
      <c r="GD35" s="310">
        <v>8.6999999999999993</v>
      </c>
      <c r="GE35" s="310">
        <v>13.1</v>
      </c>
      <c r="GF35" s="310">
        <v>8.4</v>
      </c>
      <c r="GG35" s="313" t="s">
        <v>38</v>
      </c>
      <c r="GH35" s="310">
        <v>8.9</v>
      </c>
      <c r="GI35" s="310">
        <v>8</v>
      </c>
      <c r="GJ35" s="310">
        <v>10</v>
      </c>
      <c r="GK35" s="310">
        <v>11.7</v>
      </c>
      <c r="GL35" s="310">
        <v>9.8000000000000007</v>
      </c>
      <c r="GM35" s="310">
        <v>14.8</v>
      </c>
      <c r="GN35" s="310">
        <v>15.3</v>
      </c>
      <c r="GO35" s="310">
        <v>12.6</v>
      </c>
      <c r="GP35" s="310">
        <v>10</v>
      </c>
      <c r="GQ35" s="310">
        <v>13.4</v>
      </c>
      <c r="GR35" s="313" t="s">
        <v>38</v>
      </c>
      <c r="GS35" s="310">
        <v>15.1</v>
      </c>
      <c r="GT35" s="310">
        <v>20.2</v>
      </c>
      <c r="GU35" s="310">
        <v>17.100000000000001</v>
      </c>
      <c r="GV35" s="310">
        <v>19.100000000000001</v>
      </c>
      <c r="GW35" s="310">
        <v>21.8</v>
      </c>
      <c r="GX35" s="310">
        <v>21.7</v>
      </c>
      <c r="GY35" s="310">
        <v>21.7</v>
      </c>
      <c r="GZ35" s="310">
        <v>24.3</v>
      </c>
      <c r="HA35" s="310">
        <v>18.8</v>
      </c>
      <c r="HB35" s="310">
        <v>17.2</v>
      </c>
      <c r="HC35" s="313" t="s">
        <v>38</v>
      </c>
      <c r="HD35" s="310"/>
      <c r="HE35" s="313"/>
      <c r="HF35" s="310"/>
      <c r="HG35" s="313"/>
      <c r="HH35" s="313"/>
      <c r="HI35" s="313"/>
      <c r="HJ35" s="310"/>
      <c r="HK35" s="313"/>
      <c r="HL35" s="310"/>
      <c r="HM35" s="313"/>
      <c r="HN35" s="313" t="s">
        <v>38</v>
      </c>
      <c r="HO35" s="310">
        <v>27.8</v>
      </c>
      <c r="HP35" s="310">
        <v>42</v>
      </c>
      <c r="HQ35" s="310">
        <v>30.4</v>
      </c>
      <c r="HR35" s="310">
        <v>22.7</v>
      </c>
      <c r="HS35" s="310">
        <v>24.6</v>
      </c>
      <c r="HT35" s="310">
        <v>23.4</v>
      </c>
      <c r="HU35" s="310">
        <v>27.2</v>
      </c>
      <c r="HV35" s="310">
        <v>21.8</v>
      </c>
      <c r="HW35" s="310">
        <v>19.7</v>
      </c>
      <c r="HX35" s="310">
        <v>22</v>
      </c>
      <c r="HY35" s="313" t="s">
        <v>38</v>
      </c>
      <c r="HZ35" s="313"/>
      <c r="IA35" s="313"/>
      <c r="IB35" s="313"/>
      <c r="IC35" s="313"/>
      <c r="ID35" s="313"/>
      <c r="IE35" s="313"/>
      <c r="IF35" s="313"/>
      <c r="IG35" s="313"/>
      <c r="IH35" s="313"/>
      <c r="II35" s="313"/>
      <c r="IJ35" s="313" t="s">
        <v>38</v>
      </c>
      <c r="IK35" s="313"/>
      <c r="IL35" s="313"/>
      <c r="IM35" s="313"/>
      <c r="IN35" s="313"/>
      <c r="IO35" s="313"/>
      <c r="IP35" s="313"/>
      <c r="IQ35" s="313"/>
      <c r="IR35" s="313"/>
      <c r="IS35" s="313"/>
      <c r="IT35" s="313"/>
      <c r="IU35" s="313" t="s">
        <v>38</v>
      </c>
      <c r="IV35" s="313">
        <v>13.1</v>
      </c>
      <c r="IW35" s="310">
        <v>19.7</v>
      </c>
      <c r="IX35" s="310">
        <v>18.399999999999999</v>
      </c>
      <c r="IY35" s="313">
        <v>15</v>
      </c>
      <c r="IZ35" s="310">
        <v>11</v>
      </c>
      <c r="JA35" s="310">
        <v>15.3</v>
      </c>
      <c r="JB35" s="310">
        <v>19.399999999999999</v>
      </c>
      <c r="JC35" s="313">
        <v>14.2</v>
      </c>
      <c r="JD35" s="310">
        <v>12.4</v>
      </c>
      <c r="JE35" s="310">
        <v>18.2</v>
      </c>
      <c r="JF35" s="313" t="s">
        <v>38</v>
      </c>
      <c r="JG35" s="310">
        <v>13.7</v>
      </c>
      <c r="JH35" s="310">
        <v>16.399999999999999</v>
      </c>
      <c r="JI35" s="310">
        <v>7.9</v>
      </c>
      <c r="JJ35" s="310">
        <v>8.4</v>
      </c>
      <c r="JK35" s="310">
        <v>17.3</v>
      </c>
      <c r="JL35" s="310">
        <v>13.6</v>
      </c>
      <c r="JM35" s="310">
        <v>10.6</v>
      </c>
      <c r="JN35" s="310">
        <v>11.9</v>
      </c>
      <c r="JO35" s="310">
        <v>9.9</v>
      </c>
      <c r="JP35" s="310">
        <v>10.4</v>
      </c>
      <c r="JQ35" s="313" t="s">
        <v>38</v>
      </c>
      <c r="JR35" s="310">
        <v>15.4</v>
      </c>
      <c r="JS35" s="310">
        <v>24.7</v>
      </c>
      <c r="JT35" s="310">
        <v>19.3</v>
      </c>
      <c r="JU35" s="310">
        <v>18.8</v>
      </c>
      <c r="JV35" s="310">
        <v>21.8</v>
      </c>
      <c r="JW35" s="310">
        <v>26.1</v>
      </c>
      <c r="JX35" s="310">
        <v>26.1</v>
      </c>
      <c r="JY35" s="310">
        <v>28</v>
      </c>
      <c r="JZ35" s="310">
        <v>22.7</v>
      </c>
      <c r="KA35" s="310">
        <v>20.399999999999999</v>
      </c>
      <c r="KB35" s="313" t="s">
        <v>38</v>
      </c>
      <c r="KC35" s="310"/>
      <c r="KD35" s="310"/>
      <c r="KE35" s="310"/>
      <c r="KF35" s="310"/>
      <c r="KG35" s="310"/>
      <c r="KH35" s="310"/>
      <c r="KI35" s="310"/>
      <c r="KJ35" s="310"/>
      <c r="KK35" s="310"/>
      <c r="KL35" s="310"/>
      <c r="KM35" s="313" t="s">
        <v>38</v>
      </c>
      <c r="KN35" s="310"/>
      <c r="KO35" s="310"/>
      <c r="KP35" s="310"/>
      <c r="KQ35" s="310"/>
      <c r="KR35" s="310"/>
      <c r="KS35" s="310"/>
      <c r="KT35" s="310"/>
      <c r="KU35" s="310"/>
      <c r="KV35" s="310"/>
      <c r="KW35" s="310"/>
      <c r="KX35" s="313" t="s">
        <v>38</v>
      </c>
      <c r="KY35" s="310"/>
      <c r="KZ35" s="310"/>
      <c r="LA35" s="310"/>
      <c r="LB35" s="310"/>
      <c r="LC35" s="310"/>
      <c r="LD35" s="310"/>
      <c r="LE35" s="310"/>
      <c r="LF35" s="310"/>
      <c r="LG35" s="310"/>
      <c r="LH35" s="310"/>
      <c r="LI35" s="313" t="s">
        <v>38</v>
      </c>
      <c r="LJ35" s="310"/>
      <c r="LK35" s="310"/>
      <c r="LL35" s="310"/>
      <c r="LM35" s="310"/>
      <c r="LN35" s="310"/>
      <c r="LO35" s="310"/>
      <c r="LP35" s="310"/>
      <c r="LQ35" s="310"/>
      <c r="LR35" s="310"/>
      <c r="LS35" s="310"/>
      <c r="LT35" s="313" t="s">
        <v>38</v>
      </c>
      <c r="LU35" s="313"/>
      <c r="LV35" s="313"/>
      <c r="LW35" s="313"/>
      <c r="LX35" s="313"/>
      <c r="LY35" s="313"/>
      <c r="LZ35" s="313"/>
      <c r="MA35" s="313"/>
      <c r="MB35" s="313"/>
      <c r="MC35" s="313"/>
      <c r="MD35" s="313"/>
      <c r="ME35" s="313" t="s">
        <v>38</v>
      </c>
      <c r="MF35" s="310"/>
      <c r="MG35" s="310"/>
      <c r="MH35" s="310"/>
      <c r="MI35" s="310"/>
      <c r="MJ35" s="310"/>
      <c r="MK35" s="310"/>
      <c r="ML35" s="310"/>
      <c r="MM35" s="310"/>
      <c r="MN35" s="310"/>
      <c r="MO35" s="310"/>
      <c r="MP35" s="313" t="s">
        <v>38</v>
      </c>
      <c r="MQ35" s="310"/>
      <c r="MR35" s="310"/>
      <c r="MS35" s="310"/>
      <c r="MT35" s="310"/>
      <c r="MU35" s="310"/>
      <c r="MV35" s="310"/>
      <c r="MW35" s="310"/>
      <c r="MX35" s="310"/>
      <c r="MY35" s="310"/>
      <c r="MZ35" s="310"/>
      <c r="NA35" s="313" t="s">
        <v>38</v>
      </c>
      <c r="NB35" s="310"/>
      <c r="NC35" s="310"/>
      <c r="ND35" s="310"/>
      <c r="NE35" s="310"/>
      <c r="NF35" s="310"/>
      <c r="NG35" s="310"/>
      <c r="NH35" s="310"/>
      <c r="NI35" s="310"/>
      <c r="NJ35" s="310"/>
      <c r="NK35" s="310"/>
      <c r="NL35" s="313" t="s">
        <v>38</v>
      </c>
      <c r="NM35" s="310"/>
      <c r="NN35" s="310"/>
      <c r="NO35" s="310"/>
      <c r="NP35" s="310"/>
      <c r="NQ35" s="310"/>
      <c r="NR35" s="310"/>
      <c r="NS35" s="310"/>
      <c r="NT35" s="310"/>
      <c r="NU35" s="310"/>
      <c r="NV35" s="310"/>
      <c r="NW35" s="313" t="s">
        <v>38</v>
      </c>
      <c r="NX35" s="310"/>
      <c r="NY35" s="310"/>
      <c r="NZ35" s="310"/>
      <c r="OA35" s="310"/>
      <c r="OB35" s="310"/>
      <c r="OC35" s="310"/>
      <c r="OD35" s="310"/>
      <c r="OE35" s="310"/>
      <c r="OF35" s="310"/>
      <c r="OG35" s="310"/>
      <c r="OH35" s="308" t="s">
        <v>38</v>
      </c>
      <c r="OI35" s="309">
        <v>6.5</v>
      </c>
      <c r="OJ35" s="309">
        <v>6.7</v>
      </c>
      <c r="OK35" s="309">
        <v>7.4</v>
      </c>
      <c r="OL35" s="309">
        <v>6.7</v>
      </c>
      <c r="OM35" s="309">
        <v>6.5</v>
      </c>
      <c r="ON35" s="309">
        <v>6.6</v>
      </c>
      <c r="OO35" s="309">
        <v>6.6</v>
      </c>
      <c r="OP35" s="309">
        <v>5.9</v>
      </c>
      <c r="OQ35" s="309">
        <v>5.7</v>
      </c>
      <c r="OR35" s="309">
        <v>5.5</v>
      </c>
      <c r="OS35" s="313" t="s">
        <v>38</v>
      </c>
      <c r="OT35" s="310">
        <v>0.6</v>
      </c>
      <c r="OU35" s="310">
        <v>0.6</v>
      </c>
      <c r="OV35" s="310">
        <v>0.2</v>
      </c>
      <c r="OW35" s="310">
        <v>0.6</v>
      </c>
      <c r="OX35" s="310">
        <v>0.8</v>
      </c>
      <c r="OY35" s="310">
        <v>0.9</v>
      </c>
      <c r="OZ35" s="310">
        <v>1.4</v>
      </c>
      <c r="PA35" s="310">
        <v>1.4</v>
      </c>
      <c r="PB35" s="310">
        <v>1.2</v>
      </c>
      <c r="PC35" s="310">
        <v>1.2</v>
      </c>
    </row>
    <row r="36" spans="1:419">
      <c r="A36" s="269">
        <v>27</v>
      </c>
      <c r="B36" s="285" t="s">
        <v>40</v>
      </c>
      <c r="C36" s="286">
        <v>10</v>
      </c>
      <c r="D36" s="286">
        <v>10.9</v>
      </c>
      <c r="E36" s="286">
        <v>11</v>
      </c>
      <c r="F36" s="286">
        <v>10.1</v>
      </c>
      <c r="G36" s="286">
        <v>9.9</v>
      </c>
      <c r="H36" s="286">
        <v>10</v>
      </c>
      <c r="I36" s="286">
        <v>10</v>
      </c>
      <c r="J36" s="286">
        <v>10</v>
      </c>
      <c r="K36" s="286">
        <v>9.1</v>
      </c>
      <c r="L36" s="286">
        <v>9.5</v>
      </c>
      <c r="M36" s="285" t="s">
        <v>40</v>
      </c>
      <c r="N36" s="286">
        <v>202.4</v>
      </c>
      <c r="O36" s="286">
        <v>222</v>
      </c>
      <c r="P36" s="286">
        <v>225.9</v>
      </c>
      <c r="Q36" s="286">
        <v>208.8</v>
      </c>
      <c r="R36" s="286">
        <v>203.9</v>
      </c>
      <c r="S36" s="286">
        <v>209.1</v>
      </c>
      <c r="T36" s="286">
        <v>211</v>
      </c>
      <c r="U36" s="286">
        <v>208.8</v>
      </c>
      <c r="V36" s="286">
        <v>190.7</v>
      </c>
      <c r="W36" s="286">
        <v>201.3</v>
      </c>
      <c r="X36" s="285" t="s">
        <v>40</v>
      </c>
      <c r="Y36" s="286">
        <v>20</v>
      </c>
      <c r="Z36" s="286">
        <v>20.100000000000001</v>
      </c>
      <c r="AA36" s="286">
        <v>20.5</v>
      </c>
      <c r="AB36" s="286">
        <v>16</v>
      </c>
      <c r="AC36" s="286">
        <v>16.3</v>
      </c>
      <c r="AD36" s="286">
        <v>16.600000000000001</v>
      </c>
      <c r="AE36" s="286">
        <v>19.5</v>
      </c>
      <c r="AF36" s="286">
        <v>15.3</v>
      </c>
      <c r="AG36" s="286">
        <v>18.8</v>
      </c>
      <c r="AH36" s="286">
        <v>6.6</v>
      </c>
      <c r="AI36" s="285" t="s">
        <v>40</v>
      </c>
      <c r="AJ36" s="280">
        <v>37.6</v>
      </c>
      <c r="AK36" s="280">
        <v>39.200000000000003</v>
      </c>
      <c r="AL36" s="280">
        <v>42.7</v>
      </c>
      <c r="AM36" s="280">
        <v>37.6</v>
      </c>
      <c r="AN36" s="280">
        <v>37.5</v>
      </c>
      <c r="AO36" s="280">
        <v>27.6</v>
      </c>
      <c r="AP36" s="280">
        <v>30.1</v>
      </c>
      <c r="AQ36" s="280">
        <v>27.7</v>
      </c>
      <c r="AR36" s="280">
        <v>28.3</v>
      </c>
      <c r="AS36" s="280">
        <v>27.4</v>
      </c>
      <c r="AT36" s="285" t="s">
        <v>40</v>
      </c>
      <c r="AU36" s="280">
        <v>66.3</v>
      </c>
      <c r="AV36" s="280">
        <v>80.2</v>
      </c>
      <c r="AW36" s="280">
        <v>69.099999999999994</v>
      </c>
      <c r="AX36" s="280">
        <v>59</v>
      </c>
      <c r="AY36" s="280">
        <v>55.4</v>
      </c>
      <c r="AZ36" s="280">
        <v>63.5</v>
      </c>
      <c r="BA36" s="280">
        <v>60.2</v>
      </c>
      <c r="BB36" s="280">
        <v>61.3</v>
      </c>
      <c r="BC36" s="280">
        <v>51.8</v>
      </c>
      <c r="BD36" s="280">
        <v>63.1</v>
      </c>
      <c r="BE36" s="285" t="s">
        <v>40</v>
      </c>
      <c r="BF36" s="280">
        <v>56.3</v>
      </c>
      <c r="BG36" s="280">
        <v>61</v>
      </c>
      <c r="BH36" s="280">
        <v>71.2</v>
      </c>
      <c r="BI36" s="280">
        <v>73.599999999999994</v>
      </c>
      <c r="BJ36" s="280">
        <v>70.900000000000006</v>
      </c>
      <c r="BK36" s="280">
        <v>73.2</v>
      </c>
      <c r="BL36" s="280">
        <v>74.099999999999994</v>
      </c>
      <c r="BM36" s="280">
        <v>80.3</v>
      </c>
      <c r="BN36" s="280">
        <v>65.8</v>
      </c>
      <c r="BO36" s="280">
        <v>71.5</v>
      </c>
      <c r="BP36" s="285" t="s">
        <v>40</v>
      </c>
      <c r="BQ36" s="283">
        <v>12.9</v>
      </c>
      <c r="BR36" s="283">
        <v>12.899999999999999</v>
      </c>
      <c r="BS36" s="283">
        <v>15.3</v>
      </c>
      <c r="BT36" s="283">
        <v>16.600000000000001</v>
      </c>
      <c r="BU36" s="283">
        <v>17.200000000000003</v>
      </c>
      <c r="BV36" s="283">
        <v>21.4</v>
      </c>
      <c r="BW36" s="283">
        <v>20.3</v>
      </c>
      <c r="BX36" s="283">
        <v>18.3</v>
      </c>
      <c r="BY36" s="283">
        <v>20</v>
      </c>
      <c r="BZ36" s="283">
        <v>21.5</v>
      </c>
      <c r="CA36" s="282" t="s">
        <v>40</v>
      </c>
      <c r="CB36" s="283">
        <v>8</v>
      </c>
      <c r="CC36" s="283">
        <v>7.5</v>
      </c>
      <c r="CD36" s="283">
        <v>6.1999999999999993</v>
      </c>
      <c r="CE36" s="283">
        <v>5.9</v>
      </c>
      <c r="CF36" s="283">
        <v>3.2</v>
      </c>
      <c r="CG36" s="283">
        <v>2.7</v>
      </c>
      <c r="CH36" s="283">
        <v>0</v>
      </c>
      <c r="CI36" s="283">
        <v>0</v>
      </c>
      <c r="CJ36" s="283">
        <v>2.7</v>
      </c>
      <c r="CK36" s="283">
        <v>3.1</v>
      </c>
      <c r="CL36" s="285" t="s">
        <v>40</v>
      </c>
      <c r="CM36" s="286">
        <v>42.5</v>
      </c>
      <c r="CN36" s="286">
        <v>41.8</v>
      </c>
      <c r="CO36" s="286">
        <v>42.4</v>
      </c>
      <c r="CP36" s="286">
        <v>38.1</v>
      </c>
      <c r="CQ36" s="286">
        <v>42.4</v>
      </c>
      <c r="CR36" s="286">
        <v>43.9</v>
      </c>
      <c r="CS36" s="286">
        <v>48.7</v>
      </c>
      <c r="CT36" s="286">
        <v>51</v>
      </c>
      <c r="CU36" s="286">
        <v>52.3</v>
      </c>
      <c r="CV36" s="286">
        <v>57.5</v>
      </c>
      <c r="CW36" s="285" t="s">
        <v>40</v>
      </c>
      <c r="CX36" s="286">
        <v>136.30000000000001</v>
      </c>
      <c r="CY36" s="286">
        <v>154.9</v>
      </c>
      <c r="CZ36" s="286">
        <v>153.9</v>
      </c>
      <c r="DA36" s="286">
        <v>140.80000000000001</v>
      </c>
      <c r="DB36" s="286">
        <v>135.69999999999999</v>
      </c>
      <c r="DC36" s="286">
        <v>139.4</v>
      </c>
      <c r="DD36" s="286">
        <v>137.4</v>
      </c>
      <c r="DE36" s="286">
        <v>132.5</v>
      </c>
      <c r="DF36" s="286">
        <v>114.4</v>
      </c>
      <c r="DG36" s="286">
        <v>121.1</v>
      </c>
      <c r="DH36" s="285" t="s">
        <v>40</v>
      </c>
      <c r="DI36" s="286">
        <v>23.5</v>
      </c>
      <c r="DJ36" s="286">
        <v>25.3</v>
      </c>
      <c r="DK36" s="286">
        <v>29.6</v>
      </c>
      <c r="DL36" s="286">
        <v>29.9</v>
      </c>
      <c r="DM36" s="286">
        <v>25.9</v>
      </c>
      <c r="DN36" s="286">
        <v>25.7</v>
      </c>
      <c r="DO36" s="286">
        <v>24.9</v>
      </c>
      <c r="DP36" s="286">
        <v>25.3</v>
      </c>
      <c r="DQ36" s="286">
        <v>24</v>
      </c>
      <c r="DR36" s="286">
        <v>22.7</v>
      </c>
      <c r="DS36" s="285" t="s">
        <v>40</v>
      </c>
      <c r="DT36" s="287"/>
      <c r="DU36" s="287"/>
      <c r="DV36" s="287"/>
      <c r="DW36" s="287"/>
      <c r="DX36" s="287"/>
      <c r="DY36" s="287"/>
      <c r="DZ36" s="287"/>
      <c r="EA36" s="287"/>
      <c r="EB36" s="287"/>
      <c r="EC36" s="287"/>
      <c r="ED36" s="279" t="s">
        <v>40</v>
      </c>
      <c r="EE36" s="281"/>
      <c r="EF36" s="281"/>
      <c r="EG36" s="281"/>
      <c r="EH36" s="281"/>
      <c r="EI36" s="280"/>
      <c r="EJ36" s="280"/>
      <c r="EK36" s="281"/>
      <c r="EL36" s="280"/>
      <c r="EM36" s="281"/>
      <c r="EN36" s="281"/>
      <c r="EO36" s="279" t="s">
        <v>40</v>
      </c>
      <c r="EP36" s="280">
        <v>7.3</v>
      </c>
      <c r="EQ36" s="280">
        <v>8.5</v>
      </c>
      <c r="ER36" s="280">
        <v>8.1999999999999993</v>
      </c>
      <c r="ES36" s="280">
        <v>9.4</v>
      </c>
      <c r="ET36" s="280">
        <v>5.8</v>
      </c>
      <c r="EU36" s="280">
        <v>7</v>
      </c>
      <c r="EV36" s="280">
        <v>6.3</v>
      </c>
      <c r="EW36" s="280">
        <v>6.6</v>
      </c>
      <c r="EX36" s="280">
        <v>6.7</v>
      </c>
      <c r="EY36" s="280">
        <v>7</v>
      </c>
      <c r="EZ36" s="279" t="s">
        <v>40</v>
      </c>
      <c r="FA36" s="280">
        <v>10.4</v>
      </c>
      <c r="FB36" s="280">
        <v>12.1</v>
      </c>
      <c r="FC36" s="280">
        <v>12.3</v>
      </c>
      <c r="FD36" s="280">
        <v>13.4</v>
      </c>
      <c r="FE36" s="280">
        <v>13.6</v>
      </c>
      <c r="FF36" s="280">
        <v>12.4</v>
      </c>
      <c r="FG36" s="280">
        <v>13.1</v>
      </c>
      <c r="FH36" s="280">
        <v>12</v>
      </c>
      <c r="FI36" s="280">
        <v>11.4</v>
      </c>
      <c r="FJ36" s="280">
        <v>11.1</v>
      </c>
      <c r="FK36" s="279" t="s">
        <v>40</v>
      </c>
      <c r="FL36" s="280">
        <v>12.9</v>
      </c>
      <c r="FM36" s="280">
        <v>10.3</v>
      </c>
      <c r="FN36" s="280">
        <v>10.4</v>
      </c>
      <c r="FO36" s="280">
        <v>11.9</v>
      </c>
      <c r="FP36" s="280">
        <v>12</v>
      </c>
      <c r="FQ36" s="280">
        <v>13.9</v>
      </c>
      <c r="FR36" s="280">
        <v>13.7</v>
      </c>
      <c r="FS36" s="280">
        <v>15.9</v>
      </c>
      <c r="FT36" s="280">
        <v>14.7</v>
      </c>
      <c r="FU36" s="280">
        <v>12.3</v>
      </c>
      <c r="FV36" s="279" t="s">
        <v>40</v>
      </c>
      <c r="FW36" s="280">
        <v>41.4</v>
      </c>
      <c r="FX36" s="280">
        <v>44.4</v>
      </c>
      <c r="FY36" s="280">
        <v>49.6</v>
      </c>
      <c r="FZ36" s="280">
        <v>41.8</v>
      </c>
      <c r="GA36" s="280">
        <v>40.1</v>
      </c>
      <c r="GB36" s="280">
        <v>40.200000000000003</v>
      </c>
      <c r="GC36" s="280">
        <v>36.9</v>
      </c>
      <c r="GD36" s="280">
        <v>35.5</v>
      </c>
      <c r="GE36" s="280">
        <v>29.4</v>
      </c>
      <c r="GF36" s="280">
        <v>34.799999999999997</v>
      </c>
      <c r="GG36" s="279" t="s">
        <v>40</v>
      </c>
      <c r="GH36" s="281"/>
      <c r="GI36" s="281"/>
      <c r="GJ36" s="281"/>
      <c r="GK36" s="281"/>
      <c r="GL36" s="281"/>
      <c r="GM36" s="281"/>
      <c r="GN36" s="281"/>
      <c r="GO36" s="281"/>
      <c r="GP36" s="281"/>
      <c r="GQ36" s="281"/>
      <c r="GR36" s="279" t="s">
        <v>40</v>
      </c>
      <c r="GS36" s="280">
        <v>15.7</v>
      </c>
      <c r="GT36" s="280">
        <v>20.9</v>
      </c>
      <c r="GU36" s="280">
        <v>20.6</v>
      </c>
      <c r="GV36" s="280">
        <v>18.8</v>
      </c>
      <c r="GW36" s="280">
        <v>18.5</v>
      </c>
      <c r="GX36" s="280">
        <v>17.100000000000001</v>
      </c>
      <c r="GY36" s="280">
        <v>20.399999999999999</v>
      </c>
      <c r="GZ36" s="280">
        <v>18.8</v>
      </c>
      <c r="HA36" s="280">
        <v>16.600000000000001</v>
      </c>
      <c r="HB36" s="280">
        <v>20.5</v>
      </c>
      <c r="HC36" s="279" t="s">
        <v>40</v>
      </c>
      <c r="HD36" s="280">
        <v>26.4</v>
      </c>
      <c r="HE36" s="280">
        <v>28.7</v>
      </c>
      <c r="HF36" s="280">
        <v>29.1</v>
      </c>
      <c r="HG36" s="280">
        <v>23.8</v>
      </c>
      <c r="HH36" s="280">
        <v>22</v>
      </c>
      <c r="HI36" s="280">
        <v>24</v>
      </c>
      <c r="HJ36" s="280">
        <v>21.4</v>
      </c>
      <c r="HK36" s="280">
        <v>21.3</v>
      </c>
      <c r="HL36" s="280">
        <v>21.2</v>
      </c>
      <c r="HM36" s="280">
        <v>23.1</v>
      </c>
      <c r="HN36" s="279" t="s">
        <v>40</v>
      </c>
      <c r="HO36" s="280">
        <v>84.8</v>
      </c>
      <c r="HP36" s="280">
        <v>93.3</v>
      </c>
      <c r="HQ36" s="280">
        <v>92</v>
      </c>
      <c r="HR36" s="280">
        <v>85</v>
      </c>
      <c r="HS36" s="280">
        <v>87.4</v>
      </c>
      <c r="HT36" s="280">
        <v>90.1</v>
      </c>
      <c r="HU36" s="280">
        <v>95</v>
      </c>
      <c r="HV36" s="280">
        <v>95.1</v>
      </c>
      <c r="HW36" s="280">
        <v>87.4</v>
      </c>
      <c r="HX36" s="280">
        <v>89.1</v>
      </c>
      <c r="HY36" s="279" t="s">
        <v>40</v>
      </c>
      <c r="HZ36" s="281"/>
      <c r="IA36" s="281"/>
      <c r="IB36" s="281"/>
      <c r="IC36" s="281"/>
      <c r="ID36" s="281"/>
      <c r="IE36" s="281"/>
      <c r="IF36" s="281"/>
      <c r="IG36" s="281"/>
      <c r="IH36" s="281"/>
      <c r="II36" s="281"/>
      <c r="IJ36" s="279" t="s">
        <v>40</v>
      </c>
      <c r="IK36" s="281"/>
      <c r="IL36" s="281"/>
      <c r="IM36" s="281"/>
      <c r="IN36" s="281"/>
      <c r="IO36" s="281"/>
      <c r="IP36" s="281"/>
      <c r="IQ36" s="281"/>
      <c r="IR36" s="281"/>
      <c r="IS36" s="281"/>
      <c r="IT36" s="281"/>
      <c r="IU36" s="279" t="s">
        <v>40</v>
      </c>
      <c r="IV36" s="280">
        <v>4.0999999999999996</v>
      </c>
      <c r="IW36" s="280">
        <v>5.5</v>
      </c>
      <c r="IX36" s="280">
        <v>5.5</v>
      </c>
      <c r="IY36" s="280">
        <v>5.4</v>
      </c>
      <c r="IZ36" s="280">
        <v>5</v>
      </c>
      <c r="JA36" s="280">
        <v>6.9</v>
      </c>
      <c r="JB36" s="280">
        <v>5.5</v>
      </c>
      <c r="JC36" s="280">
        <v>5.8</v>
      </c>
      <c r="JD36" s="280">
        <v>3.4</v>
      </c>
      <c r="JE36" s="280">
        <v>5.3</v>
      </c>
      <c r="JF36" s="279" t="s">
        <v>40</v>
      </c>
      <c r="JG36" s="280">
        <v>39.200000000000003</v>
      </c>
      <c r="JH36" s="280">
        <v>44.3</v>
      </c>
      <c r="JI36" s="280">
        <v>44.7</v>
      </c>
      <c r="JJ36" s="280">
        <v>37.299999999999997</v>
      </c>
      <c r="JK36" s="280">
        <v>38.299999999999997</v>
      </c>
      <c r="JL36" s="280">
        <v>37.700000000000003</v>
      </c>
      <c r="JM36" s="280">
        <v>37.799999999999997</v>
      </c>
      <c r="JN36" s="280">
        <v>33.700000000000003</v>
      </c>
      <c r="JO36" s="280">
        <v>33.9</v>
      </c>
      <c r="JP36" s="280">
        <v>35.299999999999997</v>
      </c>
      <c r="JQ36" s="279" t="s">
        <v>40</v>
      </c>
      <c r="JR36" s="280">
        <v>12.4</v>
      </c>
      <c r="JS36" s="280">
        <v>15.4</v>
      </c>
      <c r="JT36" s="280">
        <v>15</v>
      </c>
      <c r="JU36" s="280">
        <v>11.9</v>
      </c>
      <c r="JV36" s="280">
        <v>11</v>
      </c>
      <c r="JW36" s="280">
        <v>12</v>
      </c>
      <c r="JX36" s="280">
        <v>16.2</v>
      </c>
      <c r="JY36" s="280">
        <v>18.399999999999999</v>
      </c>
      <c r="JZ36" s="280">
        <v>13.5</v>
      </c>
      <c r="KA36" s="280">
        <v>18</v>
      </c>
      <c r="KB36" s="279" t="s">
        <v>40</v>
      </c>
      <c r="KC36" s="280">
        <v>22.2</v>
      </c>
      <c r="KD36" s="280">
        <v>25.4</v>
      </c>
      <c r="KE36" s="280">
        <v>28.3</v>
      </c>
      <c r="KF36" s="280">
        <v>25.5</v>
      </c>
      <c r="KG36" s="280">
        <v>26.4</v>
      </c>
      <c r="KH36" s="280">
        <v>24.1</v>
      </c>
      <c r="KI36" s="280">
        <v>21.9</v>
      </c>
      <c r="KJ36" s="280">
        <v>18.5</v>
      </c>
      <c r="KK36" s="280">
        <v>14.2</v>
      </c>
      <c r="KL36" s="280">
        <v>19.100000000000001</v>
      </c>
      <c r="KM36" s="279" t="s">
        <v>40</v>
      </c>
      <c r="KN36" s="280">
        <v>4.8</v>
      </c>
      <c r="KO36" s="280">
        <v>6.1</v>
      </c>
      <c r="KP36" s="280">
        <v>6.2</v>
      </c>
      <c r="KQ36" s="280">
        <v>7.2</v>
      </c>
      <c r="KR36" s="280">
        <v>5.9</v>
      </c>
      <c r="KS36" s="280">
        <v>6.7</v>
      </c>
      <c r="KT36" s="280">
        <v>4.7</v>
      </c>
      <c r="KU36" s="280">
        <v>5.8</v>
      </c>
      <c r="KV36" s="280">
        <v>5.3</v>
      </c>
      <c r="KW36" s="280">
        <v>3.7</v>
      </c>
      <c r="KX36" s="279" t="s">
        <v>40</v>
      </c>
      <c r="KY36" s="280">
        <v>19.2</v>
      </c>
      <c r="KZ36" s="280">
        <v>20.9</v>
      </c>
      <c r="LA36" s="280">
        <v>20.5</v>
      </c>
      <c r="LB36" s="280">
        <v>17.600000000000001</v>
      </c>
      <c r="LC36" s="280">
        <v>15.5</v>
      </c>
      <c r="LD36" s="280">
        <v>16.5</v>
      </c>
      <c r="LE36" s="280">
        <v>17.8</v>
      </c>
      <c r="LF36" s="280">
        <v>17.2</v>
      </c>
      <c r="LG36" s="280">
        <v>13.9</v>
      </c>
      <c r="LH36" s="280">
        <v>11.8</v>
      </c>
      <c r="LI36" s="279" t="s">
        <v>40</v>
      </c>
      <c r="LJ36" s="280"/>
      <c r="LK36" s="280"/>
      <c r="LL36" s="280"/>
      <c r="LM36" s="280"/>
      <c r="LN36" s="280"/>
      <c r="LO36" s="280"/>
      <c r="LP36" s="280"/>
      <c r="LQ36" s="280"/>
      <c r="LR36" s="280"/>
      <c r="LS36" s="280"/>
      <c r="LT36" s="279" t="s">
        <v>40</v>
      </c>
      <c r="LU36" s="281"/>
      <c r="LV36" s="281"/>
      <c r="LW36" s="280"/>
      <c r="LX36" s="281"/>
      <c r="LY36" s="280"/>
      <c r="LZ36" s="281"/>
      <c r="MA36" s="280"/>
      <c r="MB36" s="281"/>
      <c r="MC36" s="280"/>
      <c r="MD36" s="280"/>
      <c r="ME36" s="279" t="s">
        <v>40</v>
      </c>
      <c r="MF36" s="280"/>
      <c r="MG36" s="280"/>
      <c r="MH36" s="280"/>
      <c r="MI36" s="280"/>
      <c r="MJ36" s="280"/>
      <c r="MK36" s="280"/>
      <c r="ML36" s="280"/>
      <c r="MM36" s="280"/>
      <c r="MN36" s="280"/>
      <c r="MO36" s="280"/>
      <c r="MP36" s="279" t="s">
        <v>40</v>
      </c>
      <c r="MQ36" s="280">
        <v>14.4</v>
      </c>
      <c r="MR36" s="280">
        <v>13.5</v>
      </c>
      <c r="MS36" s="280">
        <v>15.7</v>
      </c>
      <c r="MT36" s="280">
        <v>13.1</v>
      </c>
      <c r="MU36" s="280">
        <v>14.5</v>
      </c>
      <c r="MV36" s="280">
        <v>15.7</v>
      </c>
      <c r="MW36" s="280">
        <v>16.5</v>
      </c>
      <c r="MX36" s="280">
        <v>17.5</v>
      </c>
      <c r="MY36" s="280">
        <v>19.100000000000001</v>
      </c>
      <c r="MZ36" s="280">
        <v>19</v>
      </c>
      <c r="NA36" s="279" t="s">
        <v>40</v>
      </c>
      <c r="NB36" s="280">
        <v>59.3</v>
      </c>
      <c r="NC36" s="280">
        <v>61.8</v>
      </c>
      <c r="ND36" s="280">
        <v>57.1</v>
      </c>
      <c r="NE36" s="280">
        <v>57.9</v>
      </c>
      <c r="NF36" s="280">
        <v>58.2</v>
      </c>
      <c r="NG36" s="280">
        <v>56.5</v>
      </c>
      <c r="NH36" s="280">
        <v>56.4</v>
      </c>
      <c r="NI36" s="280">
        <v>57.5</v>
      </c>
      <c r="NJ36" s="280">
        <v>51.2</v>
      </c>
      <c r="NK36" s="280">
        <v>52.7</v>
      </c>
      <c r="NL36" s="279" t="s">
        <v>40</v>
      </c>
      <c r="NM36" s="280">
        <v>6.3</v>
      </c>
      <c r="NN36" s="280">
        <v>8.3000000000000007</v>
      </c>
      <c r="NO36" s="280">
        <v>9.3000000000000007</v>
      </c>
      <c r="NP36" s="280">
        <v>12.1</v>
      </c>
      <c r="NQ36" s="280">
        <v>8.9</v>
      </c>
      <c r="NR36" s="280">
        <v>10.7</v>
      </c>
      <c r="NS36" s="280">
        <v>7.6</v>
      </c>
      <c r="NT36" s="280">
        <v>8.9</v>
      </c>
      <c r="NU36" s="280">
        <v>7.9</v>
      </c>
      <c r="NV36" s="280">
        <v>9.6999999999999993</v>
      </c>
      <c r="NW36" s="279" t="s">
        <v>40</v>
      </c>
      <c r="NX36" s="280">
        <v>7.6</v>
      </c>
      <c r="NY36" s="280">
        <v>9.4</v>
      </c>
      <c r="NZ36" s="280">
        <v>10.5</v>
      </c>
      <c r="OA36" s="280">
        <v>8.9</v>
      </c>
      <c r="OB36" s="280">
        <v>7.7</v>
      </c>
      <c r="OC36" s="280">
        <v>7.3</v>
      </c>
      <c r="OD36" s="280">
        <v>8.1999999999999993</v>
      </c>
      <c r="OE36" s="280">
        <v>8.1</v>
      </c>
      <c r="OF36" s="280">
        <v>7.9</v>
      </c>
      <c r="OG36" s="280">
        <v>7.9</v>
      </c>
      <c r="OH36" s="296" t="s">
        <v>40</v>
      </c>
      <c r="OI36" s="297">
        <v>12.9</v>
      </c>
      <c r="OJ36" s="297">
        <v>12.6</v>
      </c>
      <c r="OK36" s="297">
        <v>12.4</v>
      </c>
      <c r="OL36" s="297">
        <v>11.2</v>
      </c>
      <c r="OM36" s="297">
        <v>11.3</v>
      </c>
      <c r="ON36" s="297">
        <v>11</v>
      </c>
      <c r="OO36" s="297">
        <v>10.4</v>
      </c>
      <c r="OP36" s="297">
        <v>9.6</v>
      </c>
      <c r="OQ36" s="297">
        <v>9.5</v>
      </c>
      <c r="OR36" s="297">
        <v>9.1</v>
      </c>
      <c r="OS36" s="279" t="s">
        <v>40</v>
      </c>
      <c r="OT36" s="280">
        <v>1.1000000000000001</v>
      </c>
      <c r="OU36" s="280">
        <v>0.8</v>
      </c>
      <c r="OV36" s="280">
        <v>0.9</v>
      </c>
      <c r="OW36" s="280">
        <v>0.9</v>
      </c>
      <c r="OX36" s="280">
        <v>0.7</v>
      </c>
      <c r="OY36" s="280">
        <v>0.8</v>
      </c>
      <c r="OZ36" s="280">
        <v>0.7</v>
      </c>
      <c r="PA36" s="280">
        <v>0.7</v>
      </c>
      <c r="PB36" s="280">
        <v>0.8</v>
      </c>
      <c r="PC36" s="280">
        <v>0.9</v>
      </c>
    </row>
    <row r="37" spans="1:419">
      <c r="A37" s="269">
        <v>28</v>
      </c>
      <c r="B37" s="285" t="s">
        <v>39</v>
      </c>
      <c r="C37" s="286">
        <v>16.2</v>
      </c>
      <c r="D37" s="286">
        <v>17.8</v>
      </c>
      <c r="E37" s="286">
        <v>19.600000000000001</v>
      </c>
      <c r="F37" s="286">
        <v>17.600000000000001</v>
      </c>
      <c r="G37" s="286">
        <v>16.7</v>
      </c>
      <c r="H37" s="286">
        <v>17.2</v>
      </c>
      <c r="I37" s="286">
        <v>17.100000000000001</v>
      </c>
      <c r="J37" s="286">
        <v>16.7</v>
      </c>
      <c r="K37" s="286">
        <v>17.100000000000001</v>
      </c>
      <c r="L37" s="286">
        <v>17.600000000000001</v>
      </c>
      <c r="M37" s="285" t="s">
        <v>39</v>
      </c>
      <c r="N37" s="286">
        <v>120.5</v>
      </c>
      <c r="O37" s="286">
        <v>135</v>
      </c>
      <c r="P37" s="286">
        <v>153.1</v>
      </c>
      <c r="Q37" s="286">
        <v>134.80000000000001</v>
      </c>
      <c r="R37" s="286">
        <v>125.5</v>
      </c>
      <c r="S37" s="286">
        <v>135.30000000000001</v>
      </c>
      <c r="T37" s="286">
        <v>135.30000000000001</v>
      </c>
      <c r="U37" s="286">
        <v>132.19999999999999</v>
      </c>
      <c r="V37" s="286">
        <v>136.9</v>
      </c>
      <c r="W37" s="286">
        <v>142.4</v>
      </c>
      <c r="X37" s="285" t="s">
        <v>39</v>
      </c>
      <c r="Y37" s="287">
        <v>4</v>
      </c>
      <c r="Z37" s="287">
        <v>4.8</v>
      </c>
      <c r="AA37" s="287">
        <v>6.8</v>
      </c>
      <c r="AB37" s="287">
        <v>2.8</v>
      </c>
      <c r="AC37" s="287">
        <v>1.6</v>
      </c>
      <c r="AD37" s="287">
        <v>1.6</v>
      </c>
      <c r="AE37" s="287">
        <v>5.9</v>
      </c>
      <c r="AF37" s="287">
        <v>2.5</v>
      </c>
      <c r="AG37" s="287">
        <v>3.2</v>
      </c>
      <c r="AH37" s="287">
        <v>4.8</v>
      </c>
      <c r="AI37" s="285" t="s">
        <v>39</v>
      </c>
      <c r="AJ37" s="280">
        <v>29.2</v>
      </c>
      <c r="AK37" s="280">
        <v>32.799999999999997</v>
      </c>
      <c r="AL37" s="280">
        <v>39.799999999999997</v>
      </c>
      <c r="AM37" s="280">
        <v>33.299999999999997</v>
      </c>
      <c r="AN37" s="280">
        <v>27.4</v>
      </c>
      <c r="AO37" s="280">
        <v>33.700000000000003</v>
      </c>
      <c r="AP37" s="280">
        <v>36.1</v>
      </c>
      <c r="AQ37" s="280">
        <v>32.4</v>
      </c>
      <c r="AR37" s="280">
        <v>32.700000000000003</v>
      </c>
      <c r="AS37" s="280">
        <v>32.5</v>
      </c>
      <c r="AT37" s="285" t="s">
        <v>39</v>
      </c>
      <c r="AU37" s="280">
        <v>26.4</v>
      </c>
      <c r="AV37" s="280">
        <v>26.6</v>
      </c>
      <c r="AW37" s="280">
        <v>29</v>
      </c>
      <c r="AX37" s="280">
        <v>26.4</v>
      </c>
      <c r="AY37" s="280">
        <v>26.8</v>
      </c>
      <c r="AZ37" s="280">
        <v>25.3</v>
      </c>
      <c r="BA37" s="280">
        <v>27</v>
      </c>
      <c r="BB37" s="280">
        <v>29.6</v>
      </c>
      <c r="BC37" s="280">
        <v>27.2</v>
      </c>
      <c r="BD37" s="280">
        <v>29.5</v>
      </c>
      <c r="BE37" s="279" t="s">
        <v>39</v>
      </c>
      <c r="BF37" s="280">
        <v>35.9</v>
      </c>
      <c r="BG37" s="280">
        <v>44.5</v>
      </c>
      <c r="BH37" s="280">
        <v>47.6</v>
      </c>
      <c r="BI37" s="280">
        <v>43.6</v>
      </c>
      <c r="BJ37" s="280">
        <v>38.299999999999997</v>
      </c>
      <c r="BK37" s="280">
        <v>43.9</v>
      </c>
      <c r="BL37" s="280">
        <v>39.9</v>
      </c>
      <c r="BM37" s="280">
        <v>42.6</v>
      </c>
      <c r="BN37" s="280">
        <v>47.9</v>
      </c>
      <c r="BO37" s="280">
        <v>51.5</v>
      </c>
      <c r="BP37" s="282" t="s">
        <v>39</v>
      </c>
      <c r="BQ37" s="283">
        <v>14.100000000000001</v>
      </c>
      <c r="BR37" s="283">
        <v>14.7</v>
      </c>
      <c r="BS37" s="283">
        <v>17.399999999999999</v>
      </c>
      <c r="BT37" s="283">
        <v>18</v>
      </c>
      <c r="BU37" s="283">
        <v>18.3</v>
      </c>
      <c r="BV37" s="283">
        <v>16.899999999999999</v>
      </c>
      <c r="BW37" s="283">
        <v>15.6</v>
      </c>
      <c r="BX37" s="283">
        <v>14.5</v>
      </c>
      <c r="BY37" s="283">
        <v>12.4</v>
      </c>
      <c r="BZ37" s="283">
        <v>13.3</v>
      </c>
      <c r="CA37" s="282" t="s">
        <v>39</v>
      </c>
      <c r="CB37" s="283">
        <v>10.799999999999999</v>
      </c>
      <c r="CC37" s="283">
        <v>11.600000000000001</v>
      </c>
      <c r="CD37" s="283">
        <v>12.5</v>
      </c>
      <c r="CE37" s="283">
        <v>10.7</v>
      </c>
      <c r="CF37" s="283">
        <v>13.100000000000001</v>
      </c>
      <c r="CG37" s="283">
        <v>13.8</v>
      </c>
      <c r="CH37" s="283">
        <v>10.7</v>
      </c>
      <c r="CI37" s="283">
        <v>10.6</v>
      </c>
      <c r="CJ37" s="283">
        <v>13.399999999999999</v>
      </c>
      <c r="CK37" s="283">
        <v>10.8</v>
      </c>
      <c r="CL37" s="285" t="s">
        <v>39</v>
      </c>
      <c r="CM37" s="286">
        <v>13.6</v>
      </c>
      <c r="CN37" s="286">
        <v>14.2</v>
      </c>
      <c r="CO37" s="286">
        <v>14.9</v>
      </c>
      <c r="CP37" s="286">
        <v>11.4</v>
      </c>
      <c r="CQ37" s="286">
        <v>11.5</v>
      </c>
      <c r="CR37" s="286">
        <v>11.1</v>
      </c>
      <c r="CS37" s="286">
        <v>13.5</v>
      </c>
      <c r="CT37" s="286">
        <v>11.9</v>
      </c>
      <c r="CU37" s="286">
        <v>12.6</v>
      </c>
      <c r="CV37" s="286">
        <v>12.8</v>
      </c>
      <c r="CW37" s="285" t="s">
        <v>39</v>
      </c>
      <c r="CX37" s="286">
        <v>69</v>
      </c>
      <c r="CY37" s="286">
        <v>79.400000000000006</v>
      </c>
      <c r="CZ37" s="286">
        <v>99.5</v>
      </c>
      <c r="DA37" s="286">
        <v>83.9</v>
      </c>
      <c r="DB37" s="286">
        <v>74.8</v>
      </c>
      <c r="DC37" s="286">
        <v>80.099999999999994</v>
      </c>
      <c r="DD37" s="286">
        <v>83.5</v>
      </c>
      <c r="DE37" s="286">
        <v>76.599999999999994</v>
      </c>
      <c r="DF37" s="286">
        <v>82.6</v>
      </c>
      <c r="DG37" s="286">
        <v>86.3</v>
      </c>
      <c r="DH37" s="285" t="s">
        <v>39</v>
      </c>
      <c r="DI37" s="286">
        <v>37.9</v>
      </c>
      <c r="DJ37" s="286">
        <v>41.4</v>
      </c>
      <c r="DK37" s="286">
        <v>38.799999999999997</v>
      </c>
      <c r="DL37" s="286">
        <v>39.4</v>
      </c>
      <c r="DM37" s="286">
        <v>39.1</v>
      </c>
      <c r="DN37" s="286">
        <v>44.1</v>
      </c>
      <c r="DO37" s="286">
        <v>38.299999999999997</v>
      </c>
      <c r="DP37" s="286">
        <v>43.7</v>
      </c>
      <c r="DQ37" s="286">
        <v>41.7</v>
      </c>
      <c r="DR37" s="286">
        <v>43.2</v>
      </c>
      <c r="DS37" s="285" t="s">
        <v>39</v>
      </c>
      <c r="DT37" s="287"/>
      <c r="DU37" s="287"/>
      <c r="DV37" s="287"/>
      <c r="DW37" s="287"/>
      <c r="DX37" s="287"/>
      <c r="DY37" s="287"/>
      <c r="DZ37" s="287"/>
      <c r="EA37" s="287"/>
      <c r="EB37" s="287"/>
      <c r="EC37" s="287"/>
      <c r="ED37" s="279" t="s">
        <v>39</v>
      </c>
      <c r="EE37" s="280">
        <v>2.4</v>
      </c>
      <c r="EF37" s="280">
        <v>2.6</v>
      </c>
      <c r="EG37" s="280">
        <v>2.4</v>
      </c>
      <c r="EH37" s="280">
        <v>3.6</v>
      </c>
      <c r="EI37" s="280">
        <v>2.2000000000000002</v>
      </c>
      <c r="EJ37" s="280">
        <v>2.7</v>
      </c>
      <c r="EK37" s="280">
        <v>2</v>
      </c>
      <c r="EL37" s="280">
        <v>2.5</v>
      </c>
      <c r="EM37" s="280">
        <v>3.4</v>
      </c>
      <c r="EN37" s="280">
        <v>2.5</v>
      </c>
      <c r="EO37" s="279" t="s">
        <v>39</v>
      </c>
      <c r="EP37" s="280">
        <v>24.1</v>
      </c>
      <c r="EQ37" s="280">
        <v>29</v>
      </c>
      <c r="ER37" s="280">
        <v>23.2</v>
      </c>
      <c r="ES37" s="280">
        <v>25.3</v>
      </c>
      <c r="ET37" s="280">
        <v>21.1</v>
      </c>
      <c r="EU37" s="280">
        <v>24</v>
      </c>
      <c r="EV37" s="280">
        <v>20.5</v>
      </c>
      <c r="EW37" s="280">
        <v>22.9</v>
      </c>
      <c r="EX37" s="280">
        <v>21.5</v>
      </c>
      <c r="EY37" s="280">
        <v>23.4</v>
      </c>
      <c r="EZ37" s="279" t="s">
        <v>39</v>
      </c>
      <c r="FA37" s="280">
        <v>13</v>
      </c>
      <c r="FB37" s="280">
        <v>11.4</v>
      </c>
      <c r="FC37" s="280">
        <v>11.1</v>
      </c>
      <c r="FD37" s="280">
        <v>11.3</v>
      </c>
      <c r="FE37" s="280">
        <v>12.9</v>
      </c>
      <c r="FF37" s="280">
        <v>12.4</v>
      </c>
      <c r="FG37" s="280">
        <v>13.5</v>
      </c>
      <c r="FH37" s="280">
        <v>12.9</v>
      </c>
      <c r="FI37" s="280">
        <v>15.5</v>
      </c>
      <c r="FJ37" s="280">
        <v>16.3</v>
      </c>
      <c r="FK37" s="279" t="s">
        <v>39</v>
      </c>
      <c r="FL37" s="280">
        <v>11.6</v>
      </c>
      <c r="FM37" s="280">
        <v>12.1</v>
      </c>
      <c r="FN37" s="280">
        <v>14.7</v>
      </c>
      <c r="FO37" s="280">
        <v>10</v>
      </c>
      <c r="FP37" s="280">
        <v>10.6</v>
      </c>
      <c r="FQ37" s="280">
        <v>11</v>
      </c>
      <c r="FR37" s="280">
        <v>13</v>
      </c>
      <c r="FS37" s="280">
        <v>12.7</v>
      </c>
      <c r="FT37" s="280">
        <v>12.3</v>
      </c>
      <c r="FU37" s="280">
        <v>15.3</v>
      </c>
      <c r="FV37" s="279" t="s">
        <v>39</v>
      </c>
      <c r="FW37" s="280">
        <v>23.9</v>
      </c>
      <c r="FX37" s="280">
        <v>27.2</v>
      </c>
      <c r="FY37" s="280">
        <v>38.299999999999997</v>
      </c>
      <c r="FZ37" s="280">
        <v>30.8</v>
      </c>
      <c r="GA37" s="280">
        <v>30.4</v>
      </c>
      <c r="GB37" s="280">
        <v>33.5</v>
      </c>
      <c r="GC37" s="280">
        <v>34.1</v>
      </c>
      <c r="GD37" s="280">
        <v>31.2</v>
      </c>
      <c r="GE37" s="280">
        <v>32.1</v>
      </c>
      <c r="GF37" s="280">
        <v>28.2</v>
      </c>
      <c r="GG37" s="279" t="s">
        <v>39</v>
      </c>
      <c r="GH37" s="280"/>
      <c r="GI37" s="281">
        <v>2.4</v>
      </c>
      <c r="GJ37" s="280">
        <v>2.1</v>
      </c>
      <c r="GK37" s="280">
        <v>1.9</v>
      </c>
      <c r="GL37" s="280">
        <v>1.6</v>
      </c>
      <c r="GM37" s="280">
        <v>2.1</v>
      </c>
      <c r="GN37" s="280">
        <v>1.2</v>
      </c>
      <c r="GO37" s="280">
        <v>1</v>
      </c>
      <c r="GP37" s="280"/>
      <c r="GQ37" s="281">
        <v>1.4</v>
      </c>
      <c r="GR37" s="279" t="s">
        <v>39</v>
      </c>
      <c r="GS37" s="280">
        <v>14</v>
      </c>
      <c r="GT37" s="280">
        <v>13.8</v>
      </c>
      <c r="GU37" s="280">
        <v>21.3</v>
      </c>
      <c r="GV37" s="280">
        <v>18.3</v>
      </c>
      <c r="GW37" s="280">
        <v>17.100000000000001</v>
      </c>
      <c r="GX37" s="280">
        <v>18.3</v>
      </c>
      <c r="GY37" s="280">
        <v>18.5</v>
      </c>
      <c r="GZ37" s="280">
        <v>16.899999999999999</v>
      </c>
      <c r="HA37" s="280">
        <v>17.2</v>
      </c>
      <c r="HB37" s="280">
        <v>16.899999999999999</v>
      </c>
      <c r="HC37" s="279" t="s">
        <v>39</v>
      </c>
      <c r="HD37" s="280">
        <v>11.4</v>
      </c>
      <c r="HE37" s="280">
        <v>12.7</v>
      </c>
      <c r="HF37" s="280">
        <v>15.5</v>
      </c>
      <c r="HG37" s="280">
        <v>12.7</v>
      </c>
      <c r="HH37" s="280">
        <v>14</v>
      </c>
      <c r="HI37" s="280">
        <v>16.2</v>
      </c>
      <c r="HJ37" s="280">
        <v>15.4</v>
      </c>
      <c r="HK37" s="280">
        <v>14.9</v>
      </c>
      <c r="HL37" s="280">
        <v>16.8</v>
      </c>
      <c r="HM37" s="280">
        <v>19.8</v>
      </c>
      <c r="HN37" s="279" t="s">
        <v>39</v>
      </c>
      <c r="HO37" s="280">
        <v>14.4</v>
      </c>
      <c r="HP37" s="280">
        <v>14.8</v>
      </c>
      <c r="HQ37" s="280">
        <v>16.899999999999999</v>
      </c>
      <c r="HR37" s="280">
        <v>15.8</v>
      </c>
      <c r="HS37" s="280">
        <v>11.2</v>
      </c>
      <c r="HT37" s="280">
        <v>9</v>
      </c>
      <c r="HU37" s="280">
        <v>12.6</v>
      </c>
      <c r="HV37" s="280">
        <v>11</v>
      </c>
      <c r="HW37" s="280">
        <v>13</v>
      </c>
      <c r="HX37" s="280">
        <v>13.8</v>
      </c>
      <c r="HY37" s="279" t="s">
        <v>39</v>
      </c>
      <c r="HZ37" s="280">
        <v>1.9</v>
      </c>
      <c r="IA37" s="280">
        <v>2.5</v>
      </c>
      <c r="IB37" s="280">
        <v>2.8</v>
      </c>
      <c r="IC37" s="280">
        <v>2.6</v>
      </c>
      <c r="ID37" s="280">
        <v>2.2999999999999998</v>
      </c>
      <c r="IE37" s="280">
        <v>2.6</v>
      </c>
      <c r="IF37" s="280">
        <v>1.4</v>
      </c>
      <c r="IG37" s="280">
        <v>2</v>
      </c>
      <c r="IH37" s="280">
        <v>1.8</v>
      </c>
      <c r="II37" s="280">
        <v>1.3</v>
      </c>
      <c r="IJ37" s="279" t="s">
        <v>39</v>
      </c>
      <c r="IK37" s="280">
        <v>2.9</v>
      </c>
      <c r="IL37" s="280">
        <v>6.4</v>
      </c>
      <c r="IM37" s="280">
        <v>5</v>
      </c>
      <c r="IN37" s="280">
        <v>2.5</v>
      </c>
      <c r="IO37" s="280">
        <v>2.2000000000000002</v>
      </c>
      <c r="IP37" s="280">
        <v>3.6</v>
      </c>
      <c r="IQ37" s="280">
        <v>3.1</v>
      </c>
      <c r="IR37" s="280">
        <v>4.2</v>
      </c>
      <c r="IS37" s="280">
        <v>2.2999999999999998</v>
      </c>
      <c r="IT37" s="280">
        <v>3.4</v>
      </c>
      <c r="IU37" s="279" t="s">
        <v>39</v>
      </c>
      <c r="IV37" s="280">
        <v>2.1</v>
      </c>
      <c r="IW37" s="280">
        <v>1.9</v>
      </c>
      <c r="IX37" s="280">
        <v>3</v>
      </c>
      <c r="IY37" s="280">
        <v>2.5</v>
      </c>
      <c r="IZ37" s="280">
        <v>2.7</v>
      </c>
      <c r="JA37" s="280">
        <v>1.5</v>
      </c>
      <c r="JB37" s="280"/>
      <c r="JC37" s="280">
        <v>1.4</v>
      </c>
      <c r="JD37" s="280">
        <v>1.6</v>
      </c>
      <c r="JE37" s="280">
        <v>2.7</v>
      </c>
      <c r="JF37" s="279" t="s">
        <v>39</v>
      </c>
      <c r="JG37" s="280">
        <v>28</v>
      </c>
      <c r="JH37" s="280">
        <v>26.7</v>
      </c>
      <c r="JI37" s="280">
        <v>34.200000000000003</v>
      </c>
      <c r="JJ37" s="280">
        <v>27.7</v>
      </c>
      <c r="JK37" s="280">
        <v>27.6</v>
      </c>
      <c r="JL37" s="280">
        <v>28.8</v>
      </c>
      <c r="JM37" s="280">
        <v>31.5</v>
      </c>
      <c r="JN37" s="280">
        <v>30.9</v>
      </c>
      <c r="JO37" s="280">
        <v>31.9</v>
      </c>
      <c r="JP37" s="280">
        <v>36.4</v>
      </c>
      <c r="JQ37" s="279" t="s">
        <v>39</v>
      </c>
      <c r="JR37" s="280">
        <v>8.1</v>
      </c>
      <c r="JS37" s="280">
        <v>9.9</v>
      </c>
      <c r="JT37" s="280">
        <v>12.7</v>
      </c>
      <c r="JU37" s="280">
        <v>9.4</v>
      </c>
      <c r="JV37" s="280">
        <v>7.7</v>
      </c>
      <c r="JW37" s="280">
        <v>10</v>
      </c>
      <c r="JX37" s="280">
        <v>7.9</v>
      </c>
      <c r="JY37" s="280">
        <v>9.5</v>
      </c>
      <c r="JZ37" s="280">
        <v>7.5</v>
      </c>
      <c r="KA37" s="280">
        <v>8.1</v>
      </c>
      <c r="KB37" s="279" t="s">
        <v>39</v>
      </c>
      <c r="KC37" s="280">
        <v>13.7</v>
      </c>
      <c r="KD37" s="280">
        <v>15.9</v>
      </c>
      <c r="KE37" s="280">
        <v>18.600000000000001</v>
      </c>
      <c r="KF37" s="280">
        <v>18.899999999999999</v>
      </c>
      <c r="KG37" s="280">
        <v>18.399999999999999</v>
      </c>
      <c r="KH37" s="280">
        <v>20.7</v>
      </c>
      <c r="KI37" s="280">
        <v>18.5</v>
      </c>
      <c r="KJ37" s="280">
        <v>18.8</v>
      </c>
      <c r="KK37" s="280">
        <v>19.8</v>
      </c>
      <c r="KL37" s="280">
        <v>18</v>
      </c>
      <c r="KM37" s="279" t="s">
        <v>39</v>
      </c>
      <c r="KN37" s="280">
        <v>5.0999999999999996</v>
      </c>
      <c r="KO37" s="280">
        <v>4</v>
      </c>
      <c r="KP37" s="280">
        <v>5.8</v>
      </c>
      <c r="KQ37" s="280">
        <v>5.3</v>
      </c>
      <c r="KR37" s="280">
        <v>5.4</v>
      </c>
      <c r="KS37" s="280">
        <v>4.9000000000000004</v>
      </c>
      <c r="KT37" s="280">
        <v>5.6</v>
      </c>
      <c r="KU37" s="280">
        <v>5.6</v>
      </c>
      <c r="KV37" s="280">
        <v>5</v>
      </c>
      <c r="KW37" s="280">
        <v>5.2</v>
      </c>
      <c r="KX37" s="279" t="s">
        <v>39</v>
      </c>
      <c r="KY37" s="280">
        <v>11.5</v>
      </c>
      <c r="KZ37" s="280">
        <v>15.9</v>
      </c>
      <c r="LA37" s="280">
        <v>18.899999999999999</v>
      </c>
      <c r="LB37" s="280">
        <v>15.7</v>
      </c>
      <c r="LC37" s="280">
        <v>14.6</v>
      </c>
      <c r="LD37" s="280">
        <v>14.8</v>
      </c>
      <c r="LE37" s="280">
        <v>17.2</v>
      </c>
      <c r="LF37" s="280">
        <v>12.4</v>
      </c>
      <c r="LG37" s="280">
        <v>15.1</v>
      </c>
      <c r="LH37" s="280">
        <v>14.5</v>
      </c>
      <c r="LI37" s="279" t="s">
        <v>39</v>
      </c>
      <c r="LJ37" s="280">
        <v>2.7</v>
      </c>
      <c r="LK37" s="280">
        <v>6.6</v>
      </c>
      <c r="LL37" s="280">
        <v>4.3</v>
      </c>
      <c r="LM37" s="280">
        <v>2.6</v>
      </c>
      <c r="LN37" s="280">
        <v>2.7</v>
      </c>
      <c r="LO37" s="280">
        <v>2.9</v>
      </c>
      <c r="LP37" s="280">
        <v>3.5</v>
      </c>
      <c r="LQ37" s="280">
        <v>3.7</v>
      </c>
      <c r="LR37" s="280">
        <v>2.8</v>
      </c>
      <c r="LS37" s="280">
        <v>4.5999999999999996</v>
      </c>
      <c r="LT37" s="279" t="s">
        <v>39</v>
      </c>
      <c r="LU37" s="280">
        <v>1.8</v>
      </c>
      <c r="LV37" s="280">
        <v>2.8</v>
      </c>
      <c r="LW37" s="280">
        <v>1.7</v>
      </c>
      <c r="LX37" s="280">
        <v>1.6</v>
      </c>
      <c r="LY37" s="280">
        <v>2.5</v>
      </c>
      <c r="LZ37" s="280">
        <v>2</v>
      </c>
      <c r="MA37" s="280">
        <v>1.2</v>
      </c>
      <c r="MB37" s="280">
        <v>1.5</v>
      </c>
      <c r="MC37" s="280">
        <v>3.1</v>
      </c>
      <c r="MD37" s="280">
        <v>2.4</v>
      </c>
      <c r="ME37" s="279" t="s">
        <v>39</v>
      </c>
      <c r="MF37" s="280">
        <v>5</v>
      </c>
      <c r="MG37" s="280">
        <v>4.5999999999999996</v>
      </c>
      <c r="MH37" s="280">
        <v>5.4</v>
      </c>
      <c r="MI37" s="280">
        <v>5.6</v>
      </c>
      <c r="MJ37" s="280">
        <v>5.2</v>
      </c>
      <c r="MK37" s="280">
        <v>5.3</v>
      </c>
      <c r="ML37" s="280">
        <v>4.7</v>
      </c>
      <c r="MM37" s="280">
        <v>5.8</v>
      </c>
      <c r="MN37" s="280">
        <v>5.7</v>
      </c>
      <c r="MO37" s="280">
        <v>5.5</v>
      </c>
      <c r="MP37" s="279" t="s">
        <v>39</v>
      </c>
      <c r="MQ37" s="280">
        <v>3.7</v>
      </c>
      <c r="MR37" s="280">
        <v>4.9000000000000004</v>
      </c>
      <c r="MS37" s="280">
        <v>6.1</v>
      </c>
      <c r="MT37" s="280">
        <v>5.4</v>
      </c>
      <c r="MU37" s="280">
        <v>5.0999999999999996</v>
      </c>
      <c r="MV37" s="280">
        <v>5.6</v>
      </c>
      <c r="MW37" s="280">
        <v>6.9</v>
      </c>
      <c r="MX37" s="280">
        <v>4.3</v>
      </c>
      <c r="MY37" s="280">
        <v>5.9</v>
      </c>
      <c r="MZ37" s="280">
        <v>4.3</v>
      </c>
      <c r="NA37" s="279" t="s">
        <v>39</v>
      </c>
      <c r="NB37" s="280">
        <v>6.1</v>
      </c>
      <c r="NC37" s="280">
        <v>6.9</v>
      </c>
      <c r="ND37" s="280">
        <v>7.8</v>
      </c>
      <c r="NE37" s="280">
        <v>8</v>
      </c>
      <c r="NF37" s="280">
        <v>6.1</v>
      </c>
      <c r="NG37" s="280">
        <v>9</v>
      </c>
      <c r="NH37" s="280">
        <v>6.1</v>
      </c>
      <c r="NI37" s="280">
        <v>6</v>
      </c>
      <c r="NJ37" s="280">
        <v>7.8</v>
      </c>
      <c r="NK37" s="280">
        <v>7.7</v>
      </c>
      <c r="NL37" s="279" t="s">
        <v>39</v>
      </c>
      <c r="NM37" s="280">
        <v>13.2</v>
      </c>
      <c r="NN37" s="280">
        <v>13.9</v>
      </c>
      <c r="NO37" s="280">
        <v>11.5</v>
      </c>
      <c r="NP37" s="280">
        <v>13.5</v>
      </c>
      <c r="NQ37" s="280">
        <v>10.4</v>
      </c>
      <c r="NR37" s="280">
        <v>11.5</v>
      </c>
      <c r="NS37" s="280">
        <v>9.6</v>
      </c>
      <c r="NT37" s="280">
        <v>11.2</v>
      </c>
      <c r="NU37" s="280">
        <v>8.9</v>
      </c>
      <c r="NV37" s="280">
        <v>10.3</v>
      </c>
      <c r="NW37" s="279" t="s">
        <v>39</v>
      </c>
      <c r="NX37" s="280">
        <v>7.9</v>
      </c>
      <c r="NY37" s="280">
        <v>7.1</v>
      </c>
      <c r="NZ37" s="280">
        <v>8.5</v>
      </c>
      <c r="OA37" s="280">
        <v>7.7</v>
      </c>
      <c r="OB37" s="280">
        <v>8.5</v>
      </c>
      <c r="OC37" s="280">
        <v>8.6999999999999993</v>
      </c>
      <c r="OD37" s="280">
        <v>9.1</v>
      </c>
      <c r="OE37" s="280">
        <v>8.1999999999999993</v>
      </c>
      <c r="OF37" s="280">
        <v>9.3000000000000007</v>
      </c>
      <c r="OG37" s="280">
        <v>9.3000000000000007</v>
      </c>
      <c r="OH37" s="296" t="s">
        <v>39</v>
      </c>
      <c r="OI37" s="297">
        <v>9.3000000000000007</v>
      </c>
      <c r="OJ37" s="297">
        <v>9.6</v>
      </c>
      <c r="OK37" s="297">
        <v>9.8000000000000007</v>
      </c>
      <c r="OL37" s="297">
        <v>9.1999999999999993</v>
      </c>
      <c r="OM37" s="297">
        <v>8.6</v>
      </c>
      <c r="ON37" s="297">
        <v>8.5</v>
      </c>
      <c r="OO37" s="297">
        <v>8.9</v>
      </c>
      <c r="OP37" s="297">
        <v>7.8</v>
      </c>
      <c r="OQ37" s="297">
        <v>7.4</v>
      </c>
      <c r="OR37" s="297">
        <v>8.1</v>
      </c>
      <c r="OS37" s="279" t="s">
        <v>39</v>
      </c>
      <c r="OT37" s="280">
        <v>1</v>
      </c>
      <c r="OU37" s="280">
        <v>0.9</v>
      </c>
      <c r="OV37" s="280">
        <v>1.5</v>
      </c>
      <c r="OW37" s="280">
        <v>1.3</v>
      </c>
      <c r="OX37" s="280">
        <v>0.3</v>
      </c>
      <c r="OY37" s="280">
        <v>0.5</v>
      </c>
      <c r="OZ37" s="280">
        <v>0.5</v>
      </c>
      <c r="PA37" s="280">
        <v>0.5</v>
      </c>
      <c r="PB37" s="280">
        <v>0.5</v>
      </c>
      <c r="PC37" s="280">
        <v>1.2</v>
      </c>
    </row>
    <row r="38" spans="1:419">
      <c r="A38" s="269">
        <v>29</v>
      </c>
      <c r="B38" s="285" t="s">
        <v>24</v>
      </c>
      <c r="C38" s="286">
        <v>23.6</v>
      </c>
      <c r="D38" s="286">
        <v>25.1</v>
      </c>
      <c r="E38" s="286">
        <v>26.2</v>
      </c>
      <c r="F38" s="286">
        <v>25.7</v>
      </c>
      <c r="G38" s="286">
        <v>25.1</v>
      </c>
      <c r="H38" s="286">
        <v>25.8</v>
      </c>
      <c r="I38" s="286">
        <v>27</v>
      </c>
      <c r="J38" s="286">
        <v>26.5</v>
      </c>
      <c r="K38" s="286">
        <v>25.8</v>
      </c>
      <c r="L38" s="286">
        <v>26.9</v>
      </c>
      <c r="M38" s="285" t="s">
        <v>24</v>
      </c>
      <c r="N38" s="286">
        <v>3390.1</v>
      </c>
      <c r="O38" s="286">
        <v>3696.8</v>
      </c>
      <c r="P38" s="286">
        <v>3901.2</v>
      </c>
      <c r="Q38" s="286">
        <v>3838.4</v>
      </c>
      <c r="R38" s="286">
        <v>3732.7</v>
      </c>
      <c r="S38" s="286">
        <v>3899.1</v>
      </c>
      <c r="T38" s="286">
        <v>4145.3999999999996</v>
      </c>
      <c r="U38" s="286">
        <v>4065.3</v>
      </c>
      <c r="V38" s="286">
        <v>3946.7</v>
      </c>
      <c r="W38" s="286">
        <v>4200.2</v>
      </c>
      <c r="X38" s="285" t="s">
        <v>24</v>
      </c>
      <c r="Y38" s="287">
        <v>176.5</v>
      </c>
      <c r="Z38" s="287">
        <v>199.3</v>
      </c>
      <c r="AA38" s="287">
        <v>201</v>
      </c>
      <c r="AB38" s="287">
        <v>202.9</v>
      </c>
      <c r="AC38" s="287">
        <v>179.9</v>
      </c>
      <c r="AD38" s="287">
        <v>193.6</v>
      </c>
      <c r="AE38" s="287">
        <v>184.7</v>
      </c>
      <c r="AF38" s="287">
        <v>205.3</v>
      </c>
      <c r="AG38" s="287">
        <v>186.7</v>
      </c>
      <c r="AH38" s="287">
        <v>196.3</v>
      </c>
      <c r="AI38" s="285" t="s">
        <v>24</v>
      </c>
      <c r="AJ38" s="280">
        <v>356.4</v>
      </c>
      <c r="AK38" s="280">
        <v>440.7</v>
      </c>
      <c r="AL38" s="280">
        <v>706.9</v>
      </c>
      <c r="AM38" s="280">
        <v>491.6</v>
      </c>
      <c r="AN38" s="280">
        <v>411.6</v>
      </c>
      <c r="AO38" s="280">
        <v>433.9</v>
      </c>
      <c r="AP38" s="280">
        <v>723.4</v>
      </c>
      <c r="AQ38" s="280">
        <v>499.9</v>
      </c>
      <c r="AR38" s="280">
        <v>412.8</v>
      </c>
      <c r="AS38" s="280">
        <v>497.4</v>
      </c>
      <c r="AT38" s="279" t="s">
        <v>24</v>
      </c>
      <c r="AU38" s="280">
        <v>559.20000000000005</v>
      </c>
      <c r="AV38" s="280">
        <v>614.5</v>
      </c>
      <c r="AW38" s="280">
        <v>642.1</v>
      </c>
      <c r="AX38" s="280">
        <v>585.29999999999995</v>
      </c>
      <c r="AY38" s="280">
        <v>543.79999999999995</v>
      </c>
      <c r="AZ38" s="280">
        <v>596.6</v>
      </c>
      <c r="BA38" s="280">
        <v>644.6</v>
      </c>
      <c r="BB38" s="280">
        <v>564.79999999999995</v>
      </c>
      <c r="BC38" s="280">
        <v>558</v>
      </c>
      <c r="BD38" s="280">
        <v>668.6</v>
      </c>
      <c r="BE38" s="279" t="s">
        <v>24</v>
      </c>
      <c r="BF38" s="280">
        <v>566.70000000000005</v>
      </c>
      <c r="BG38" s="280">
        <v>573.1</v>
      </c>
      <c r="BH38" s="280">
        <v>526.6</v>
      </c>
      <c r="BI38" s="280">
        <v>605.9</v>
      </c>
      <c r="BJ38" s="280">
        <v>640.20000000000005</v>
      </c>
      <c r="BK38" s="280">
        <v>604.6</v>
      </c>
      <c r="BL38" s="280">
        <v>508.7</v>
      </c>
      <c r="BM38" s="280">
        <v>588.70000000000005</v>
      </c>
      <c r="BN38" s="280">
        <v>635.29999999999995</v>
      </c>
      <c r="BO38" s="280">
        <v>642.29999999999995</v>
      </c>
      <c r="BP38" s="282" t="s">
        <v>24</v>
      </c>
      <c r="BQ38" s="283">
        <v>37.799999999999997</v>
      </c>
      <c r="BR38" s="283">
        <v>45.4</v>
      </c>
      <c r="BS38" s="283">
        <v>51.1</v>
      </c>
      <c r="BT38" s="283">
        <v>45.2</v>
      </c>
      <c r="BU38" s="283">
        <v>48.8</v>
      </c>
      <c r="BV38" s="283">
        <v>61.2</v>
      </c>
      <c r="BW38" s="283">
        <v>58.4</v>
      </c>
      <c r="BX38" s="283">
        <v>64.900000000000006</v>
      </c>
      <c r="BY38" s="283">
        <v>56.5</v>
      </c>
      <c r="BZ38" s="283">
        <v>63.3</v>
      </c>
      <c r="CA38" s="282" t="s">
        <v>24</v>
      </c>
      <c r="CB38" s="283">
        <v>162.5</v>
      </c>
      <c r="CC38" s="283">
        <v>155.80000000000001</v>
      </c>
      <c r="CD38" s="283">
        <v>156.19999999999999</v>
      </c>
      <c r="CE38" s="283">
        <v>186.6</v>
      </c>
      <c r="CF38" s="283">
        <v>193.3</v>
      </c>
      <c r="CG38" s="283">
        <v>192.5</v>
      </c>
      <c r="CH38" s="283">
        <v>193.7</v>
      </c>
      <c r="CI38" s="283">
        <v>197.20000000000002</v>
      </c>
      <c r="CJ38" s="283">
        <v>193.2</v>
      </c>
      <c r="CK38" s="283">
        <v>189.6</v>
      </c>
      <c r="CL38" s="285" t="s">
        <v>24</v>
      </c>
      <c r="CM38" s="286">
        <v>1330.5</v>
      </c>
      <c r="CN38" s="286">
        <v>1494</v>
      </c>
      <c r="CO38" s="286">
        <v>1583.2</v>
      </c>
      <c r="CP38" s="286">
        <v>1540.8</v>
      </c>
      <c r="CQ38" s="286">
        <v>1466.6</v>
      </c>
      <c r="CR38" s="286">
        <v>1549.9</v>
      </c>
      <c r="CS38" s="286">
        <v>1669.8</v>
      </c>
      <c r="CT38" s="286">
        <v>1639.5</v>
      </c>
      <c r="CU38" s="286">
        <v>1534.9</v>
      </c>
      <c r="CV38" s="286">
        <v>1664.5</v>
      </c>
      <c r="CW38" s="285" t="s">
        <v>24</v>
      </c>
      <c r="CX38" s="286">
        <v>786.8</v>
      </c>
      <c r="CY38" s="286">
        <v>865.5</v>
      </c>
      <c r="CZ38" s="286">
        <v>975.9</v>
      </c>
      <c r="DA38" s="286">
        <v>904.7</v>
      </c>
      <c r="DB38" s="286">
        <v>901.5</v>
      </c>
      <c r="DC38" s="286">
        <v>932.7</v>
      </c>
      <c r="DD38" s="286">
        <v>1025.5999999999999</v>
      </c>
      <c r="DE38" s="286">
        <v>994.7</v>
      </c>
      <c r="DF38" s="286">
        <v>967.3</v>
      </c>
      <c r="DG38" s="286">
        <v>1031.0999999999999</v>
      </c>
      <c r="DH38" s="285" t="s">
        <v>24</v>
      </c>
      <c r="DI38" s="286">
        <v>1272.8</v>
      </c>
      <c r="DJ38" s="286">
        <v>1337.2</v>
      </c>
      <c r="DK38" s="286">
        <v>1342.1</v>
      </c>
      <c r="DL38" s="286">
        <v>1392.9</v>
      </c>
      <c r="DM38" s="286">
        <v>1364.5</v>
      </c>
      <c r="DN38" s="286">
        <v>1416.5</v>
      </c>
      <c r="DO38" s="286">
        <v>1450</v>
      </c>
      <c r="DP38" s="286">
        <v>1431.1</v>
      </c>
      <c r="DQ38" s="286">
        <v>1444.5</v>
      </c>
      <c r="DR38" s="286">
        <v>1504.6</v>
      </c>
      <c r="DS38" s="285" t="s">
        <v>24</v>
      </c>
      <c r="DT38" s="287"/>
      <c r="DU38" s="287"/>
      <c r="DV38" s="287"/>
      <c r="DW38" s="287"/>
      <c r="DX38" s="287"/>
      <c r="DY38" s="287"/>
      <c r="DZ38" s="287"/>
      <c r="EA38" s="287"/>
      <c r="EB38" s="287"/>
      <c r="EC38" s="287"/>
      <c r="ED38" s="279" t="s">
        <v>24</v>
      </c>
      <c r="EE38" s="280">
        <v>25.3</v>
      </c>
      <c r="EF38" s="280">
        <v>21.4</v>
      </c>
      <c r="EG38" s="280">
        <v>24.8</v>
      </c>
      <c r="EH38" s="280">
        <v>26.9</v>
      </c>
      <c r="EI38" s="280">
        <v>25.5</v>
      </c>
      <c r="EJ38" s="280">
        <v>23.5</v>
      </c>
      <c r="EK38" s="280">
        <v>22.9</v>
      </c>
      <c r="EL38" s="280">
        <v>24.8</v>
      </c>
      <c r="EM38" s="280">
        <v>23.9</v>
      </c>
      <c r="EN38" s="280">
        <v>18.7</v>
      </c>
      <c r="EO38" s="279" t="s">
        <v>24</v>
      </c>
      <c r="EP38" s="280">
        <v>538.70000000000005</v>
      </c>
      <c r="EQ38" s="280">
        <v>544.9</v>
      </c>
      <c r="ER38" s="280">
        <v>506.5</v>
      </c>
      <c r="ES38" s="280">
        <v>579.70000000000005</v>
      </c>
      <c r="ET38" s="280">
        <v>594.9</v>
      </c>
      <c r="EU38" s="280">
        <v>634.79999999999995</v>
      </c>
      <c r="EV38" s="280">
        <v>582.79999999999995</v>
      </c>
      <c r="EW38" s="280">
        <v>639.70000000000005</v>
      </c>
      <c r="EX38" s="280">
        <v>644.79999999999995</v>
      </c>
      <c r="EY38" s="280">
        <v>651.5</v>
      </c>
      <c r="EZ38" s="279" t="s">
        <v>24</v>
      </c>
      <c r="FA38" s="280">
        <v>289.8</v>
      </c>
      <c r="FB38" s="280">
        <v>295.8</v>
      </c>
      <c r="FC38" s="280">
        <v>305.89999999999998</v>
      </c>
      <c r="FD38" s="280">
        <v>311.89999999999998</v>
      </c>
      <c r="FE38" s="280">
        <v>301.89999999999998</v>
      </c>
      <c r="FF38" s="280">
        <v>312.3</v>
      </c>
      <c r="FG38" s="280">
        <v>305.10000000000002</v>
      </c>
      <c r="FH38" s="280">
        <v>298.10000000000002</v>
      </c>
      <c r="FI38" s="280">
        <v>326.7</v>
      </c>
      <c r="FJ38" s="280">
        <v>332.4</v>
      </c>
      <c r="FK38" s="279" t="s">
        <v>24</v>
      </c>
      <c r="FL38" s="280">
        <v>286.3</v>
      </c>
      <c r="FM38" s="280">
        <v>296.7</v>
      </c>
      <c r="FN38" s="280">
        <v>303.8</v>
      </c>
      <c r="FO38" s="280">
        <v>330.4</v>
      </c>
      <c r="FP38" s="280">
        <v>313.10000000000002</v>
      </c>
      <c r="FQ38" s="280">
        <v>301.60000000000002</v>
      </c>
      <c r="FR38" s="280">
        <v>324.3</v>
      </c>
      <c r="FS38" s="280">
        <v>304.2</v>
      </c>
      <c r="FT38" s="280">
        <v>312.5</v>
      </c>
      <c r="FU38" s="280">
        <v>347.8</v>
      </c>
      <c r="FV38" s="279" t="s">
        <v>24</v>
      </c>
      <c r="FW38" s="280">
        <v>741.4</v>
      </c>
      <c r="FX38" s="280">
        <v>849.3</v>
      </c>
      <c r="FY38" s="280">
        <v>1024.8</v>
      </c>
      <c r="FZ38" s="280">
        <v>879.6</v>
      </c>
      <c r="GA38" s="280">
        <v>814.6</v>
      </c>
      <c r="GB38" s="280">
        <v>889.5</v>
      </c>
      <c r="GC38" s="280">
        <v>1051.7</v>
      </c>
      <c r="GD38" s="280">
        <v>935.3</v>
      </c>
      <c r="GE38" s="280">
        <v>871.2</v>
      </c>
      <c r="GF38" s="280">
        <v>953.6</v>
      </c>
      <c r="GG38" s="279" t="s">
        <v>24</v>
      </c>
      <c r="GH38" s="280">
        <v>48.9</v>
      </c>
      <c r="GI38" s="280">
        <v>66.8</v>
      </c>
      <c r="GJ38" s="280">
        <v>62.6</v>
      </c>
      <c r="GK38" s="280">
        <v>55.3</v>
      </c>
      <c r="GL38" s="280">
        <v>54.6</v>
      </c>
      <c r="GM38" s="280">
        <v>44.4</v>
      </c>
      <c r="GN38" s="280">
        <v>49.9</v>
      </c>
      <c r="GO38" s="280">
        <v>48.4</v>
      </c>
      <c r="GP38" s="280">
        <v>52</v>
      </c>
      <c r="GQ38" s="280">
        <v>59.7</v>
      </c>
      <c r="GR38" s="279" t="s">
        <v>24</v>
      </c>
      <c r="GS38" s="280">
        <v>417</v>
      </c>
      <c r="GT38" s="280">
        <v>462.6</v>
      </c>
      <c r="GU38" s="280">
        <v>469.4</v>
      </c>
      <c r="GV38" s="280">
        <v>463.7</v>
      </c>
      <c r="GW38" s="280">
        <v>469.8</v>
      </c>
      <c r="GX38" s="280">
        <v>496.5</v>
      </c>
      <c r="GY38" s="280">
        <v>524.9</v>
      </c>
      <c r="GZ38" s="280">
        <v>506.2</v>
      </c>
      <c r="HA38" s="280">
        <v>481.7</v>
      </c>
      <c r="HB38" s="280">
        <v>534.9</v>
      </c>
      <c r="HC38" s="279" t="s">
        <v>24</v>
      </c>
      <c r="HD38" s="280">
        <v>252.9</v>
      </c>
      <c r="HE38" s="280">
        <v>281.2</v>
      </c>
      <c r="HF38" s="280">
        <v>280.7</v>
      </c>
      <c r="HG38" s="280">
        <v>265.5</v>
      </c>
      <c r="HH38" s="280">
        <v>273</v>
      </c>
      <c r="HI38" s="280">
        <v>275.89999999999998</v>
      </c>
      <c r="HJ38" s="280">
        <v>306</v>
      </c>
      <c r="HK38" s="280">
        <v>305.8</v>
      </c>
      <c r="HL38" s="280">
        <v>291.60000000000002</v>
      </c>
      <c r="HM38" s="280">
        <v>311.3</v>
      </c>
      <c r="HN38" s="279" t="s">
        <v>24</v>
      </c>
      <c r="HO38" s="280">
        <v>782.7</v>
      </c>
      <c r="HP38" s="280">
        <v>868.7</v>
      </c>
      <c r="HQ38" s="280">
        <v>910.1</v>
      </c>
      <c r="HR38" s="280">
        <v>912.7</v>
      </c>
      <c r="HS38" s="280">
        <v>874</v>
      </c>
      <c r="HT38" s="280">
        <v>912.8</v>
      </c>
      <c r="HU38" s="280">
        <v>968.7</v>
      </c>
      <c r="HV38" s="280">
        <v>992.4</v>
      </c>
      <c r="HW38" s="280">
        <v>931.5</v>
      </c>
      <c r="HX38" s="280">
        <v>981</v>
      </c>
      <c r="HY38" s="279" t="s">
        <v>24</v>
      </c>
      <c r="HZ38" s="280">
        <v>7.2</v>
      </c>
      <c r="IA38" s="280">
        <v>9.3000000000000007</v>
      </c>
      <c r="IB38" s="280">
        <v>12.6</v>
      </c>
      <c r="IC38" s="280">
        <v>12.7</v>
      </c>
      <c r="ID38" s="280">
        <v>11.3</v>
      </c>
      <c r="IE38" s="280">
        <v>7.7</v>
      </c>
      <c r="IF38" s="280">
        <v>9.1</v>
      </c>
      <c r="IG38" s="280">
        <v>10.4</v>
      </c>
      <c r="IH38" s="280">
        <v>10.7</v>
      </c>
      <c r="II38" s="280">
        <v>9.4</v>
      </c>
      <c r="IJ38" s="279" t="s">
        <v>24</v>
      </c>
      <c r="IK38" s="281"/>
      <c r="IL38" s="281"/>
      <c r="IM38" s="281"/>
      <c r="IN38" s="281"/>
      <c r="IO38" s="281"/>
      <c r="IP38" s="281"/>
      <c r="IQ38" s="281"/>
      <c r="IR38" s="281"/>
      <c r="IS38" s="281"/>
      <c r="IT38" s="281"/>
      <c r="IU38" s="279" t="s">
        <v>24</v>
      </c>
      <c r="IV38" s="280">
        <v>248.2</v>
      </c>
      <c r="IW38" s="280">
        <v>280.60000000000002</v>
      </c>
      <c r="IX38" s="280">
        <v>254</v>
      </c>
      <c r="IY38" s="280">
        <v>311.2</v>
      </c>
      <c r="IZ38" s="280">
        <v>308.7</v>
      </c>
      <c r="JA38" s="280">
        <v>294</v>
      </c>
      <c r="JB38" s="280">
        <v>269.8</v>
      </c>
      <c r="JC38" s="281">
        <v>307</v>
      </c>
      <c r="JD38" s="280">
        <v>313.7</v>
      </c>
      <c r="JE38" s="280">
        <v>318.89999999999998</v>
      </c>
      <c r="JF38" s="279" t="s">
        <v>24</v>
      </c>
      <c r="JG38" s="280">
        <v>365.5</v>
      </c>
      <c r="JH38" s="280">
        <v>405.8</v>
      </c>
      <c r="JI38" s="280">
        <v>409.5</v>
      </c>
      <c r="JJ38" s="280">
        <v>412.1</v>
      </c>
      <c r="JK38" s="280">
        <v>402.5</v>
      </c>
      <c r="JL38" s="280">
        <v>434.7</v>
      </c>
      <c r="JM38" s="280">
        <v>438.7</v>
      </c>
      <c r="JN38" s="280">
        <v>459.3</v>
      </c>
      <c r="JO38" s="280">
        <v>440.7</v>
      </c>
      <c r="JP38" s="280">
        <v>445.6</v>
      </c>
      <c r="JQ38" s="279" t="s">
        <v>24</v>
      </c>
      <c r="JR38" s="280">
        <v>279.89999999999998</v>
      </c>
      <c r="JS38" s="280">
        <v>313.89999999999998</v>
      </c>
      <c r="JT38" s="280">
        <v>314.60000000000002</v>
      </c>
      <c r="JU38" s="280">
        <v>304.89999999999998</v>
      </c>
      <c r="JV38" s="280">
        <v>293.2</v>
      </c>
      <c r="JW38" s="280">
        <v>324.39999999999998</v>
      </c>
      <c r="JX38" s="280">
        <v>343.6</v>
      </c>
      <c r="JY38" s="280">
        <v>326.10000000000002</v>
      </c>
      <c r="JZ38" s="280">
        <v>318.10000000000002</v>
      </c>
      <c r="KA38" s="280">
        <v>353</v>
      </c>
      <c r="KB38" s="279" t="s">
        <v>24</v>
      </c>
      <c r="KC38" s="280">
        <v>416.5</v>
      </c>
      <c r="KD38" s="280">
        <v>430.8</v>
      </c>
      <c r="KE38" s="280">
        <v>504.2</v>
      </c>
      <c r="KF38" s="280">
        <v>487.1</v>
      </c>
      <c r="KG38" s="280">
        <v>446.6</v>
      </c>
      <c r="KH38" s="280">
        <v>443.2</v>
      </c>
      <c r="KI38" s="280">
        <v>519.29999999999995</v>
      </c>
      <c r="KJ38" s="280">
        <v>515</v>
      </c>
      <c r="KK38" s="280">
        <v>486.3</v>
      </c>
      <c r="KL38" s="280">
        <v>507.2</v>
      </c>
      <c r="KM38" s="279" t="s">
        <v>24</v>
      </c>
      <c r="KN38" s="280">
        <v>125.5</v>
      </c>
      <c r="KO38" s="280">
        <v>140.69999999999999</v>
      </c>
      <c r="KP38" s="280">
        <v>143.6</v>
      </c>
      <c r="KQ38" s="280">
        <v>152.69999999999999</v>
      </c>
      <c r="KR38" s="280">
        <v>153.6</v>
      </c>
      <c r="KS38" s="280">
        <v>151.19999999999999</v>
      </c>
      <c r="KT38" s="280">
        <v>171.9</v>
      </c>
      <c r="KU38" s="280">
        <v>172.3</v>
      </c>
      <c r="KV38" s="280">
        <v>161.19999999999999</v>
      </c>
      <c r="KW38" s="280">
        <v>174</v>
      </c>
      <c r="KX38" s="279" t="s">
        <v>24</v>
      </c>
      <c r="KY38" s="280">
        <v>351</v>
      </c>
      <c r="KZ38" s="280">
        <v>465.5</v>
      </c>
      <c r="LA38" s="280">
        <v>550.1</v>
      </c>
      <c r="LB38" s="280">
        <v>451.2</v>
      </c>
      <c r="LC38" s="280">
        <v>437.6</v>
      </c>
      <c r="LD38" s="280">
        <v>499.8</v>
      </c>
      <c r="LE38" s="280">
        <v>583</v>
      </c>
      <c r="LF38" s="280">
        <v>464.7</v>
      </c>
      <c r="LG38" s="280">
        <v>423.5</v>
      </c>
      <c r="LH38" s="280">
        <v>538.6</v>
      </c>
      <c r="LI38" s="279" t="s">
        <v>24</v>
      </c>
      <c r="LJ38" s="280">
        <v>81.2</v>
      </c>
      <c r="LK38" s="280">
        <v>77.3</v>
      </c>
      <c r="LL38" s="280">
        <v>77.599999999999994</v>
      </c>
      <c r="LM38" s="280">
        <v>85.2</v>
      </c>
      <c r="LN38" s="280">
        <v>87.8</v>
      </c>
      <c r="LO38" s="280">
        <v>81.5</v>
      </c>
      <c r="LP38" s="280">
        <v>82.7</v>
      </c>
      <c r="LQ38" s="280">
        <v>86.3</v>
      </c>
      <c r="LR38" s="280">
        <v>89.2</v>
      </c>
      <c r="LS38" s="280">
        <v>85.4</v>
      </c>
      <c r="LT38" s="279" t="s">
        <v>24</v>
      </c>
      <c r="LU38" s="280">
        <v>34.9</v>
      </c>
      <c r="LV38" s="280">
        <v>35.799999999999997</v>
      </c>
      <c r="LW38" s="280">
        <v>38.5</v>
      </c>
      <c r="LX38" s="280">
        <v>29.6</v>
      </c>
      <c r="LY38" s="280">
        <v>33.799999999999997</v>
      </c>
      <c r="LZ38" s="280">
        <v>37.5</v>
      </c>
      <c r="MA38" s="280">
        <v>42.5</v>
      </c>
      <c r="MB38" s="280">
        <v>41.5</v>
      </c>
      <c r="MC38" s="280">
        <v>38.799999999999997</v>
      </c>
      <c r="MD38" s="280">
        <v>38.9</v>
      </c>
      <c r="ME38" s="279" t="s">
        <v>24</v>
      </c>
      <c r="MF38" s="280">
        <v>103.4</v>
      </c>
      <c r="MG38" s="280">
        <v>106.8</v>
      </c>
      <c r="MH38" s="280">
        <v>112.4</v>
      </c>
      <c r="MI38" s="280">
        <v>114.7</v>
      </c>
      <c r="MJ38" s="280">
        <v>111.5</v>
      </c>
      <c r="MK38" s="280">
        <v>124.6</v>
      </c>
      <c r="ML38" s="280">
        <v>128.30000000000001</v>
      </c>
      <c r="MM38" s="280">
        <v>120.4</v>
      </c>
      <c r="MN38" s="280">
        <v>118.6</v>
      </c>
      <c r="MO38" s="280">
        <v>135.4</v>
      </c>
      <c r="MP38" s="279" t="s">
        <v>24</v>
      </c>
      <c r="MQ38" s="280">
        <v>185.2</v>
      </c>
      <c r="MR38" s="280">
        <v>203.5</v>
      </c>
      <c r="MS38" s="280">
        <v>238</v>
      </c>
      <c r="MT38" s="280">
        <v>212.7</v>
      </c>
      <c r="MU38" s="280">
        <v>203.2</v>
      </c>
      <c r="MV38" s="280">
        <v>209.8</v>
      </c>
      <c r="MW38" s="280">
        <v>234.8</v>
      </c>
      <c r="MX38" s="280">
        <v>216.8</v>
      </c>
      <c r="MY38" s="280">
        <v>200.8</v>
      </c>
      <c r="MZ38" s="280">
        <v>219.5</v>
      </c>
      <c r="NA38" s="279" t="s">
        <v>24</v>
      </c>
      <c r="NB38" s="280">
        <v>233.8</v>
      </c>
      <c r="NC38" s="280">
        <v>244.1</v>
      </c>
      <c r="ND38" s="280">
        <v>241.7</v>
      </c>
      <c r="NE38" s="280">
        <v>210.8</v>
      </c>
      <c r="NF38" s="280">
        <v>197.5</v>
      </c>
      <c r="NG38" s="280">
        <v>199.1</v>
      </c>
      <c r="NH38" s="280">
        <v>220.8</v>
      </c>
      <c r="NI38" s="280">
        <v>208.7</v>
      </c>
      <c r="NJ38" s="280">
        <v>209.2</v>
      </c>
      <c r="NK38" s="280">
        <v>219.1</v>
      </c>
      <c r="NL38" s="279" t="s">
        <v>24</v>
      </c>
      <c r="NM38" s="280">
        <v>276.3</v>
      </c>
      <c r="NN38" s="280">
        <v>276.5</v>
      </c>
      <c r="NO38" s="280">
        <v>216.5</v>
      </c>
      <c r="NP38" s="280">
        <v>295</v>
      </c>
      <c r="NQ38" s="280">
        <v>316.2</v>
      </c>
      <c r="NR38" s="280">
        <v>329.7</v>
      </c>
      <c r="NS38" s="280">
        <v>235.8</v>
      </c>
      <c r="NT38" s="280">
        <v>306.39999999999998</v>
      </c>
      <c r="NU38" s="280">
        <v>325.89999999999998</v>
      </c>
      <c r="NV38" s="280">
        <v>326.5</v>
      </c>
      <c r="NW38" s="279" t="s">
        <v>24</v>
      </c>
      <c r="NX38" s="280">
        <v>335.2</v>
      </c>
      <c r="NY38" s="280">
        <v>338.2</v>
      </c>
      <c r="NZ38" s="280">
        <v>402.3</v>
      </c>
      <c r="OA38" s="280">
        <v>383.6</v>
      </c>
      <c r="OB38" s="280">
        <v>369.3</v>
      </c>
      <c r="OC38" s="280">
        <v>392</v>
      </c>
      <c r="OD38" s="280">
        <v>458.5</v>
      </c>
      <c r="OE38" s="280">
        <v>410.9</v>
      </c>
      <c r="OF38" s="280">
        <v>414.4</v>
      </c>
      <c r="OG38" s="280">
        <v>423.9</v>
      </c>
      <c r="OH38" s="296" t="s">
        <v>24</v>
      </c>
      <c r="OI38" s="297">
        <v>23.7</v>
      </c>
      <c r="OJ38" s="297">
        <v>23.7</v>
      </c>
      <c r="OK38" s="297">
        <v>23.8</v>
      </c>
      <c r="OL38" s="297">
        <v>22.4</v>
      </c>
      <c r="OM38" s="297">
        <v>21.2</v>
      </c>
      <c r="ON38" s="297">
        <v>20.9</v>
      </c>
      <c r="OO38" s="297">
        <v>21</v>
      </c>
      <c r="OP38" s="297">
        <v>20</v>
      </c>
      <c r="OQ38" s="297">
        <v>18.899999999999999</v>
      </c>
      <c r="OR38" s="297">
        <v>18.600000000000001</v>
      </c>
      <c r="OS38" s="279" t="s">
        <v>24</v>
      </c>
      <c r="OT38" s="280">
        <v>-0.4</v>
      </c>
      <c r="OU38" s="280">
        <v>0.2</v>
      </c>
      <c r="OV38" s="280">
        <v>0.3</v>
      </c>
      <c r="OW38" s="280">
        <v>0.5</v>
      </c>
      <c r="OX38" s="280">
        <v>0.5</v>
      </c>
      <c r="OY38" s="280">
        <v>0.3</v>
      </c>
      <c r="OZ38" s="280">
        <v>0.2</v>
      </c>
      <c r="PA38" s="280">
        <v>-0.1</v>
      </c>
      <c r="PB38" s="280">
        <v>0.1</v>
      </c>
      <c r="PC38" s="280">
        <v>0.4</v>
      </c>
    </row>
    <row r="39" spans="1:419">
      <c r="A39" s="269">
        <v>30</v>
      </c>
      <c r="B39" s="285" t="s">
        <v>42</v>
      </c>
      <c r="C39" s="286">
        <v>15.5</v>
      </c>
      <c r="D39" s="286">
        <v>16.7</v>
      </c>
      <c r="E39" s="286">
        <v>18</v>
      </c>
      <c r="F39" s="286">
        <v>16.100000000000001</v>
      </c>
      <c r="G39" s="286">
        <v>15.2</v>
      </c>
      <c r="H39" s="286">
        <v>16.5</v>
      </c>
      <c r="I39" s="286">
        <v>17.100000000000001</v>
      </c>
      <c r="J39" s="286">
        <v>15.7</v>
      </c>
      <c r="K39" s="286">
        <v>15.4</v>
      </c>
      <c r="L39" s="286">
        <v>16.3</v>
      </c>
      <c r="M39" s="285" t="s">
        <v>42</v>
      </c>
      <c r="N39" s="286">
        <v>640.4</v>
      </c>
      <c r="O39" s="286">
        <v>708.2</v>
      </c>
      <c r="P39" s="286">
        <v>779.3</v>
      </c>
      <c r="Q39" s="286">
        <v>684.6</v>
      </c>
      <c r="R39" s="286">
        <v>640.4</v>
      </c>
      <c r="S39" s="286">
        <v>716.6</v>
      </c>
      <c r="T39" s="286">
        <v>748.7</v>
      </c>
      <c r="U39" s="286">
        <v>677</v>
      </c>
      <c r="V39" s="286">
        <v>663</v>
      </c>
      <c r="W39" s="286">
        <v>721.2</v>
      </c>
      <c r="X39" s="285" t="s">
        <v>42</v>
      </c>
      <c r="Y39" s="286">
        <v>121.7</v>
      </c>
      <c r="Z39" s="286">
        <v>118.6</v>
      </c>
      <c r="AA39" s="286">
        <v>108.2</v>
      </c>
      <c r="AB39" s="286">
        <v>111.3</v>
      </c>
      <c r="AC39" s="286">
        <v>101.9</v>
      </c>
      <c r="AD39" s="286">
        <v>99.1</v>
      </c>
      <c r="AE39" s="286">
        <v>86.9</v>
      </c>
      <c r="AF39" s="286">
        <v>97.8</v>
      </c>
      <c r="AG39" s="286">
        <v>99.3</v>
      </c>
      <c r="AH39" s="286">
        <v>92.8</v>
      </c>
      <c r="AI39" s="279" t="s">
        <v>42</v>
      </c>
      <c r="AJ39" s="280">
        <v>27.3</v>
      </c>
      <c r="AK39" s="280">
        <v>73</v>
      </c>
      <c r="AL39" s="280">
        <v>146.1</v>
      </c>
      <c r="AM39" s="280">
        <v>45.4</v>
      </c>
      <c r="AN39" s="280">
        <v>21.3</v>
      </c>
      <c r="AO39" s="280">
        <v>74.099999999999994</v>
      </c>
      <c r="AP39" s="280">
        <v>113.8</v>
      </c>
      <c r="AQ39" s="280">
        <v>36.299999999999997</v>
      </c>
      <c r="AR39" s="280">
        <v>21.4</v>
      </c>
      <c r="AS39" s="280">
        <v>69.2</v>
      </c>
      <c r="AT39" s="279" t="s">
        <v>42</v>
      </c>
      <c r="AU39" s="280">
        <v>91.4</v>
      </c>
      <c r="AV39" s="280">
        <v>108.2</v>
      </c>
      <c r="AW39" s="280">
        <v>120.2</v>
      </c>
      <c r="AX39" s="280">
        <v>110.9</v>
      </c>
      <c r="AY39" s="280">
        <v>101.5</v>
      </c>
      <c r="AZ39" s="280">
        <v>114.1</v>
      </c>
      <c r="BA39" s="280">
        <v>113.2</v>
      </c>
      <c r="BB39" s="280">
        <v>106</v>
      </c>
      <c r="BC39" s="280">
        <v>100.9</v>
      </c>
      <c r="BD39" s="280">
        <v>111.9</v>
      </c>
      <c r="BE39" s="279" t="s">
        <v>42</v>
      </c>
      <c r="BF39" s="280">
        <v>108.7</v>
      </c>
      <c r="BG39" s="280">
        <v>107</v>
      </c>
      <c r="BH39" s="280">
        <v>98.4</v>
      </c>
      <c r="BI39" s="280">
        <v>110.1</v>
      </c>
      <c r="BJ39" s="280">
        <v>102.3</v>
      </c>
      <c r="BK39" s="280">
        <v>93</v>
      </c>
      <c r="BL39" s="280">
        <v>91.2</v>
      </c>
      <c r="BM39" s="280">
        <v>103.6</v>
      </c>
      <c r="BN39" s="280">
        <v>100.7</v>
      </c>
      <c r="BO39" s="280">
        <v>104</v>
      </c>
      <c r="BP39" s="282" t="s">
        <v>42</v>
      </c>
      <c r="BQ39" s="283">
        <v>90.6</v>
      </c>
      <c r="BR39" s="283">
        <v>91.4</v>
      </c>
      <c r="BS39" s="283">
        <v>92.1</v>
      </c>
      <c r="BT39" s="283">
        <v>85.6</v>
      </c>
      <c r="BU39" s="283">
        <v>89.5</v>
      </c>
      <c r="BV39" s="283">
        <v>93</v>
      </c>
      <c r="BW39" s="283">
        <v>92.1</v>
      </c>
      <c r="BX39" s="283">
        <v>82</v>
      </c>
      <c r="BY39" s="283">
        <v>87.5</v>
      </c>
      <c r="BZ39" s="283">
        <v>89.6</v>
      </c>
      <c r="CA39" s="282" t="s">
        <v>42</v>
      </c>
      <c r="CB39" s="283">
        <v>94.800000000000011</v>
      </c>
      <c r="CC39" s="283">
        <v>91.699999999999989</v>
      </c>
      <c r="CD39" s="283">
        <v>94.300000000000011</v>
      </c>
      <c r="CE39" s="283">
        <v>87.3</v>
      </c>
      <c r="CF39" s="283">
        <v>91.699999999999989</v>
      </c>
      <c r="CG39" s="283">
        <v>92.7</v>
      </c>
      <c r="CH39" s="283">
        <v>91.5</v>
      </c>
      <c r="CI39" s="283">
        <v>83.2</v>
      </c>
      <c r="CJ39" s="283">
        <v>83.1</v>
      </c>
      <c r="CK39" s="283">
        <v>84.4</v>
      </c>
      <c r="CL39" s="285" t="s">
        <v>42</v>
      </c>
      <c r="CM39" s="286">
        <v>124.9</v>
      </c>
      <c r="CN39" s="286">
        <v>159.5</v>
      </c>
      <c r="CO39" s="286">
        <v>174.4</v>
      </c>
      <c r="CP39" s="286">
        <v>159.69999999999999</v>
      </c>
      <c r="CQ39" s="286">
        <v>126.2</v>
      </c>
      <c r="CR39" s="286">
        <v>167.9</v>
      </c>
      <c r="CS39" s="286">
        <v>174.8</v>
      </c>
      <c r="CT39" s="286">
        <v>160.69999999999999</v>
      </c>
      <c r="CU39" s="286">
        <v>147.9</v>
      </c>
      <c r="CV39" s="286">
        <v>180.6</v>
      </c>
      <c r="CW39" s="285" t="s">
        <v>42</v>
      </c>
      <c r="CX39" s="286">
        <v>304.5</v>
      </c>
      <c r="CY39" s="286">
        <v>333.7</v>
      </c>
      <c r="CZ39" s="286">
        <v>358</v>
      </c>
      <c r="DA39" s="286">
        <v>301.3</v>
      </c>
      <c r="DB39" s="286">
        <v>310.39999999999998</v>
      </c>
      <c r="DC39" s="286">
        <v>327.60000000000002</v>
      </c>
      <c r="DD39" s="286">
        <v>326.60000000000002</v>
      </c>
      <c r="DE39" s="286">
        <v>292.89999999999998</v>
      </c>
      <c r="DF39" s="286">
        <v>296.10000000000002</v>
      </c>
      <c r="DG39" s="286">
        <v>315</v>
      </c>
      <c r="DH39" s="285" t="s">
        <v>42</v>
      </c>
      <c r="DI39" s="286">
        <v>210.1</v>
      </c>
      <c r="DJ39" s="286">
        <v>213.5</v>
      </c>
      <c r="DK39" s="286">
        <v>243.5</v>
      </c>
      <c r="DL39" s="286">
        <v>219.8</v>
      </c>
      <c r="DM39" s="286">
        <v>203.6</v>
      </c>
      <c r="DN39" s="286">
        <v>217.4</v>
      </c>
      <c r="DO39" s="286">
        <v>244.9</v>
      </c>
      <c r="DP39" s="286">
        <v>221.7</v>
      </c>
      <c r="DQ39" s="286">
        <v>217</v>
      </c>
      <c r="DR39" s="286">
        <v>222.1</v>
      </c>
      <c r="DS39" s="285" t="s">
        <v>42</v>
      </c>
      <c r="DT39" s="287"/>
      <c r="DU39" s="287"/>
      <c r="DV39" s="287">
        <v>3.4</v>
      </c>
      <c r="DW39" s="287">
        <v>3.8</v>
      </c>
      <c r="DX39" s="287"/>
      <c r="DY39" s="287">
        <v>3.7</v>
      </c>
      <c r="DZ39" s="287"/>
      <c r="EA39" s="287"/>
      <c r="EB39" s="287"/>
      <c r="EC39" s="287">
        <v>3.5</v>
      </c>
      <c r="ED39" s="279" t="s">
        <v>42</v>
      </c>
      <c r="EE39" s="280">
        <v>5.5</v>
      </c>
      <c r="EF39" s="280">
        <v>6.2</v>
      </c>
      <c r="EG39" s="280">
        <v>6.4</v>
      </c>
      <c r="EH39" s="280">
        <v>5.6</v>
      </c>
      <c r="EI39" s="280">
        <v>6.4</v>
      </c>
      <c r="EJ39" s="280">
        <v>7.1</v>
      </c>
      <c r="EK39" s="280">
        <v>7.3</v>
      </c>
      <c r="EL39" s="280">
        <v>6.3</v>
      </c>
      <c r="EM39" s="280">
        <v>7</v>
      </c>
      <c r="EN39" s="280">
        <v>6.4</v>
      </c>
      <c r="EO39" s="279" t="s">
        <v>42</v>
      </c>
      <c r="EP39" s="280">
        <v>132</v>
      </c>
      <c r="EQ39" s="280">
        <v>133.6</v>
      </c>
      <c r="ER39" s="280">
        <v>132.9</v>
      </c>
      <c r="ES39" s="280">
        <v>142.1</v>
      </c>
      <c r="ET39" s="280">
        <v>136.69999999999999</v>
      </c>
      <c r="EU39" s="280">
        <v>139.6</v>
      </c>
      <c r="EV39" s="280">
        <v>132.80000000000001</v>
      </c>
      <c r="EW39" s="280">
        <v>143.30000000000001</v>
      </c>
      <c r="EX39" s="280">
        <v>140.9</v>
      </c>
      <c r="EY39" s="280">
        <v>138.1</v>
      </c>
      <c r="EZ39" s="279" t="s">
        <v>42</v>
      </c>
      <c r="FA39" s="280">
        <v>80.7</v>
      </c>
      <c r="FB39" s="280">
        <v>80</v>
      </c>
      <c r="FC39" s="280">
        <v>82.1</v>
      </c>
      <c r="FD39" s="280">
        <v>81.7</v>
      </c>
      <c r="FE39" s="280">
        <v>79.2</v>
      </c>
      <c r="FF39" s="280">
        <v>78.400000000000006</v>
      </c>
      <c r="FG39" s="280">
        <v>81.2</v>
      </c>
      <c r="FH39" s="280">
        <v>74.400000000000006</v>
      </c>
      <c r="FI39" s="280">
        <v>75.3</v>
      </c>
      <c r="FJ39" s="280">
        <v>79.599999999999994</v>
      </c>
      <c r="FK39" s="279" t="s">
        <v>42</v>
      </c>
      <c r="FL39" s="280">
        <v>44</v>
      </c>
      <c r="FM39" s="280">
        <v>53.3</v>
      </c>
      <c r="FN39" s="280">
        <v>62.1</v>
      </c>
      <c r="FO39" s="280">
        <v>54.8</v>
      </c>
      <c r="FP39" s="280">
        <v>50.6</v>
      </c>
      <c r="FQ39" s="280">
        <v>54.6</v>
      </c>
      <c r="FR39" s="280">
        <v>54.9</v>
      </c>
      <c r="FS39" s="280">
        <v>47.4</v>
      </c>
      <c r="FT39" s="280">
        <v>49.3</v>
      </c>
      <c r="FU39" s="280">
        <v>56.7</v>
      </c>
      <c r="FV39" s="279" t="s">
        <v>42</v>
      </c>
      <c r="FW39" s="280">
        <v>227.6</v>
      </c>
      <c r="FX39" s="280">
        <v>254.2</v>
      </c>
      <c r="FY39" s="280">
        <v>291</v>
      </c>
      <c r="FZ39" s="280">
        <v>235.5</v>
      </c>
      <c r="GA39" s="280">
        <v>217.9</v>
      </c>
      <c r="GB39" s="280">
        <v>255.2</v>
      </c>
      <c r="GC39" s="280">
        <v>278.7</v>
      </c>
      <c r="GD39" s="280">
        <v>240.7</v>
      </c>
      <c r="GE39" s="280">
        <v>236.1</v>
      </c>
      <c r="GF39" s="280">
        <v>265.60000000000002</v>
      </c>
      <c r="GG39" s="279" t="s">
        <v>42</v>
      </c>
      <c r="GH39" s="280">
        <v>7.3</v>
      </c>
      <c r="GI39" s="280">
        <v>14.8</v>
      </c>
      <c r="GJ39" s="280">
        <v>18.8</v>
      </c>
      <c r="GK39" s="280">
        <v>7.8</v>
      </c>
      <c r="GL39" s="280">
        <v>6</v>
      </c>
      <c r="GM39" s="280">
        <v>13.1</v>
      </c>
      <c r="GN39" s="280">
        <v>16.899999999999999</v>
      </c>
      <c r="GO39" s="280">
        <v>8.6999999999999993</v>
      </c>
      <c r="GP39" s="280">
        <v>6.5</v>
      </c>
      <c r="GQ39" s="280">
        <v>14.5</v>
      </c>
      <c r="GR39" s="279" t="s">
        <v>42</v>
      </c>
      <c r="GS39" s="280">
        <v>34.1</v>
      </c>
      <c r="GT39" s="280">
        <v>40.299999999999997</v>
      </c>
      <c r="GU39" s="280">
        <v>45.7</v>
      </c>
      <c r="GV39" s="280">
        <v>38.6</v>
      </c>
      <c r="GW39" s="280">
        <v>32.799999999999997</v>
      </c>
      <c r="GX39" s="280">
        <v>41.1</v>
      </c>
      <c r="GY39" s="280">
        <v>40.5</v>
      </c>
      <c r="GZ39" s="280">
        <v>35.200000000000003</v>
      </c>
      <c r="HA39" s="280">
        <v>33.1</v>
      </c>
      <c r="HB39" s="280">
        <v>39.200000000000003</v>
      </c>
      <c r="HC39" s="279" t="s">
        <v>42</v>
      </c>
      <c r="HD39" s="280">
        <v>40</v>
      </c>
      <c r="HE39" s="280">
        <v>48.8</v>
      </c>
      <c r="HF39" s="280">
        <v>52.9</v>
      </c>
      <c r="HG39" s="280">
        <v>39.799999999999997</v>
      </c>
      <c r="HH39" s="280">
        <v>38</v>
      </c>
      <c r="HI39" s="280">
        <v>43</v>
      </c>
      <c r="HJ39" s="280">
        <v>43.6</v>
      </c>
      <c r="HK39" s="280">
        <v>38.299999999999997</v>
      </c>
      <c r="HL39" s="280">
        <v>34.200000000000003</v>
      </c>
      <c r="HM39" s="280">
        <v>38.700000000000003</v>
      </c>
      <c r="HN39" s="279" t="s">
        <v>42</v>
      </c>
      <c r="HO39" s="280">
        <v>66.099999999999994</v>
      </c>
      <c r="HP39" s="280">
        <v>72.099999999999994</v>
      </c>
      <c r="HQ39" s="280">
        <v>83.1</v>
      </c>
      <c r="HR39" s="280">
        <v>75</v>
      </c>
      <c r="HS39" s="280">
        <v>68.099999999999994</v>
      </c>
      <c r="HT39" s="280">
        <v>79.099999999999994</v>
      </c>
      <c r="HU39" s="280">
        <v>87.5</v>
      </c>
      <c r="HV39" s="280">
        <v>76.900000000000006</v>
      </c>
      <c r="HW39" s="280">
        <v>76.2</v>
      </c>
      <c r="HX39" s="280">
        <v>78.2</v>
      </c>
      <c r="HY39" s="279" t="s">
        <v>42</v>
      </c>
      <c r="HZ39" s="281"/>
      <c r="IA39" s="281"/>
      <c r="IB39" s="281"/>
      <c r="IC39" s="281"/>
      <c r="ID39" s="281"/>
      <c r="IE39" s="280"/>
      <c r="IF39" s="281"/>
      <c r="IG39" s="281"/>
      <c r="IH39" s="280"/>
      <c r="II39" s="281"/>
      <c r="IJ39" s="279" t="s">
        <v>42</v>
      </c>
      <c r="IK39" s="281"/>
      <c r="IL39" s="281">
        <v>3</v>
      </c>
      <c r="IM39" s="280">
        <v>2.9</v>
      </c>
      <c r="IN39" s="280"/>
      <c r="IO39" s="281"/>
      <c r="IP39" s="281">
        <v>3.6</v>
      </c>
      <c r="IQ39" s="280">
        <v>3</v>
      </c>
      <c r="IR39" s="280">
        <v>2.8</v>
      </c>
      <c r="IS39" s="280"/>
      <c r="IT39" s="281"/>
      <c r="IU39" s="279" t="s">
        <v>42</v>
      </c>
      <c r="IV39" s="280">
        <v>6.3</v>
      </c>
      <c r="IW39" s="280">
        <v>9.4</v>
      </c>
      <c r="IX39" s="280">
        <v>10.4</v>
      </c>
      <c r="IY39" s="280">
        <v>6.6</v>
      </c>
      <c r="IZ39" s="280">
        <v>4.5999999999999996</v>
      </c>
      <c r="JA39" s="280">
        <v>6.8</v>
      </c>
      <c r="JB39" s="280">
        <v>7.8</v>
      </c>
      <c r="JC39" s="280">
        <v>4.3</v>
      </c>
      <c r="JD39" s="280">
        <v>4.4000000000000004</v>
      </c>
      <c r="JE39" s="280">
        <v>8.1</v>
      </c>
      <c r="JF39" s="279" t="s">
        <v>42</v>
      </c>
      <c r="JG39" s="280">
        <v>27.4</v>
      </c>
      <c r="JH39" s="280">
        <v>37.299999999999997</v>
      </c>
      <c r="JI39" s="280">
        <v>49.3</v>
      </c>
      <c r="JJ39" s="280">
        <v>30.5</v>
      </c>
      <c r="JK39" s="280">
        <v>28.7</v>
      </c>
      <c r="JL39" s="280">
        <v>40.799999999999997</v>
      </c>
      <c r="JM39" s="280">
        <v>43.2</v>
      </c>
      <c r="JN39" s="280">
        <v>30.7</v>
      </c>
      <c r="JO39" s="280">
        <v>32.299999999999997</v>
      </c>
      <c r="JP39" s="280">
        <v>39.299999999999997</v>
      </c>
      <c r="JQ39" s="279" t="s">
        <v>42</v>
      </c>
      <c r="JR39" s="280">
        <v>17.600000000000001</v>
      </c>
      <c r="JS39" s="280">
        <v>22.1</v>
      </c>
      <c r="JT39" s="280">
        <v>27.3</v>
      </c>
      <c r="JU39" s="280">
        <v>21.7</v>
      </c>
      <c r="JV39" s="280">
        <v>17.600000000000001</v>
      </c>
      <c r="JW39" s="280">
        <v>22.6</v>
      </c>
      <c r="JX39" s="280">
        <v>22.6</v>
      </c>
      <c r="JY39" s="280">
        <v>19</v>
      </c>
      <c r="JZ39" s="280">
        <v>15.5</v>
      </c>
      <c r="KA39" s="280">
        <v>19.7</v>
      </c>
      <c r="KB39" s="279" t="s">
        <v>42</v>
      </c>
      <c r="KC39" s="280">
        <v>72.400000000000006</v>
      </c>
      <c r="KD39" s="280">
        <v>81.099999999999994</v>
      </c>
      <c r="KE39" s="280">
        <v>91.7</v>
      </c>
      <c r="KF39" s="280">
        <v>74.3</v>
      </c>
      <c r="KG39" s="280">
        <v>69.3</v>
      </c>
      <c r="KH39" s="280">
        <v>81.599999999999994</v>
      </c>
      <c r="KI39" s="280">
        <v>92.5</v>
      </c>
      <c r="KJ39" s="280">
        <v>72.7</v>
      </c>
      <c r="KK39" s="280">
        <v>75.7</v>
      </c>
      <c r="KL39" s="280">
        <v>83.4</v>
      </c>
      <c r="KM39" s="279" t="s">
        <v>42</v>
      </c>
      <c r="KN39" s="280">
        <v>30.2</v>
      </c>
      <c r="KO39" s="280">
        <v>32.1</v>
      </c>
      <c r="KP39" s="280">
        <v>38.5</v>
      </c>
      <c r="KQ39" s="280">
        <v>33.9</v>
      </c>
      <c r="KR39" s="280">
        <v>30.4</v>
      </c>
      <c r="KS39" s="280">
        <v>34.1</v>
      </c>
      <c r="KT39" s="280">
        <v>35.1</v>
      </c>
      <c r="KU39" s="280">
        <v>33.4</v>
      </c>
      <c r="KV39" s="280">
        <v>29.3</v>
      </c>
      <c r="KW39" s="280">
        <v>31.7</v>
      </c>
      <c r="KX39" s="279" t="s">
        <v>42</v>
      </c>
      <c r="KY39" s="280">
        <v>47.1</v>
      </c>
      <c r="KZ39" s="280">
        <v>56.5</v>
      </c>
      <c r="LA39" s="280">
        <v>63.8</v>
      </c>
      <c r="LB39" s="280">
        <v>52.9</v>
      </c>
      <c r="LC39" s="280">
        <v>50.2</v>
      </c>
      <c r="LD39" s="280">
        <v>54.5</v>
      </c>
      <c r="LE39" s="280">
        <v>65.599999999999994</v>
      </c>
      <c r="LF39" s="280">
        <v>53.3</v>
      </c>
      <c r="LG39" s="280">
        <v>52.8</v>
      </c>
      <c r="LH39" s="280">
        <v>58.1</v>
      </c>
      <c r="LI39" s="279" t="s">
        <v>42</v>
      </c>
      <c r="LJ39" s="281">
        <v>12.8</v>
      </c>
      <c r="LK39" s="281">
        <v>15.1</v>
      </c>
      <c r="LL39" s="281">
        <v>15.9</v>
      </c>
      <c r="LM39" s="281">
        <v>14.1</v>
      </c>
      <c r="LN39" s="281">
        <v>13.1</v>
      </c>
      <c r="LO39" s="281">
        <v>13.4</v>
      </c>
      <c r="LP39" s="281">
        <v>14.5</v>
      </c>
      <c r="LQ39" s="281">
        <v>13.8</v>
      </c>
      <c r="LR39" s="281">
        <v>14.9</v>
      </c>
      <c r="LS39" s="281">
        <v>16.5</v>
      </c>
      <c r="LT39" s="279" t="s">
        <v>42</v>
      </c>
      <c r="LU39" s="281">
        <v>9.5</v>
      </c>
      <c r="LV39" s="281">
        <v>8.1</v>
      </c>
      <c r="LW39" s="281">
        <v>8.9</v>
      </c>
      <c r="LX39" s="281">
        <v>6.9</v>
      </c>
      <c r="LY39" s="281">
        <v>6.7</v>
      </c>
      <c r="LZ39" s="281">
        <v>7.2</v>
      </c>
      <c r="MA39" s="281">
        <v>8.1999999999999993</v>
      </c>
      <c r="MB39" s="281">
        <v>6.4</v>
      </c>
      <c r="MC39" s="281">
        <v>7.4</v>
      </c>
      <c r="MD39" s="281">
        <v>8.6999999999999993</v>
      </c>
      <c r="ME39" s="279" t="s">
        <v>42</v>
      </c>
      <c r="MF39" s="281">
        <v>31.6</v>
      </c>
      <c r="MG39" s="281">
        <v>30.3</v>
      </c>
      <c r="MH39" s="281">
        <v>31.5</v>
      </c>
      <c r="MI39" s="281">
        <v>29.4</v>
      </c>
      <c r="MJ39" s="281">
        <v>29.2</v>
      </c>
      <c r="MK39" s="281">
        <v>32.6</v>
      </c>
      <c r="ML39" s="281">
        <v>32.700000000000003</v>
      </c>
      <c r="MM39" s="281">
        <v>32.4</v>
      </c>
      <c r="MN39" s="281">
        <v>30.3</v>
      </c>
      <c r="MO39" s="280">
        <v>26.8</v>
      </c>
      <c r="MP39" s="279" t="s">
        <v>42</v>
      </c>
      <c r="MQ39" s="280">
        <v>51.2</v>
      </c>
      <c r="MR39" s="280">
        <v>61.1</v>
      </c>
      <c r="MS39" s="280">
        <v>69.7</v>
      </c>
      <c r="MT39" s="280">
        <v>68</v>
      </c>
      <c r="MU39" s="280">
        <v>54.7</v>
      </c>
      <c r="MV39" s="280">
        <v>64.7</v>
      </c>
      <c r="MW39" s="280">
        <v>64.5</v>
      </c>
      <c r="MX39" s="280">
        <v>59</v>
      </c>
      <c r="MY39" s="280">
        <v>53.5</v>
      </c>
      <c r="MZ39" s="280">
        <v>62</v>
      </c>
      <c r="NA39" s="279" t="s">
        <v>42</v>
      </c>
      <c r="NB39" s="280">
        <v>29.1</v>
      </c>
      <c r="NC39" s="280">
        <v>31.3</v>
      </c>
      <c r="ND39" s="280">
        <v>37.6</v>
      </c>
      <c r="NE39" s="280">
        <v>32.299999999999997</v>
      </c>
      <c r="NF39" s="280">
        <v>31.4</v>
      </c>
      <c r="NG39" s="280">
        <v>33.700000000000003</v>
      </c>
      <c r="NH39" s="280">
        <v>37.5</v>
      </c>
      <c r="NI39" s="280">
        <v>32.799999999999997</v>
      </c>
      <c r="NJ39" s="280">
        <v>30.1</v>
      </c>
      <c r="NK39" s="280">
        <v>34.6</v>
      </c>
      <c r="NL39" s="279" t="s">
        <v>42</v>
      </c>
      <c r="NM39" s="280">
        <v>107</v>
      </c>
      <c r="NN39" s="280">
        <v>106.4</v>
      </c>
      <c r="NO39" s="280">
        <v>88.6</v>
      </c>
      <c r="NP39" s="280">
        <v>106.6</v>
      </c>
      <c r="NQ39" s="280">
        <v>104</v>
      </c>
      <c r="NR39" s="280">
        <v>99.7</v>
      </c>
      <c r="NS39" s="280">
        <v>85.3</v>
      </c>
      <c r="NT39" s="280">
        <v>115.3</v>
      </c>
      <c r="NU39" s="280">
        <v>114.5</v>
      </c>
      <c r="NV39" s="280">
        <v>116.1</v>
      </c>
      <c r="NW39" s="279" t="s">
        <v>42</v>
      </c>
      <c r="NX39" s="280">
        <v>121.9</v>
      </c>
      <c r="NY39" s="280">
        <v>133.4</v>
      </c>
      <c r="NZ39" s="280">
        <v>159.6</v>
      </c>
      <c r="OA39" s="280">
        <v>131.5</v>
      </c>
      <c r="OB39" s="280">
        <v>122.6</v>
      </c>
      <c r="OC39" s="280">
        <v>143.4</v>
      </c>
      <c r="OD39" s="280">
        <v>154.30000000000001</v>
      </c>
      <c r="OE39" s="280">
        <v>128.30000000000001</v>
      </c>
      <c r="OF39" s="280">
        <v>131.1</v>
      </c>
      <c r="OG39" s="280">
        <v>135.30000000000001</v>
      </c>
      <c r="OH39" s="296" t="s">
        <v>42</v>
      </c>
      <c r="OI39" s="297">
        <v>7.2</v>
      </c>
      <c r="OJ39" s="297">
        <v>7.3</v>
      </c>
      <c r="OK39" s="297">
        <v>8.3000000000000007</v>
      </c>
      <c r="OL39" s="297">
        <v>8.3000000000000007</v>
      </c>
      <c r="OM39" s="297">
        <v>6.6</v>
      </c>
      <c r="ON39" s="297">
        <v>6.6</v>
      </c>
      <c r="OO39" s="297">
        <v>7.7</v>
      </c>
      <c r="OP39" s="297">
        <v>7.5</v>
      </c>
      <c r="OQ39" s="297">
        <v>6.3</v>
      </c>
      <c r="OR39" s="297">
        <v>6.4</v>
      </c>
      <c r="OS39" s="279" t="s">
        <v>42</v>
      </c>
      <c r="OT39" s="280"/>
      <c r="OU39" s="280"/>
      <c r="OV39" s="280"/>
      <c r="OW39" s="280"/>
      <c r="OX39" s="280"/>
      <c r="OY39" s="280"/>
      <c r="OZ39" s="280"/>
      <c r="PA39" s="280"/>
      <c r="PB39" s="280"/>
      <c r="PC39" s="280"/>
    </row>
    <row r="40" spans="1:419">
      <c r="A40" s="269">
        <v>31</v>
      </c>
      <c r="B40" s="285" t="s">
        <v>46</v>
      </c>
      <c r="C40" s="286">
        <v>13.7</v>
      </c>
      <c r="D40" s="286">
        <v>13.6</v>
      </c>
      <c r="E40" s="286">
        <v>13.7</v>
      </c>
      <c r="F40" s="286">
        <v>13.8</v>
      </c>
      <c r="G40" s="286">
        <v>13.4</v>
      </c>
      <c r="H40" s="286">
        <v>13.4</v>
      </c>
      <c r="I40" s="286">
        <v>12.9</v>
      </c>
      <c r="J40" s="286">
        <v>13.4</v>
      </c>
      <c r="K40" s="286">
        <v>13.1</v>
      </c>
      <c r="L40" s="286">
        <v>13.3</v>
      </c>
      <c r="M40" s="285" t="s">
        <v>46</v>
      </c>
      <c r="N40" s="286">
        <v>514.20000000000005</v>
      </c>
      <c r="O40" s="286">
        <v>513.70000000000005</v>
      </c>
      <c r="P40" s="286">
        <v>514.29999999999995</v>
      </c>
      <c r="Q40" s="286">
        <v>525.79999999999995</v>
      </c>
      <c r="R40" s="286">
        <v>508.5</v>
      </c>
      <c r="S40" s="286">
        <v>509.2</v>
      </c>
      <c r="T40" s="286">
        <v>489.5</v>
      </c>
      <c r="U40" s="286">
        <v>520.79999999999995</v>
      </c>
      <c r="V40" s="286">
        <v>502</v>
      </c>
      <c r="W40" s="286">
        <v>511.8</v>
      </c>
      <c r="X40" s="285" t="s">
        <v>46</v>
      </c>
      <c r="Y40" s="286">
        <v>6.1</v>
      </c>
      <c r="Z40" s="286">
        <v>13.5</v>
      </c>
      <c r="AA40" s="286">
        <v>19.5</v>
      </c>
      <c r="AB40" s="286">
        <v>10.8</v>
      </c>
      <c r="AC40" s="286">
        <v>12.9</v>
      </c>
      <c r="AD40" s="286">
        <v>10.5</v>
      </c>
      <c r="AE40" s="286">
        <v>17.100000000000001</v>
      </c>
      <c r="AF40" s="286">
        <v>8.8000000000000007</v>
      </c>
      <c r="AG40" s="286">
        <v>10</v>
      </c>
      <c r="AH40" s="286">
        <v>9.1</v>
      </c>
      <c r="AI40" s="279" t="s">
        <v>46</v>
      </c>
      <c r="AJ40" s="280">
        <v>51.2</v>
      </c>
      <c r="AK40" s="280">
        <v>53</v>
      </c>
      <c r="AL40" s="280">
        <v>52.7</v>
      </c>
      <c r="AM40" s="280">
        <v>54.8</v>
      </c>
      <c r="AN40" s="280">
        <v>38.5</v>
      </c>
      <c r="AO40" s="280">
        <v>46.2</v>
      </c>
      <c r="AP40" s="280">
        <v>51.5</v>
      </c>
      <c r="AQ40" s="280">
        <v>45.1</v>
      </c>
      <c r="AR40" s="280">
        <v>41.5</v>
      </c>
      <c r="AS40" s="280">
        <v>43.8</v>
      </c>
      <c r="AT40" s="279" t="s">
        <v>46</v>
      </c>
      <c r="AU40" s="280">
        <v>46.9</v>
      </c>
      <c r="AV40" s="280">
        <v>49.8</v>
      </c>
      <c r="AW40" s="280">
        <v>45.7</v>
      </c>
      <c r="AX40" s="280">
        <v>49.2</v>
      </c>
      <c r="AY40" s="280">
        <v>59.5</v>
      </c>
      <c r="AZ40" s="280">
        <v>52.7</v>
      </c>
      <c r="BA40" s="280">
        <v>37.9</v>
      </c>
      <c r="BB40" s="280">
        <v>55.7</v>
      </c>
      <c r="BC40" s="280">
        <v>63.1</v>
      </c>
      <c r="BD40" s="280">
        <v>54.6</v>
      </c>
      <c r="BE40" s="279" t="s">
        <v>46</v>
      </c>
      <c r="BF40" s="280">
        <v>113.5</v>
      </c>
      <c r="BG40" s="280">
        <v>114.6</v>
      </c>
      <c r="BH40" s="280">
        <v>119.2</v>
      </c>
      <c r="BI40" s="280">
        <v>123.8</v>
      </c>
      <c r="BJ40" s="280">
        <v>104.8</v>
      </c>
      <c r="BK40" s="280">
        <v>117.3</v>
      </c>
      <c r="BL40" s="280">
        <v>110.6</v>
      </c>
      <c r="BM40" s="280">
        <v>123</v>
      </c>
      <c r="BN40" s="280">
        <v>113</v>
      </c>
      <c r="BO40" s="280">
        <v>121.8</v>
      </c>
      <c r="BP40" s="282" t="s">
        <v>46</v>
      </c>
      <c r="BQ40" s="283">
        <v>54.5</v>
      </c>
      <c r="BR40" s="283">
        <v>45.9</v>
      </c>
      <c r="BS40" s="283">
        <v>47.1</v>
      </c>
      <c r="BT40" s="283">
        <v>47.7</v>
      </c>
      <c r="BU40" s="283">
        <v>44.8</v>
      </c>
      <c r="BV40" s="283">
        <v>43.5</v>
      </c>
      <c r="BW40" s="283">
        <v>54.8</v>
      </c>
      <c r="BX40" s="283">
        <v>52.400000000000006</v>
      </c>
      <c r="BY40" s="283">
        <v>51.8</v>
      </c>
      <c r="BZ40" s="283">
        <v>59.9</v>
      </c>
      <c r="CA40" s="282" t="s">
        <v>46</v>
      </c>
      <c r="CB40" s="283">
        <v>242.1</v>
      </c>
      <c r="CC40" s="283">
        <v>237</v>
      </c>
      <c r="CD40" s="283">
        <v>230.10000000000002</v>
      </c>
      <c r="CE40" s="283">
        <v>239.5</v>
      </c>
      <c r="CF40" s="283">
        <v>248.1</v>
      </c>
      <c r="CG40" s="283">
        <v>238.89999999999998</v>
      </c>
      <c r="CH40" s="283">
        <v>217.60000000000002</v>
      </c>
      <c r="CI40" s="283">
        <v>235.8</v>
      </c>
      <c r="CJ40" s="283">
        <v>222.8</v>
      </c>
      <c r="CK40" s="283">
        <v>222.5</v>
      </c>
      <c r="CL40" s="285" t="s">
        <v>46</v>
      </c>
      <c r="CM40" s="286">
        <v>222.7</v>
      </c>
      <c r="CN40" s="286">
        <v>218.6</v>
      </c>
      <c r="CO40" s="286">
        <v>203.1</v>
      </c>
      <c r="CP40" s="286">
        <v>220.2</v>
      </c>
      <c r="CQ40" s="286">
        <v>217.8</v>
      </c>
      <c r="CR40" s="286">
        <v>205.7</v>
      </c>
      <c r="CS40" s="286">
        <v>182.9</v>
      </c>
      <c r="CT40" s="286">
        <v>220.2</v>
      </c>
      <c r="CU40" s="286">
        <v>206.8</v>
      </c>
      <c r="CV40" s="286">
        <v>209</v>
      </c>
      <c r="CW40" s="285" t="s">
        <v>46</v>
      </c>
      <c r="CX40" s="286">
        <v>152.69999999999999</v>
      </c>
      <c r="CY40" s="286">
        <v>153.80000000000001</v>
      </c>
      <c r="CZ40" s="286">
        <v>168.5</v>
      </c>
      <c r="DA40" s="286">
        <v>149.1</v>
      </c>
      <c r="DB40" s="286">
        <v>135.6</v>
      </c>
      <c r="DC40" s="286">
        <v>154.1</v>
      </c>
      <c r="DD40" s="286">
        <v>160.30000000000001</v>
      </c>
      <c r="DE40" s="286">
        <v>139.1</v>
      </c>
      <c r="DF40" s="286">
        <v>135.4</v>
      </c>
      <c r="DG40" s="286">
        <v>151.1</v>
      </c>
      <c r="DH40" s="285" t="s">
        <v>46</v>
      </c>
      <c r="DI40" s="286">
        <v>138</v>
      </c>
      <c r="DJ40" s="286">
        <v>140.5</v>
      </c>
      <c r="DK40" s="286">
        <v>142.30000000000001</v>
      </c>
      <c r="DL40" s="286">
        <v>154.9</v>
      </c>
      <c r="DM40" s="286">
        <v>151.5</v>
      </c>
      <c r="DN40" s="286">
        <v>148.30000000000001</v>
      </c>
      <c r="DO40" s="286">
        <v>146.1</v>
      </c>
      <c r="DP40" s="286">
        <v>160.9</v>
      </c>
      <c r="DQ40" s="286">
        <v>159</v>
      </c>
      <c r="DR40" s="286">
        <v>150.6</v>
      </c>
      <c r="DS40" s="285" t="s">
        <v>46</v>
      </c>
      <c r="DT40" s="287"/>
      <c r="DU40" s="287"/>
      <c r="DV40" s="287"/>
      <c r="DW40" s="287">
        <v>1.6</v>
      </c>
      <c r="DX40" s="287">
        <v>3.6</v>
      </c>
      <c r="DY40" s="287"/>
      <c r="DZ40" s="286"/>
      <c r="EA40" s="286"/>
      <c r="EB40" s="287"/>
      <c r="EC40" s="287"/>
      <c r="ED40" s="279" t="s">
        <v>46</v>
      </c>
      <c r="EE40" s="280">
        <v>12.6</v>
      </c>
      <c r="EF40" s="280">
        <v>12.3</v>
      </c>
      <c r="EG40" s="280">
        <v>14.7</v>
      </c>
      <c r="EH40" s="280">
        <v>13.9</v>
      </c>
      <c r="EI40" s="280">
        <v>12.5</v>
      </c>
      <c r="EJ40" s="280">
        <v>11.1</v>
      </c>
      <c r="EK40" s="280">
        <v>10.1</v>
      </c>
      <c r="EL40" s="280">
        <v>10.8</v>
      </c>
      <c r="EM40" s="280">
        <v>15.1</v>
      </c>
      <c r="EN40" s="280">
        <v>12</v>
      </c>
      <c r="EO40" s="279" t="s">
        <v>46</v>
      </c>
      <c r="EP40" s="280">
        <v>146.19999999999999</v>
      </c>
      <c r="EQ40" s="280">
        <v>159.9</v>
      </c>
      <c r="ER40" s="280">
        <v>139.80000000000001</v>
      </c>
      <c r="ES40" s="280">
        <v>159.1</v>
      </c>
      <c r="ET40" s="280">
        <v>152.1</v>
      </c>
      <c r="EU40" s="280">
        <v>157.1</v>
      </c>
      <c r="EV40" s="280">
        <v>146.5</v>
      </c>
      <c r="EW40" s="280">
        <v>160.80000000000001</v>
      </c>
      <c r="EX40" s="280">
        <v>146.1</v>
      </c>
      <c r="EY40" s="280">
        <v>146.69999999999999</v>
      </c>
      <c r="EZ40" s="279" t="s">
        <v>46</v>
      </c>
      <c r="FA40" s="280">
        <v>85.8</v>
      </c>
      <c r="FB40" s="280">
        <v>72.400000000000006</v>
      </c>
      <c r="FC40" s="280">
        <v>75.599999999999994</v>
      </c>
      <c r="FD40" s="280">
        <v>85.9</v>
      </c>
      <c r="FE40" s="280">
        <v>97.5</v>
      </c>
      <c r="FF40" s="280">
        <v>83.8</v>
      </c>
      <c r="FG40" s="280">
        <v>73.099999999999994</v>
      </c>
      <c r="FH40" s="280">
        <v>83.5</v>
      </c>
      <c r="FI40" s="280">
        <v>93.7</v>
      </c>
      <c r="FJ40" s="280">
        <v>88.7</v>
      </c>
      <c r="FK40" s="279" t="s">
        <v>46</v>
      </c>
      <c r="FL40" s="280">
        <v>47.2</v>
      </c>
      <c r="FM40" s="280">
        <v>50.8</v>
      </c>
      <c r="FN40" s="280">
        <v>45.2</v>
      </c>
      <c r="FO40" s="280">
        <v>44.8</v>
      </c>
      <c r="FP40" s="280">
        <v>37.4</v>
      </c>
      <c r="FQ40" s="280">
        <v>38.1</v>
      </c>
      <c r="FR40" s="280">
        <v>40.799999999999997</v>
      </c>
      <c r="FS40" s="280">
        <v>43.4</v>
      </c>
      <c r="FT40" s="280">
        <v>42</v>
      </c>
      <c r="FU40" s="280">
        <v>47.3</v>
      </c>
      <c r="FV40" s="279" t="s">
        <v>46</v>
      </c>
      <c r="FW40" s="280">
        <v>94.8</v>
      </c>
      <c r="FX40" s="280">
        <v>80.3</v>
      </c>
      <c r="FY40" s="280">
        <v>101</v>
      </c>
      <c r="FZ40" s="280">
        <v>89.7</v>
      </c>
      <c r="GA40" s="280">
        <v>95.1</v>
      </c>
      <c r="GB40" s="280">
        <v>95.7</v>
      </c>
      <c r="GC40" s="280">
        <v>96</v>
      </c>
      <c r="GD40" s="280">
        <v>86.3</v>
      </c>
      <c r="GE40" s="280">
        <v>78.099999999999994</v>
      </c>
      <c r="GF40" s="280">
        <v>94</v>
      </c>
      <c r="GG40" s="279" t="s">
        <v>46</v>
      </c>
      <c r="GH40" s="280">
        <v>9.4</v>
      </c>
      <c r="GI40" s="280">
        <v>10.8</v>
      </c>
      <c r="GJ40" s="280">
        <v>10.199999999999999</v>
      </c>
      <c r="GK40" s="280">
        <v>12.1</v>
      </c>
      <c r="GL40" s="280">
        <v>11.8</v>
      </c>
      <c r="GM40" s="280">
        <v>12.6</v>
      </c>
      <c r="GN40" s="280">
        <v>12</v>
      </c>
      <c r="GO40" s="280">
        <v>9.6</v>
      </c>
      <c r="GP40" s="280">
        <v>9</v>
      </c>
      <c r="GQ40" s="280">
        <v>11.9</v>
      </c>
      <c r="GR40" s="279" t="s">
        <v>46</v>
      </c>
      <c r="GS40" s="280">
        <v>92.7</v>
      </c>
      <c r="GT40" s="280">
        <v>98.3</v>
      </c>
      <c r="GU40" s="280">
        <v>94.7</v>
      </c>
      <c r="GV40" s="280">
        <v>89.2</v>
      </c>
      <c r="GW40" s="280">
        <v>75.400000000000006</v>
      </c>
      <c r="GX40" s="280">
        <v>86.2</v>
      </c>
      <c r="GY40" s="280">
        <v>87.7</v>
      </c>
      <c r="GZ40" s="280">
        <v>100.1</v>
      </c>
      <c r="HA40" s="280">
        <v>87</v>
      </c>
      <c r="HB40" s="280">
        <v>83.1</v>
      </c>
      <c r="HC40" s="279" t="s">
        <v>46</v>
      </c>
      <c r="HD40" s="280">
        <v>8.8000000000000007</v>
      </c>
      <c r="HE40" s="280">
        <v>7</v>
      </c>
      <c r="HF40" s="280">
        <v>10.8</v>
      </c>
      <c r="HG40" s="280">
        <v>8.6</v>
      </c>
      <c r="HH40" s="280">
        <v>8.1</v>
      </c>
      <c r="HI40" s="280">
        <v>7.8</v>
      </c>
      <c r="HJ40" s="280">
        <v>6.2</v>
      </c>
      <c r="HK40" s="280">
        <v>10.3</v>
      </c>
      <c r="HL40" s="280">
        <v>13.2</v>
      </c>
      <c r="HM40" s="280">
        <v>14.5</v>
      </c>
      <c r="HN40" s="279" t="s">
        <v>46</v>
      </c>
      <c r="HO40" s="280">
        <v>12.5</v>
      </c>
      <c r="HP40" s="280">
        <v>16.2</v>
      </c>
      <c r="HQ40" s="280">
        <v>17.7</v>
      </c>
      <c r="HR40" s="280">
        <v>16.600000000000001</v>
      </c>
      <c r="HS40" s="280">
        <v>14.2</v>
      </c>
      <c r="HT40" s="280">
        <v>13.8</v>
      </c>
      <c r="HU40" s="280">
        <v>14.2</v>
      </c>
      <c r="HV40" s="280">
        <v>12.9</v>
      </c>
      <c r="HW40" s="280">
        <v>13.8</v>
      </c>
      <c r="HX40" s="280">
        <v>10.199999999999999</v>
      </c>
      <c r="HY40" s="279" t="s">
        <v>46</v>
      </c>
      <c r="HZ40" s="281"/>
      <c r="IA40" s="281"/>
      <c r="IB40" s="281"/>
      <c r="IC40" s="281"/>
      <c r="ID40" s="281"/>
      <c r="IE40" s="281"/>
      <c r="IF40" s="281"/>
      <c r="IG40" s="281"/>
      <c r="IH40" s="281"/>
      <c r="II40" s="281"/>
      <c r="IJ40" s="279" t="s">
        <v>46</v>
      </c>
      <c r="IK40" s="280">
        <v>4.3</v>
      </c>
      <c r="IL40" s="280">
        <v>5.6</v>
      </c>
      <c r="IM40" s="280">
        <v>4.5</v>
      </c>
      <c r="IN40" s="280">
        <v>5.9</v>
      </c>
      <c r="IO40" s="280">
        <v>4.4000000000000004</v>
      </c>
      <c r="IP40" s="280">
        <v>3</v>
      </c>
      <c r="IQ40" s="280">
        <v>2.8</v>
      </c>
      <c r="IR40" s="280">
        <v>3.2</v>
      </c>
      <c r="IS40" s="280">
        <v>4.0999999999999996</v>
      </c>
      <c r="IT40" s="280">
        <v>3.4</v>
      </c>
      <c r="IU40" s="279" t="s">
        <v>46</v>
      </c>
      <c r="IV40" s="280">
        <v>13.2</v>
      </c>
      <c r="IW40" s="280">
        <v>11.5</v>
      </c>
      <c r="IX40" s="280">
        <v>13.2</v>
      </c>
      <c r="IY40" s="280">
        <v>14</v>
      </c>
      <c r="IZ40" s="280">
        <v>14.1</v>
      </c>
      <c r="JA40" s="280">
        <v>16.399999999999999</v>
      </c>
      <c r="JB40" s="280">
        <v>10.4</v>
      </c>
      <c r="JC40" s="280">
        <v>10.3</v>
      </c>
      <c r="JD40" s="280">
        <v>12.1</v>
      </c>
      <c r="JE40" s="280">
        <v>11.2</v>
      </c>
      <c r="JF40" s="279" t="s">
        <v>46</v>
      </c>
      <c r="JG40" s="280">
        <v>49.9</v>
      </c>
      <c r="JH40" s="280">
        <v>48.8</v>
      </c>
      <c r="JI40" s="280">
        <v>45.2</v>
      </c>
      <c r="JJ40" s="280">
        <v>42.5</v>
      </c>
      <c r="JK40" s="280">
        <v>56.6</v>
      </c>
      <c r="JL40" s="280">
        <v>49</v>
      </c>
      <c r="JM40" s="280">
        <v>42.6</v>
      </c>
      <c r="JN40" s="280">
        <v>54.5</v>
      </c>
      <c r="JO40" s="280">
        <v>53.1</v>
      </c>
      <c r="JP40" s="280">
        <v>52.3</v>
      </c>
      <c r="JQ40" s="279" t="s">
        <v>46</v>
      </c>
      <c r="JR40" s="280">
        <v>36.799999999999997</v>
      </c>
      <c r="JS40" s="280">
        <v>35.299999999999997</v>
      </c>
      <c r="JT40" s="280">
        <v>41.7</v>
      </c>
      <c r="JU40" s="280">
        <v>39.5</v>
      </c>
      <c r="JV40" s="280">
        <v>32.5</v>
      </c>
      <c r="JW40" s="280">
        <v>39.9</v>
      </c>
      <c r="JX40" s="280">
        <v>42.4</v>
      </c>
      <c r="JY40" s="280">
        <v>49.4</v>
      </c>
      <c r="JZ40" s="280">
        <v>34.700000000000003</v>
      </c>
      <c r="KA40" s="280">
        <v>39.6</v>
      </c>
      <c r="KB40" s="279" t="s">
        <v>46</v>
      </c>
      <c r="KC40" s="280">
        <v>59.8</v>
      </c>
      <c r="KD40" s="280">
        <v>57.2</v>
      </c>
      <c r="KE40" s="280">
        <v>57.7</v>
      </c>
      <c r="KF40" s="280">
        <v>55.2</v>
      </c>
      <c r="KG40" s="280">
        <v>50.9</v>
      </c>
      <c r="KH40" s="280">
        <v>58.5</v>
      </c>
      <c r="KI40" s="280">
        <v>56.9</v>
      </c>
      <c r="KJ40" s="280">
        <v>52.5</v>
      </c>
      <c r="KK40" s="280">
        <v>52.7</v>
      </c>
      <c r="KL40" s="280">
        <v>53.6</v>
      </c>
      <c r="KM40" s="279" t="s">
        <v>46</v>
      </c>
      <c r="KN40" s="280">
        <v>17.899999999999999</v>
      </c>
      <c r="KO40" s="280">
        <v>17.7</v>
      </c>
      <c r="KP40" s="280">
        <v>15</v>
      </c>
      <c r="KQ40" s="280">
        <v>11.7</v>
      </c>
      <c r="KR40" s="280">
        <v>12.8</v>
      </c>
      <c r="KS40" s="280">
        <v>12.4</v>
      </c>
      <c r="KT40" s="280">
        <v>14.5</v>
      </c>
      <c r="KU40" s="280">
        <v>13.3</v>
      </c>
      <c r="KV40" s="280">
        <v>17.100000000000001</v>
      </c>
      <c r="KW40" s="280">
        <v>14.5</v>
      </c>
      <c r="KX40" s="279" t="s">
        <v>46</v>
      </c>
      <c r="KY40" s="280">
        <v>19.8</v>
      </c>
      <c r="KZ40" s="280">
        <v>18.100000000000001</v>
      </c>
      <c r="LA40" s="280">
        <v>28</v>
      </c>
      <c r="LB40" s="280">
        <v>20.7</v>
      </c>
      <c r="LC40" s="280">
        <v>20.5</v>
      </c>
      <c r="LD40" s="280">
        <v>17.3</v>
      </c>
      <c r="LE40" s="280">
        <v>21.8</v>
      </c>
      <c r="LF40" s="280">
        <v>15.7</v>
      </c>
      <c r="LG40" s="280">
        <v>15.3</v>
      </c>
      <c r="LH40" s="280">
        <v>18.5</v>
      </c>
      <c r="LI40" s="279" t="s">
        <v>46</v>
      </c>
      <c r="LJ40" s="280">
        <v>9.5</v>
      </c>
      <c r="LK40" s="280">
        <v>10.5</v>
      </c>
      <c r="LL40" s="280">
        <v>11.1</v>
      </c>
      <c r="LM40" s="280">
        <v>8</v>
      </c>
      <c r="LN40" s="280">
        <v>7.9</v>
      </c>
      <c r="LO40" s="280">
        <v>10.5</v>
      </c>
      <c r="LP40" s="280">
        <v>16.100000000000001</v>
      </c>
      <c r="LQ40" s="280">
        <v>10.7</v>
      </c>
      <c r="LR40" s="280">
        <v>9.4</v>
      </c>
      <c r="LS40" s="280">
        <v>10</v>
      </c>
      <c r="LT40" s="279" t="s">
        <v>46</v>
      </c>
      <c r="LU40" s="280">
        <v>16.2</v>
      </c>
      <c r="LV40" s="280">
        <v>18.3</v>
      </c>
      <c r="LW40" s="280">
        <v>13.8</v>
      </c>
      <c r="LX40" s="280">
        <v>16.600000000000001</v>
      </c>
      <c r="LY40" s="280">
        <v>17.3</v>
      </c>
      <c r="LZ40" s="280">
        <v>19</v>
      </c>
      <c r="MA40" s="280">
        <v>22.4</v>
      </c>
      <c r="MB40" s="280">
        <v>19.2</v>
      </c>
      <c r="MC40" s="280">
        <v>19.2</v>
      </c>
      <c r="MD40" s="280">
        <v>24.1</v>
      </c>
      <c r="ME40" s="279" t="s">
        <v>46</v>
      </c>
      <c r="MF40" s="280">
        <v>34.4</v>
      </c>
      <c r="MG40" s="280">
        <v>35</v>
      </c>
      <c r="MH40" s="280">
        <v>29.2</v>
      </c>
      <c r="MI40" s="280">
        <v>31.7</v>
      </c>
      <c r="MJ40" s="280">
        <v>36.799999999999997</v>
      </c>
      <c r="MK40" s="280">
        <v>34.700000000000003</v>
      </c>
      <c r="ML40" s="280">
        <v>30.9</v>
      </c>
      <c r="MM40" s="280">
        <v>36</v>
      </c>
      <c r="MN40" s="280">
        <v>31.6</v>
      </c>
      <c r="MO40" s="280">
        <v>27.8</v>
      </c>
      <c r="MP40" s="279" t="s">
        <v>46</v>
      </c>
      <c r="MQ40" s="280">
        <v>12.8</v>
      </c>
      <c r="MR40" s="280">
        <v>16.899999999999999</v>
      </c>
      <c r="MS40" s="280">
        <v>22.8</v>
      </c>
      <c r="MT40" s="280">
        <v>20.3</v>
      </c>
      <c r="MU40" s="280">
        <v>14</v>
      </c>
      <c r="MV40" s="280">
        <v>15.3</v>
      </c>
      <c r="MW40" s="280">
        <v>18.3</v>
      </c>
      <c r="MX40" s="280">
        <v>12.3</v>
      </c>
      <c r="MY40" s="280">
        <v>14.5</v>
      </c>
      <c r="MZ40" s="280">
        <v>22.5</v>
      </c>
      <c r="NA40" s="279" t="s">
        <v>46</v>
      </c>
      <c r="NB40" s="280">
        <v>28.4</v>
      </c>
      <c r="NC40" s="280">
        <v>31.7</v>
      </c>
      <c r="ND40" s="280">
        <v>25.4</v>
      </c>
      <c r="NE40" s="280">
        <v>26.2</v>
      </c>
      <c r="NF40" s="280">
        <v>22.9</v>
      </c>
      <c r="NG40" s="280">
        <v>27.6</v>
      </c>
      <c r="NH40" s="280">
        <v>26.4</v>
      </c>
      <c r="NI40" s="280">
        <v>30.1</v>
      </c>
      <c r="NJ40" s="280">
        <v>20.6</v>
      </c>
      <c r="NK40" s="280">
        <v>21.8</v>
      </c>
      <c r="NL40" s="279" t="s">
        <v>46</v>
      </c>
      <c r="NM40" s="280">
        <v>83.9</v>
      </c>
      <c r="NN40" s="280">
        <v>78.7</v>
      </c>
      <c r="NO40" s="280">
        <v>74.599999999999994</v>
      </c>
      <c r="NP40" s="280">
        <v>87.3</v>
      </c>
      <c r="NQ40" s="280">
        <v>89.7</v>
      </c>
      <c r="NR40" s="280">
        <v>84.1</v>
      </c>
      <c r="NS40" s="280">
        <v>70.8</v>
      </c>
      <c r="NT40" s="280">
        <v>88.1</v>
      </c>
      <c r="NU40" s="280">
        <v>85</v>
      </c>
      <c r="NV40" s="280">
        <v>85</v>
      </c>
      <c r="NW40" s="279" t="s">
        <v>46</v>
      </c>
      <c r="NX40" s="280">
        <v>84.3</v>
      </c>
      <c r="NY40" s="280">
        <v>86.8</v>
      </c>
      <c r="NZ40" s="280">
        <v>91.8</v>
      </c>
      <c r="OA40" s="280">
        <v>101.4</v>
      </c>
      <c r="OB40" s="280">
        <v>84.2</v>
      </c>
      <c r="OC40" s="280">
        <v>75.400000000000006</v>
      </c>
      <c r="OD40" s="280">
        <v>73.599999999999994</v>
      </c>
      <c r="OE40" s="280">
        <v>85.6</v>
      </c>
      <c r="OF40" s="280">
        <v>99.7</v>
      </c>
      <c r="OG40" s="280">
        <v>90.4</v>
      </c>
      <c r="OH40" s="296" t="s">
        <v>46</v>
      </c>
      <c r="OI40" s="297">
        <v>4.9000000000000004</v>
      </c>
      <c r="OJ40" s="297">
        <v>4.0999999999999996</v>
      </c>
      <c r="OK40" s="297">
        <v>4.4000000000000004</v>
      </c>
      <c r="OL40" s="297">
        <v>4.2</v>
      </c>
      <c r="OM40" s="297">
        <v>4.9000000000000004</v>
      </c>
      <c r="ON40" s="297">
        <v>4.7</v>
      </c>
      <c r="OO40" s="297">
        <v>5.0999999999999996</v>
      </c>
      <c r="OP40" s="297">
        <v>4.3</v>
      </c>
      <c r="OQ40" s="297">
        <v>4.9000000000000004</v>
      </c>
      <c r="OR40" s="297">
        <v>4.4000000000000004</v>
      </c>
      <c r="OS40" s="279" t="s">
        <v>46</v>
      </c>
      <c r="OT40" s="280">
        <v>0.3</v>
      </c>
      <c r="OU40" s="280">
        <v>0.6</v>
      </c>
      <c r="OV40" s="280">
        <v>0.4</v>
      </c>
      <c r="OW40" s="280">
        <v>0.7</v>
      </c>
      <c r="OX40" s="280">
        <v>0.2</v>
      </c>
      <c r="OY40" s="280">
        <v>0.5</v>
      </c>
      <c r="OZ40" s="280">
        <v>0.4</v>
      </c>
      <c r="PA40" s="280">
        <v>0.6</v>
      </c>
      <c r="PB40" s="280">
        <v>0.3</v>
      </c>
      <c r="PC40" s="280">
        <v>0.3</v>
      </c>
    </row>
    <row r="41" spans="1:419">
      <c r="A41" s="269">
        <v>32</v>
      </c>
      <c r="B41" s="285" t="s">
        <v>47</v>
      </c>
      <c r="C41" s="286">
        <v>10.6</v>
      </c>
      <c r="D41" s="286">
        <v>13.9</v>
      </c>
      <c r="E41" s="286">
        <v>14.3</v>
      </c>
      <c r="F41" s="286">
        <v>13.4</v>
      </c>
      <c r="G41" s="286">
        <v>11.6</v>
      </c>
      <c r="H41" s="286">
        <v>14.8</v>
      </c>
      <c r="I41" s="286">
        <v>13.6</v>
      </c>
      <c r="J41" s="286">
        <v>12.8</v>
      </c>
      <c r="K41" s="286">
        <v>10.7</v>
      </c>
      <c r="L41" s="286">
        <v>13.7</v>
      </c>
      <c r="M41" s="285" t="s">
        <v>47</v>
      </c>
      <c r="N41" s="286">
        <v>1826.8</v>
      </c>
      <c r="O41" s="286">
        <v>2488.3000000000002</v>
      </c>
      <c r="P41" s="286">
        <v>2555.3000000000002</v>
      </c>
      <c r="Q41" s="286">
        <v>2440.6999999999998</v>
      </c>
      <c r="R41" s="286">
        <v>2064.4</v>
      </c>
      <c r="S41" s="286">
        <v>2767.3</v>
      </c>
      <c r="T41" s="286">
        <v>2474</v>
      </c>
      <c r="U41" s="286">
        <v>2353.5</v>
      </c>
      <c r="V41" s="286">
        <v>1931.8</v>
      </c>
      <c r="W41" s="286">
        <v>2601.6</v>
      </c>
      <c r="X41" s="285" t="s">
        <v>47</v>
      </c>
      <c r="Y41" s="286">
        <v>426.7</v>
      </c>
      <c r="Z41" s="286">
        <v>553.4</v>
      </c>
      <c r="AA41" s="286">
        <v>573.79999999999995</v>
      </c>
      <c r="AB41" s="286">
        <v>552.79999999999995</v>
      </c>
      <c r="AC41" s="286">
        <v>475.1</v>
      </c>
      <c r="AD41" s="286">
        <v>598.1</v>
      </c>
      <c r="AE41" s="286">
        <v>618.6</v>
      </c>
      <c r="AF41" s="286">
        <v>650.4</v>
      </c>
      <c r="AG41" s="286">
        <v>533.20000000000005</v>
      </c>
      <c r="AH41" s="286">
        <v>633.4</v>
      </c>
      <c r="AI41" s="279" t="s">
        <v>47</v>
      </c>
      <c r="AJ41" s="280">
        <v>371.4</v>
      </c>
      <c r="AK41" s="280">
        <v>582.6</v>
      </c>
      <c r="AL41" s="280">
        <v>819.5</v>
      </c>
      <c r="AM41" s="280">
        <v>519.20000000000005</v>
      </c>
      <c r="AN41" s="280">
        <v>351.2</v>
      </c>
      <c r="AO41" s="280">
        <v>620.29999999999995</v>
      </c>
      <c r="AP41" s="280">
        <v>771.2</v>
      </c>
      <c r="AQ41" s="280">
        <v>555.5</v>
      </c>
      <c r="AR41" s="280">
        <v>332.2</v>
      </c>
      <c r="AS41" s="280">
        <v>569</v>
      </c>
      <c r="AT41" s="279" t="s">
        <v>47</v>
      </c>
      <c r="AU41" s="280">
        <v>401</v>
      </c>
      <c r="AV41" s="280">
        <v>666.6</v>
      </c>
      <c r="AW41" s="280">
        <v>791.4</v>
      </c>
      <c r="AX41" s="280">
        <v>624</v>
      </c>
      <c r="AY41" s="280">
        <v>546.1</v>
      </c>
      <c r="AZ41" s="280">
        <v>743.1</v>
      </c>
      <c r="BA41" s="280">
        <v>684.5</v>
      </c>
      <c r="BB41" s="280">
        <v>470.2</v>
      </c>
      <c r="BC41" s="280">
        <v>439.1</v>
      </c>
      <c r="BD41" s="280">
        <v>770.3</v>
      </c>
      <c r="BE41" s="279" t="s">
        <v>47</v>
      </c>
      <c r="BF41" s="280">
        <v>522.9</v>
      </c>
      <c r="BG41" s="280">
        <v>585.6</v>
      </c>
      <c r="BH41" s="280">
        <v>271.3</v>
      </c>
      <c r="BI41" s="280">
        <v>647.79999999999995</v>
      </c>
      <c r="BJ41" s="280">
        <v>585.5</v>
      </c>
      <c r="BK41" s="280">
        <v>676.2</v>
      </c>
      <c r="BL41" s="280">
        <v>295.5</v>
      </c>
      <c r="BM41" s="280">
        <v>575.6</v>
      </c>
      <c r="BN41" s="280">
        <v>529.70000000000005</v>
      </c>
      <c r="BO41" s="280">
        <v>542.70000000000005</v>
      </c>
      <c r="BP41" s="282" t="s">
        <v>47</v>
      </c>
      <c r="BQ41" s="283">
        <v>44.3</v>
      </c>
      <c r="BR41" s="283">
        <v>33.9</v>
      </c>
      <c r="BS41" s="283">
        <v>29.200000000000003</v>
      </c>
      <c r="BT41" s="283">
        <v>31.5</v>
      </c>
      <c r="BU41" s="283">
        <v>41.1</v>
      </c>
      <c r="BV41" s="283">
        <v>40.799999999999997</v>
      </c>
      <c r="BW41" s="283">
        <v>28</v>
      </c>
      <c r="BX41" s="283">
        <v>33</v>
      </c>
      <c r="BY41" s="283">
        <v>30.2</v>
      </c>
      <c r="BZ41" s="283">
        <v>25</v>
      </c>
      <c r="CA41" s="282" t="s">
        <v>47</v>
      </c>
      <c r="CB41" s="283">
        <v>60.5</v>
      </c>
      <c r="CC41" s="283">
        <v>66.099999999999994</v>
      </c>
      <c r="CD41" s="283">
        <v>70</v>
      </c>
      <c r="CE41" s="283">
        <v>65.5</v>
      </c>
      <c r="CF41" s="283">
        <v>65.5</v>
      </c>
      <c r="CG41" s="283">
        <v>88.8</v>
      </c>
      <c r="CH41" s="283">
        <v>76.2</v>
      </c>
      <c r="CI41" s="283">
        <v>69</v>
      </c>
      <c r="CJ41" s="283">
        <v>67.400000000000006</v>
      </c>
      <c r="CK41" s="283">
        <v>61.2</v>
      </c>
      <c r="CL41" s="285" t="s">
        <v>47</v>
      </c>
      <c r="CM41" s="286">
        <v>1444.6</v>
      </c>
      <c r="CN41" s="286">
        <v>2006.6</v>
      </c>
      <c r="CO41" s="286">
        <v>2028.4</v>
      </c>
      <c r="CP41" s="286">
        <v>1916.1</v>
      </c>
      <c r="CQ41" s="286">
        <v>1601.7</v>
      </c>
      <c r="CR41" s="286">
        <v>2166.1</v>
      </c>
      <c r="CS41" s="286">
        <v>1899.8</v>
      </c>
      <c r="CT41" s="286">
        <v>1816.9</v>
      </c>
      <c r="CU41" s="286">
        <v>1426.6</v>
      </c>
      <c r="CV41" s="286">
        <v>2010</v>
      </c>
      <c r="CW41" s="285" t="s">
        <v>47</v>
      </c>
      <c r="CX41" s="286">
        <v>244.7</v>
      </c>
      <c r="CY41" s="286">
        <v>312.60000000000002</v>
      </c>
      <c r="CZ41" s="286">
        <v>401.5</v>
      </c>
      <c r="DA41" s="286">
        <v>325</v>
      </c>
      <c r="DB41" s="286">
        <v>287.5</v>
      </c>
      <c r="DC41" s="286">
        <v>412.2</v>
      </c>
      <c r="DD41" s="286">
        <v>424.7</v>
      </c>
      <c r="DE41" s="286">
        <v>343.9</v>
      </c>
      <c r="DF41" s="286">
        <v>304.8</v>
      </c>
      <c r="DG41" s="286">
        <v>395.5</v>
      </c>
      <c r="DH41" s="285" t="s">
        <v>47</v>
      </c>
      <c r="DI41" s="286">
        <v>137.5</v>
      </c>
      <c r="DJ41" s="286">
        <v>169.1</v>
      </c>
      <c r="DK41" s="286">
        <v>125.4</v>
      </c>
      <c r="DL41" s="286">
        <v>199.5</v>
      </c>
      <c r="DM41" s="286">
        <v>175.2</v>
      </c>
      <c r="DN41" s="286">
        <v>189.1</v>
      </c>
      <c r="DO41" s="286">
        <v>149.5</v>
      </c>
      <c r="DP41" s="286">
        <v>192.7</v>
      </c>
      <c r="DQ41" s="286">
        <v>200.5</v>
      </c>
      <c r="DR41" s="286">
        <v>196.1</v>
      </c>
      <c r="DS41" s="285" t="s">
        <v>47</v>
      </c>
      <c r="DT41" s="286"/>
      <c r="DU41" s="286"/>
      <c r="DV41" s="286"/>
      <c r="DW41" s="287"/>
      <c r="DX41" s="286"/>
      <c r="DY41" s="286"/>
      <c r="DZ41" s="286"/>
      <c r="EA41" s="287"/>
      <c r="EB41" s="287"/>
      <c r="EC41" s="287"/>
      <c r="ED41" s="279" t="s">
        <v>47</v>
      </c>
      <c r="EE41" s="280">
        <v>36.5</v>
      </c>
      <c r="EF41" s="280">
        <v>42.2</v>
      </c>
      <c r="EG41" s="280">
        <v>42.6</v>
      </c>
      <c r="EH41" s="280">
        <v>36.700000000000003</v>
      </c>
      <c r="EI41" s="280">
        <v>33</v>
      </c>
      <c r="EJ41" s="280">
        <v>40.200000000000003</v>
      </c>
      <c r="EK41" s="280">
        <v>47</v>
      </c>
      <c r="EL41" s="280">
        <v>42.8</v>
      </c>
      <c r="EM41" s="280">
        <v>27.5</v>
      </c>
      <c r="EN41" s="280">
        <v>31.1</v>
      </c>
      <c r="EO41" s="279" t="s">
        <v>47</v>
      </c>
      <c r="EP41" s="280">
        <v>113.5</v>
      </c>
      <c r="EQ41" s="280">
        <v>98.2</v>
      </c>
      <c r="ER41" s="280">
        <v>48.2</v>
      </c>
      <c r="ES41" s="280">
        <v>129.1</v>
      </c>
      <c r="ET41" s="280">
        <v>121</v>
      </c>
      <c r="EU41" s="280">
        <v>122.7</v>
      </c>
      <c r="EV41" s="280">
        <v>62</v>
      </c>
      <c r="EW41" s="280">
        <v>144</v>
      </c>
      <c r="EX41" s="280">
        <v>166.7</v>
      </c>
      <c r="EY41" s="280">
        <v>129.6</v>
      </c>
      <c r="EZ41" s="279" t="s">
        <v>47</v>
      </c>
      <c r="FA41" s="280">
        <v>45.9</v>
      </c>
      <c r="FB41" s="280">
        <v>61.4</v>
      </c>
      <c r="FC41" s="280">
        <v>48.6</v>
      </c>
      <c r="FD41" s="280">
        <v>65.3</v>
      </c>
      <c r="FE41" s="280">
        <v>50.4</v>
      </c>
      <c r="FF41" s="280">
        <v>62.4</v>
      </c>
      <c r="FG41" s="280">
        <v>50.1</v>
      </c>
      <c r="FH41" s="280">
        <v>58.9</v>
      </c>
      <c r="FI41" s="280">
        <v>68.599999999999994</v>
      </c>
      <c r="FJ41" s="280">
        <v>64.2</v>
      </c>
      <c r="FK41" s="279" t="s">
        <v>47</v>
      </c>
      <c r="FL41" s="280">
        <v>83</v>
      </c>
      <c r="FM41" s="280">
        <v>85.8</v>
      </c>
      <c r="FN41" s="280">
        <v>63.6</v>
      </c>
      <c r="FO41" s="280">
        <v>86.9</v>
      </c>
      <c r="FP41" s="280">
        <v>126.3</v>
      </c>
      <c r="FQ41" s="280">
        <v>139.4</v>
      </c>
      <c r="FR41" s="280">
        <v>78.599999999999994</v>
      </c>
      <c r="FS41" s="280">
        <v>92.4</v>
      </c>
      <c r="FT41" s="280">
        <v>100.4</v>
      </c>
      <c r="FU41" s="280">
        <v>106.4</v>
      </c>
      <c r="FV41" s="279" t="s">
        <v>47</v>
      </c>
      <c r="FW41" s="280">
        <v>249.8</v>
      </c>
      <c r="FX41" s="280">
        <v>319.5</v>
      </c>
      <c r="FY41" s="280">
        <v>343.6</v>
      </c>
      <c r="FZ41" s="280">
        <v>283.7</v>
      </c>
      <c r="GA41" s="280">
        <v>297.8</v>
      </c>
      <c r="GB41" s="280">
        <v>363.9</v>
      </c>
      <c r="GC41" s="280">
        <v>361.6</v>
      </c>
      <c r="GD41" s="280">
        <v>274.8</v>
      </c>
      <c r="GE41" s="280">
        <v>282.60000000000002</v>
      </c>
      <c r="GF41" s="280">
        <v>344.7</v>
      </c>
      <c r="GG41" s="279" t="s">
        <v>47</v>
      </c>
      <c r="GH41" s="280">
        <v>44</v>
      </c>
      <c r="GI41" s="280">
        <v>105.1</v>
      </c>
      <c r="GJ41" s="280">
        <v>114.9</v>
      </c>
      <c r="GK41" s="280">
        <v>67.5</v>
      </c>
      <c r="GL41" s="280">
        <v>49.1</v>
      </c>
      <c r="GM41" s="280">
        <v>83.8</v>
      </c>
      <c r="GN41" s="280">
        <v>89</v>
      </c>
      <c r="GO41" s="280">
        <v>51.9</v>
      </c>
      <c r="GP41" s="280">
        <v>46.3</v>
      </c>
      <c r="GQ41" s="280">
        <v>82.8</v>
      </c>
      <c r="GR41" s="279" t="s">
        <v>47</v>
      </c>
      <c r="GS41" s="280">
        <v>521.4</v>
      </c>
      <c r="GT41" s="280">
        <v>675.4</v>
      </c>
      <c r="GU41" s="280">
        <v>665.9</v>
      </c>
      <c r="GV41" s="280">
        <v>651</v>
      </c>
      <c r="GW41" s="280">
        <v>541.79999999999995</v>
      </c>
      <c r="GX41" s="280">
        <v>728.1</v>
      </c>
      <c r="GY41" s="280">
        <v>652.5</v>
      </c>
      <c r="GZ41" s="280">
        <v>662.2</v>
      </c>
      <c r="HA41" s="280">
        <v>517</v>
      </c>
      <c r="HB41" s="280">
        <v>710.5</v>
      </c>
      <c r="HC41" s="279" t="s">
        <v>47</v>
      </c>
      <c r="HD41" s="280">
        <v>106.3</v>
      </c>
      <c r="HE41" s="280">
        <v>155.69999999999999</v>
      </c>
      <c r="HF41" s="280">
        <v>151.1</v>
      </c>
      <c r="HG41" s="280">
        <v>163.80000000000001</v>
      </c>
      <c r="HH41" s="280">
        <v>131.4</v>
      </c>
      <c r="HI41" s="280">
        <v>167.2</v>
      </c>
      <c r="HJ41" s="280">
        <v>150.69999999999999</v>
      </c>
      <c r="HK41" s="280">
        <v>173.5</v>
      </c>
      <c r="HL41" s="280">
        <v>143.80000000000001</v>
      </c>
      <c r="HM41" s="280">
        <v>169.3</v>
      </c>
      <c r="HN41" s="279" t="s">
        <v>47</v>
      </c>
      <c r="HO41" s="280">
        <v>626.4</v>
      </c>
      <c r="HP41" s="280">
        <v>944.8</v>
      </c>
      <c r="HQ41" s="280">
        <v>1076.9000000000001</v>
      </c>
      <c r="HR41" s="280">
        <v>956.7</v>
      </c>
      <c r="HS41" s="280">
        <v>713.7</v>
      </c>
      <c r="HT41" s="280">
        <v>1059.5999999999999</v>
      </c>
      <c r="HU41" s="280">
        <v>982.5</v>
      </c>
      <c r="HV41" s="280">
        <v>853</v>
      </c>
      <c r="HW41" s="280">
        <v>579</v>
      </c>
      <c r="HX41" s="280">
        <v>963</v>
      </c>
      <c r="HY41" s="279" t="s">
        <v>47</v>
      </c>
      <c r="HZ41" s="281"/>
      <c r="IA41" s="281"/>
      <c r="IB41" s="281"/>
      <c r="IC41" s="281"/>
      <c r="ID41" s="281"/>
      <c r="IE41" s="281"/>
      <c r="IF41" s="281"/>
      <c r="IG41" s="281"/>
      <c r="IH41" s="281"/>
      <c r="II41" s="281"/>
      <c r="IJ41" s="279" t="s">
        <v>47</v>
      </c>
      <c r="IK41" s="281"/>
      <c r="IL41" s="281"/>
      <c r="IM41" s="281"/>
      <c r="IN41" s="281"/>
      <c r="IO41" s="281"/>
      <c r="IP41" s="281"/>
      <c r="IQ41" s="281"/>
      <c r="IR41" s="281"/>
      <c r="IS41" s="281"/>
      <c r="IT41" s="281"/>
      <c r="IU41" s="279" t="s">
        <v>47</v>
      </c>
      <c r="IV41" s="280">
        <v>225.5</v>
      </c>
      <c r="IW41" s="280">
        <v>474.8</v>
      </c>
      <c r="IX41" s="280">
        <v>640.9</v>
      </c>
      <c r="IY41" s="280">
        <v>451.2</v>
      </c>
      <c r="IZ41" s="281">
        <v>247.6</v>
      </c>
      <c r="JA41" s="281">
        <v>470.7</v>
      </c>
      <c r="JB41" s="280">
        <v>525.20000000000005</v>
      </c>
      <c r="JC41" s="281">
        <v>353.6</v>
      </c>
      <c r="JD41" s="281">
        <v>210.4</v>
      </c>
      <c r="JE41" s="280">
        <v>415.7</v>
      </c>
      <c r="JF41" s="279" t="s">
        <v>47</v>
      </c>
      <c r="JG41" s="280">
        <v>191.2</v>
      </c>
      <c r="JH41" s="280">
        <v>238.4</v>
      </c>
      <c r="JI41" s="280">
        <v>197.4</v>
      </c>
      <c r="JJ41" s="280">
        <v>210.7</v>
      </c>
      <c r="JK41" s="280">
        <v>198.5</v>
      </c>
      <c r="JL41" s="280">
        <v>251</v>
      </c>
      <c r="JM41" s="280">
        <v>245.8</v>
      </c>
      <c r="JN41" s="280">
        <v>263.3</v>
      </c>
      <c r="JO41" s="280">
        <v>230.9</v>
      </c>
      <c r="JP41" s="280">
        <v>261.7</v>
      </c>
      <c r="JQ41" s="279" t="s">
        <v>47</v>
      </c>
      <c r="JR41" s="280">
        <v>636.29999999999995</v>
      </c>
      <c r="JS41" s="280">
        <v>837.2</v>
      </c>
      <c r="JT41" s="280">
        <v>880.5</v>
      </c>
      <c r="JU41" s="280">
        <v>840</v>
      </c>
      <c r="JV41" s="280">
        <v>654.1</v>
      </c>
      <c r="JW41" s="280">
        <v>931.5</v>
      </c>
      <c r="JX41" s="280">
        <v>852.6</v>
      </c>
      <c r="JY41" s="280">
        <v>829.5</v>
      </c>
      <c r="JZ41" s="280">
        <v>617.1</v>
      </c>
      <c r="KA41" s="280">
        <v>882</v>
      </c>
      <c r="KB41" s="279" t="s">
        <v>47</v>
      </c>
      <c r="KC41" s="280">
        <v>96.5</v>
      </c>
      <c r="KD41" s="280">
        <v>120.8</v>
      </c>
      <c r="KE41" s="280">
        <v>154.69999999999999</v>
      </c>
      <c r="KF41" s="280">
        <v>121.2</v>
      </c>
      <c r="KG41" s="280">
        <v>83.5</v>
      </c>
      <c r="KH41" s="280">
        <v>132.19999999999999</v>
      </c>
      <c r="KI41" s="280">
        <v>146.4</v>
      </c>
      <c r="KJ41" s="280">
        <v>107.2</v>
      </c>
      <c r="KK41" s="280">
        <v>130</v>
      </c>
      <c r="KL41" s="280">
        <v>125.8</v>
      </c>
      <c r="KM41" s="279" t="s">
        <v>47</v>
      </c>
      <c r="KN41" s="280">
        <v>79.400000000000006</v>
      </c>
      <c r="KO41" s="280">
        <v>76.7</v>
      </c>
      <c r="KP41" s="280">
        <v>87.4</v>
      </c>
      <c r="KQ41" s="280">
        <v>88.3</v>
      </c>
      <c r="KR41" s="280">
        <v>90.6</v>
      </c>
      <c r="KS41" s="280">
        <v>90.2</v>
      </c>
      <c r="KT41" s="280">
        <v>74.8</v>
      </c>
      <c r="KU41" s="280">
        <v>95.6</v>
      </c>
      <c r="KV41" s="280">
        <v>85</v>
      </c>
      <c r="KW41" s="280">
        <v>82.3</v>
      </c>
      <c r="KX41" s="279" t="s">
        <v>47</v>
      </c>
      <c r="KY41" s="280">
        <v>107.2</v>
      </c>
      <c r="KZ41" s="280">
        <v>179.9</v>
      </c>
      <c r="LA41" s="280">
        <v>226.6</v>
      </c>
      <c r="LB41" s="280">
        <v>125</v>
      </c>
      <c r="LC41" s="280">
        <v>112.7</v>
      </c>
      <c r="LD41" s="280">
        <v>173.9</v>
      </c>
      <c r="LE41" s="280">
        <v>205.8</v>
      </c>
      <c r="LF41" s="280">
        <v>128.4</v>
      </c>
      <c r="LG41" s="280">
        <v>108.7</v>
      </c>
      <c r="LH41" s="280">
        <v>211.1</v>
      </c>
      <c r="LI41" s="279" t="s">
        <v>47</v>
      </c>
      <c r="LJ41" s="280">
        <v>5.3</v>
      </c>
      <c r="LK41" s="280">
        <v>7.6</v>
      </c>
      <c r="LL41" s="280">
        <v>11.8</v>
      </c>
      <c r="LM41" s="280">
        <v>4.2</v>
      </c>
      <c r="LN41" s="280">
        <v>10.1</v>
      </c>
      <c r="LO41" s="280">
        <v>6.1</v>
      </c>
      <c r="LP41" s="280">
        <v>14.9</v>
      </c>
      <c r="LQ41" s="280">
        <v>11.2</v>
      </c>
      <c r="LR41" s="280">
        <v>14.9</v>
      </c>
      <c r="LS41" s="280">
        <v>7.3</v>
      </c>
      <c r="LT41" s="279" t="s">
        <v>47</v>
      </c>
      <c r="LU41" s="280">
        <v>6.1</v>
      </c>
      <c r="LV41" s="280">
        <v>6</v>
      </c>
      <c r="LW41" s="280">
        <v>4.9000000000000004</v>
      </c>
      <c r="LX41" s="280">
        <v>5.3</v>
      </c>
      <c r="LY41" s="280">
        <v>6.7</v>
      </c>
      <c r="LZ41" s="280">
        <v>7.7</v>
      </c>
      <c r="MA41" s="280">
        <v>2.9</v>
      </c>
      <c r="MB41" s="280">
        <v>8.8000000000000007</v>
      </c>
      <c r="MC41" s="280">
        <v>8</v>
      </c>
      <c r="MD41" s="280">
        <v>8</v>
      </c>
      <c r="ME41" s="279" t="s">
        <v>47</v>
      </c>
      <c r="MF41" s="280">
        <v>34.700000000000003</v>
      </c>
      <c r="MG41" s="280">
        <v>26</v>
      </c>
      <c r="MH41" s="280">
        <v>20.399999999999999</v>
      </c>
      <c r="MI41" s="280">
        <v>31.1</v>
      </c>
      <c r="MJ41" s="280">
        <v>34.799999999999997</v>
      </c>
      <c r="MK41" s="280">
        <v>46.5</v>
      </c>
      <c r="ML41" s="280">
        <v>25.6</v>
      </c>
      <c r="MM41" s="280">
        <v>28</v>
      </c>
      <c r="MN41" s="280">
        <v>30.6</v>
      </c>
      <c r="MO41" s="280">
        <v>29.7</v>
      </c>
      <c r="MP41" s="279" t="s">
        <v>47</v>
      </c>
      <c r="MQ41" s="280">
        <v>64.099999999999994</v>
      </c>
      <c r="MR41" s="280">
        <v>102.7</v>
      </c>
      <c r="MS41" s="280">
        <v>93.8</v>
      </c>
      <c r="MT41" s="280">
        <v>82.6</v>
      </c>
      <c r="MU41" s="280">
        <v>84.5</v>
      </c>
      <c r="MV41" s="280">
        <v>98.8</v>
      </c>
      <c r="MW41" s="280">
        <v>81.7</v>
      </c>
      <c r="MX41" s="280">
        <v>88.1</v>
      </c>
      <c r="MY41" s="280">
        <v>72.7</v>
      </c>
      <c r="MZ41" s="280">
        <v>103.3</v>
      </c>
      <c r="NA41" s="279" t="s">
        <v>47</v>
      </c>
      <c r="NB41" s="280">
        <v>82.6</v>
      </c>
      <c r="NC41" s="280">
        <v>96.6</v>
      </c>
      <c r="ND41" s="280">
        <v>79.2</v>
      </c>
      <c r="NE41" s="280">
        <v>108</v>
      </c>
      <c r="NF41" s="280">
        <v>132.4</v>
      </c>
      <c r="NG41" s="280">
        <v>120.1</v>
      </c>
      <c r="NH41" s="280">
        <v>91.1</v>
      </c>
      <c r="NI41" s="280">
        <v>82.1</v>
      </c>
      <c r="NJ41" s="280">
        <v>67.599999999999994</v>
      </c>
      <c r="NK41" s="280">
        <v>122.1</v>
      </c>
      <c r="NL41" s="279" t="s">
        <v>47</v>
      </c>
      <c r="NM41" s="280">
        <v>154.80000000000001</v>
      </c>
      <c r="NN41" s="280">
        <v>155.4</v>
      </c>
      <c r="NO41" s="280">
        <v>39.299999999999997</v>
      </c>
      <c r="NP41" s="280">
        <v>189.6</v>
      </c>
      <c r="NQ41" s="280">
        <v>238.2</v>
      </c>
      <c r="NR41" s="280">
        <v>236.4</v>
      </c>
      <c r="NS41" s="280">
        <v>55</v>
      </c>
      <c r="NT41" s="280">
        <v>196</v>
      </c>
      <c r="NU41" s="280">
        <v>214.6</v>
      </c>
      <c r="NV41" s="280">
        <v>163.5</v>
      </c>
      <c r="NW41" s="279" t="s">
        <v>47</v>
      </c>
      <c r="NX41" s="280">
        <v>47.8</v>
      </c>
      <c r="NY41" s="280">
        <v>43.7</v>
      </c>
      <c r="NZ41" s="280">
        <v>17.600000000000001</v>
      </c>
      <c r="OA41" s="280">
        <v>62.4</v>
      </c>
      <c r="OB41" s="280">
        <v>75.3</v>
      </c>
      <c r="OC41" s="280">
        <v>76.400000000000006</v>
      </c>
      <c r="OD41" s="280">
        <v>42.5</v>
      </c>
      <c r="OE41" s="280">
        <v>50.8</v>
      </c>
      <c r="OF41" s="280">
        <v>60.1</v>
      </c>
      <c r="OG41" s="280">
        <v>57.1</v>
      </c>
      <c r="OH41" s="296" t="s">
        <v>47</v>
      </c>
      <c r="OI41" s="297">
        <v>10</v>
      </c>
      <c r="OJ41" s="297">
        <v>10.7</v>
      </c>
      <c r="OK41" s="297">
        <v>11.2</v>
      </c>
      <c r="OL41" s="297">
        <v>9.3000000000000007</v>
      </c>
      <c r="OM41" s="297">
        <v>10.1</v>
      </c>
      <c r="ON41" s="297">
        <v>10.5</v>
      </c>
      <c r="OO41" s="297">
        <v>10.9</v>
      </c>
      <c r="OP41" s="297">
        <v>9.4</v>
      </c>
      <c r="OQ41" s="297">
        <v>11.2</v>
      </c>
      <c r="OR41" s="297">
        <v>12</v>
      </c>
      <c r="OS41" s="270" t="s">
        <v>47</v>
      </c>
      <c r="OT41" s="270"/>
      <c r="OU41" s="270"/>
      <c r="OV41" s="270"/>
      <c r="OW41" s="270"/>
      <c r="OX41" s="270"/>
      <c r="OY41" s="270"/>
      <c r="OZ41" s="270"/>
      <c r="PA41" s="270"/>
      <c r="PB41" s="270"/>
      <c r="PC41" s="270"/>
    </row>
    <row r="42" spans="1:419">
      <c r="A42" s="269">
        <v>33</v>
      </c>
      <c r="B42" s="285" t="s">
        <v>43</v>
      </c>
      <c r="C42" s="286">
        <v>6</v>
      </c>
      <c r="D42" s="286">
        <v>6</v>
      </c>
      <c r="E42" s="286">
        <v>6.2</v>
      </c>
      <c r="F42" s="286">
        <v>6</v>
      </c>
      <c r="G42" s="286">
        <v>5.9</v>
      </c>
      <c r="H42" s="286">
        <v>6</v>
      </c>
      <c r="I42" s="286">
        <v>6</v>
      </c>
      <c r="J42" s="286">
        <v>6</v>
      </c>
      <c r="K42" s="286">
        <v>5.6</v>
      </c>
      <c r="L42" s="286">
        <v>5.6</v>
      </c>
      <c r="M42" s="285" t="s">
        <v>43</v>
      </c>
      <c r="N42" s="286">
        <v>1539.9</v>
      </c>
      <c r="O42" s="286">
        <v>1534.4</v>
      </c>
      <c r="P42" s="286">
        <v>1601.2</v>
      </c>
      <c r="Q42" s="286">
        <v>1568.4</v>
      </c>
      <c r="R42" s="286">
        <v>1516.9</v>
      </c>
      <c r="S42" s="286">
        <v>1554.4</v>
      </c>
      <c r="T42" s="286">
        <v>1557.8</v>
      </c>
      <c r="U42" s="286">
        <v>1553.4</v>
      </c>
      <c r="V42" s="286">
        <v>1456</v>
      </c>
      <c r="W42" s="286">
        <v>1475.3</v>
      </c>
      <c r="X42" s="285" t="s">
        <v>43</v>
      </c>
      <c r="Y42" s="286">
        <v>25.9</v>
      </c>
      <c r="Z42" s="286">
        <v>29.3</v>
      </c>
      <c r="AA42" s="286">
        <v>47.8</v>
      </c>
      <c r="AB42" s="286">
        <v>23.7</v>
      </c>
      <c r="AC42" s="286">
        <v>26</v>
      </c>
      <c r="AD42" s="286">
        <v>34.4</v>
      </c>
      <c r="AE42" s="286">
        <v>32.9</v>
      </c>
      <c r="AF42" s="286">
        <v>32.1</v>
      </c>
      <c r="AG42" s="286">
        <v>25.7</v>
      </c>
      <c r="AH42" s="286">
        <v>30.7</v>
      </c>
      <c r="AI42" s="279" t="s">
        <v>43</v>
      </c>
      <c r="AJ42" s="280">
        <v>45</v>
      </c>
      <c r="AK42" s="280">
        <v>48.4</v>
      </c>
      <c r="AL42" s="280">
        <v>98.6</v>
      </c>
      <c r="AM42" s="280">
        <v>95.2</v>
      </c>
      <c r="AN42" s="280">
        <v>44.1</v>
      </c>
      <c r="AO42" s="280">
        <v>56.9</v>
      </c>
      <c r="AP42" s="280">
        <v>98.7</v>
      </c>
      <c r="AQ42" s="280">
        <v>74.7</v>
      </c>
      <c r="AR42" s="280">
        <v>50.3</v>
      </c>
      <c r="AS42" s="280">
        <v>61.4</v>
      </c>
      <c r="AT42" s="279" t="s">
        <v>43</v>
      </c>
      <c r="AU42" s="280">
        <v>103.8</v>
      </c>
      <c r="AV42" s="280">
        <v>114.5</v>
      </c>
      <c r="AW42" s="280">
        <v>123</v>
      </c>
      <c r="AX42" s="280">
        <v>116.2</v>
      </c>
      <c r="AY42" s="280">
        <v>96.1</v>
      </c>
      <c r="AZ42" s="280">
        <v>106.2</v>
      </c>
      <c r="BA42" s="280">
        <v>82.9</v>
      </c>
      <c r="BB42" s="280">
        <v>100.3</v>
      </c>
      <c r="BC42" s="280">
        <v>85.8</v>
      </c>
      <c r="BD42" s="280">
        <v>78.5</v>
      </c>
      <c r="BE42" s="279" t="s">
        <v>43</v>
      </c>
      <c r="BF42" s="280">
        <v>219.9</v>
      </c>
      <c r="BG42" s="280">
        <v>210.9</v>
      </c>
      <c r="BH42" s="280">
        <v>182.4</v>
      </c>
      <c r="BI42" s="280">
        <v>166.5</v>
      </c>
      <c r="BJ42" s="280">
        <v>183.4</v>
      </c>
      <c r="BK42" s="280">
        <v>184</v>
      </c>
      <c r="BL42" s="280">
        <v>162.69999999999999</v>
      </c>
      <c r="BM42" s="280">
        <v>184.2</v>
      </c>
      <c r="BN42" s="280">
        <v>181.1</v>
      </c>
      <c r="BO42" s="280">
        <v>177.3</v>
      </c>
      <c r="BP42" s="282" t="s">
        <v>43</v>
      </c>
      <c r="BQ42" s="283">
        <v>175.1</v>
      </c>
      <c r="BR42" s="283">
        <v>188</v>
      </c>
      <c r="BS42" s="283">
        <v>187.29999999999998</v>
      </c>
      <c r="BT42" s="283">
        <v>186.39999999999998</v>
      </c>
      <c r="BU42" s="283">
        <v>178.7</v>
      </c>
      <c r="BV42" s="283">
        <v>155.80000000000001</v>
      </c>
      <c r="BW42" s="283">
        <v>182.2</v>
      </c>
      <c r="BX42" s="283">
        <v>183.7</v>
      </c>
      <c r="BY42" s="283">
        <v>188.60000000000002</v>
      </c>
      <c r="BZ42" s="283">
        <v>190.2</v>
      </c>
      <c r="CA42" s="282" t="s">
        <v>43</v>
      </c>
      <c r="CB42" s="283">
        <v>133.69999999999999</v>
      </c>
      <c r="CC42" s="283">
        <v>131.89999999999998</v>
      </c>
      <c r="CD42" s="283">
        <v>138.19999999999999</v>
      </c>
      <c r="CE42" s="283">
        <v>141.5</v>
      </c>
      <c r="CF42" s="283">
        <v>152.9</v>
      </c>
      <c r="CG42" s="283">
        <v>148.80000000000001</v>
      </c>
      <c r="CH42" s="283">
        <v>156</v>
      </c>
      <c r="CI42" s="283">
        <v>154.5</v>
      </c>
      <c r="CJ42" s="283">
        <v>159.9</v>
      </c>
      <c r="CK42" s="283">
        <v>155.5</v>
      </c>
      <c r="CL42" s="285" t="s">
        <v>43</v>
      </c>
      <c r="CM42" s="286">
        <v>173.7</v>
      </c>
      <c r="CN42" s="286">
        <v>196.2</v>
      </c>
      <c r="CO42" s="286">
        <v>183.9</v>
      </c>
      <c r="CP42" s="286">
        <v>165.6</v>
      </c>
      <c r="CQ42" s="286">
        <v>180.4</v>
      </c>
      <c r="CR42" s="286">
        <v>181.2</v>
      </c>
      <c r="CS42" s="286">
        <v>168.2</v>
      </c>
      <c r="CT42" s="286">
        <v>195.8</v>
      </c>
      <c r="CU42" s="286">
        <v>187.7</v>
      </c>
      <c r="CV42" s="286">
        <v>207.6</v>
      </c>
      <c r="CW42" s="285" t="s">
        <v>43</v>
      </c>
      <c r="CX42" s="286">
        <v>669.4</v>
      </c>
      <c r="CY42" s="286">
        <v>626.70000000000005</v>
      </c>
      <c r="CZ42" s="286">
        <v>656.6</v>
      </c>
      <c r="DA42" s="286">
        <v>646.4</v>
      </c>
      <c r="DB42" s="286">
        <v>611.29999999999995</v>
      </c>
      <c r="DC42" s="286">
        <v>637.70000000000005</v>
      </c>
      <c r="DD42" s="286">
        <v>663.4</v>
      </c>
      <c r="DE42" s="286">
        <v>671</v>
      </c>
      <c r="DF42" s="286">
        <v>576.6</v>
      </c>
      <c r="DG42" s="286">
        <v>573.6</v>
      </c>
      <c r="DH42" s="285" t="s">
        <v>43</v>
      </c>
      <c r="DI42" s="286">
        <v>687.7</v>
      </c>
      <c r="DJ42" s="286">
        <v>699.8</v>
      </c>
      <c r="DK42" s="286">
        <v>743.9</v>
      </c>
      <c r="DL42" s="286">
        <v>743.1</v>
      </c>
      <c r="DM42" s="286">
        <v>723.3</v>
      </c>
      <c r="DN42" s="286">
        <v>732.4</v>
      </c>
      <c r="DO42" s="286">
        <v>725.6</v>
      </c>
      <c r="DP42" s="286">
        <v>684.7</v>
      </c>
      <c r="DQ42" s="286">
        <v>690.9</v>
      </c>
      <c r="DR42" s="286">
        <v>692.6</v>
      </c>
      <c r="DS42" s="285" t="s">
        <v>43</v>
      </c>
      <c r="DT42" s="287"/>
      <c r="DU42" s="287">
        <v>11.7</v>
      </c>
      <c r="DV42" s="287">
        <v>16.7</v>
      </c>
      <c r="DW42" s="287">
        <v>13.3</v>
      </c>
      <c r="DX42" s="287"/>
      <c r="DY42" s="287"/>
      <c r="DZ42" s="287"/>
      <c r="EA42" s="287"/>
      <c r="EB42" s="287"/>
      <c r="EC42" s="287"/>
      <c r="ED42" s="279" t="s">
        <v>43</v>
      </c>
      <c r="EE42" s="280">
        <v>45.3</v>
      </c>
      <c r="EF42" s="280">
        <v>51.6</v>
      </c>
      <c r="EG42" s="280">
        <v>47.9</v>
      </c>
      <c r="EH42" s="280">
        <v>43.1</v>
      </c>
      <c r="EI42" s="280">
        <v>44.4</v>
      </c>
      <c r="EJ42" s="280">
        <v>44.8</v>
      </c>
      <c r="EK42" s="280">
        <v>49.4</v>
      </c>
      <c r="EL42" s="280">
        <v>53.5</v>
      </c>
      <c r="EM42" s="280">
        <v>54.4</v>
      </c>
      <c r="EN42" s="280">
        <v>40.200000000000003</v>
      </c>
      <c r="EO42" s="279" t="s">
        <v>43</v>
      </c>
      <c r="EP42" s="280">
        <v>382.5</v>
      </c>
      <c r="EQ42" s="280">
        <v>368.7</v>
      </c>
      <c r="ER42" s="280">
        <v>369.1</v>
      </c>
      <c r="ES42" s="280">
        <v>373.4</v>
      </c>
      <c r="ET42" s="280">
        <v>409.4</v>
      </c>
      <c r="EU42" s="280">
        <v>433.7</v>
      </c>
      <c r="EV42" s="280">
        <v>415.4</v>
      </c>
      <c r="EW42" s="280">
        <v>378.3</v>
      </c>
      <c r="EX42" s="280">
        <v>385.2</v>
      </c>
      <c r="EY42" s="280">
        <v>372.4</v>
      </c>
      <c r="EZ42" s="279" t="s">
        <v>43</v>
      </c>
      <c r="FA42" s="280">
        <v>174.8</v>
      </c>
      <c r="FB42" s="280">
        <v>172.2</v>
      </c>
      <c r="FC42" s="280">
        <v>173</v>
      </c>
      <c r="FD42" s="280">
        <v>151.80000000000001</v>
      </c>
      <c r="FE42" s="280">
        <v>159.6</v>
      </c>
      <c r="FF42" s="280">
        <v>176</v>
      </c>
      <c r="FG42" s="280">
        <v>149.19999999999999</v>
      </c>
      <c r="FH42" s="280">
        <v>149.4</v>
      </c>
      <c r="FI42" s="280">
        <v>151.80000000000001</v>
      </c>
      <c r="FJ42" s="280">
        <v>161.69999999999999</v>
      </c>
      <c r="FK42" s="279" t="s">
        <v>43</v>
      </c>
      <c r="FL42" s="280">
        <v>181.2</v>
      </c>
      <c r="FM42" s="280">
        <v>198.3</v>
      </c>
      <c r="FN42" s="280">
        <v>205.5</v>
      </c>
      <c r="FO42" s="280">
        <v>201.8</v>
      </c>
      <c r="FP42" s="280">
        <v>178.6</v>
      </c>
      <c r="FQ42" s="280">
        <v>175.8</v>
      </c>
      <c r="FR42" s="280">
        <v>176.4</v>
      </c>
      <c r="FS42" s="280">
        <v>169.4</v>
      </c>
      <c r="FT42" s="280">
        <v>164.2</v>
      </c>
      <c r="FU42" s="280">
        <v>161.1</v>
      </c>
      <c r="FV42" s="279" t="s">
        <v>43</v>
      </c>
      <c r="FW42" s="280">
        <v>383.4</v>
      </c>
      <c r="FX42" s="280">
        <v>376.1</v>
      </c>
      <c r="FY42" s="280">
        <v>392.8</v>
      </c>
      <c r="FZ42" s="280">
        <v>412.3</v>
      </c>
      <c r="GA42" s="280">
        <v>373.7</v>
      </c>
      <c r="GB42" s="280">
        <v>385.1</v>
      </c>
      <c r="GC42" s="280">
        <v>407.3</v>
      </c>
      <c r="GD42" s="280">
        <v>414.4</v>
      </c>
      <c r="GE42" s="280">
        <v>370.1</v>
      </c>
      <c r="GF42" s="280">
        <v>380</v>
      </c>
      <c r="GG42" s="279" t="s">
        <v>43</v>
      </c>
      <c r="GH42" s="281"/>
      <c r="GI42" s="281"/>
      <c r="GJ42" s="281">
        <v>12</v>
      </c>
      <c r="GK42" s="280">
        <v>10</v>
      </c>
      <c r="GL42" s="280"/>
      <c r="GM42" s="281"/>
      <c r="GN42" s="281"/>
      <c r="GO42" s="281"/>
      <c r="GP42" s="281"/>
      <c r="GQ42" s="281"/>
      <c r="GR42" s="279" t="s">
        <v>43</v>
      </c>
      <c r="GS42" s="280">
        <v>67</v>
      </c>
      <c r="GT42" s="280">
        <v>55.6</v>
      </c>
      <c r="GU42" s="280">
        <v>56.8</v>
      </c>
      <c r="GV42" s="280">
        <v>57</v>
      </c>
      <c r="GW42" s="280">
        <v>54.4</v>
      </c>
      <c r="GX42" s="280">
        <v>59.8</v>
      </c>
      <c r="GY42" s="280">
        <v>61.3</v>
      </c>
      <c r="GZ42" s="280">
        <v>60.3</v>
      </c>
      <c r="HA42" s="280">
        <v>46.5</v>
      </c>
      <c r="HB42" s="280">
        <v>53.1</v>
      </c>
      <c r="HC42" s="279" t="s">
        <v>43</v>
      </c>
      <c r="HD42" s="280">
        <v>78.400000000000006</v>
      </c>
      <c r="HE42" s="280">
        <v>73.8</v>
      </c>
      <c r="HF42" s="280">
        <v>71.7</v>
      </c>
      <c r="HG42" s="280">
        <v>67.7</v>
      </c>
      <c r="HH42" s="280">
        <v>59.7</v>
      </c>
      <c r="HI42" s="280">
        <v>55.9</v>
      </c>
      <c r="HJ42" s="280">
        <v>59.1</v>
      </c>
      <c r="HK42" s="280">
        <v>62.6</v>
      </c>
      <c r="HL42" s="280">
        <v>61.7</v>
      </c>
      <c r="HM42" s="280">
        <v>74.7</v>
      </c>
      <c r="HN42" s="279" t="s">
        <v>43</v>
      </c>
      <c r="HO42" s="280">
        <v>217.5</v>
      </c>
      <c r="HP42" s="280">
        <v>227.9</v>
      </c>
      <c r="HQ42" s="280">
        <v>267</v>
      </c>
      <c r="HR42" s="280">
        <v>246</v>
      </c>
      <c r="HS42" s="280">
        <v>228.4</v>
      </c>
      <c r="HT42" s="280">
        <v>210.7</v>
      </c>
      <c r="HU42" s="280">
        <v>226.7</v>
      </c>
      <c r="HV42" s="280">
        <v>256.7</v>
      </c>
      <c r="HW42" s="280">
        <v>209.5</v>
      </c>
      <c r="HX42" s="280">
        <v>215.6</v>
      </c>
      <c r="HY42" s="279" t="s">
        <v>43</v>
      </c>
      <c r="HZ42" s="281"/>
      <c r="IA42" s="281"/>
      <c r="IB42" s="281"/>
      <c r="IC42" s="281"/>
      <c r="ID42" s="281"/>
      <c r="IE42" s="281"/>
      <c r="IF42" s="281"/>
      <c r="IG42" s="281"/>
      <c r="IH42" s="281"/>
      <c r="II42" s="281"/>
      <c r="IJ42" s="279" t="s">
        <v>43</v>
      </c>
      <c r="IK42" s="281"/>
      <c r="IL42" s="281"/>
      <c r="IM42" s="281"/>
      <c r="IN42" s="281"/>
      <c r="IO42" s="281"/>
      <c r="IP42" s="281"/>
      <c r="IQ42" s="281"/>
      <c r="IR42" s="281"/>
      <c r="IS42" s="281"/>
      <c r="IT42" s="281"/>
      <c r="IU42" s="279" t="s">
        <v>43</v>
      </c>
      <c r="IV42" s="280">
        <v>11.2</v>
      </c>
      <c r="IW42" s="280"/>
      <c r="IX42" s="280"/>
      <c r="IY42" s="280">
        <v>10.4</v>
      </c>
      <c r="IZ42" s="280"/>
      <c r="JA42" s="280"/>
      <c r="JB42" s="280">
        <v>13.4</v>
      </c>
      <c r="JC42" s="280">
        <v>12.8</v>
      </c>
      <c r="JD42" s="280"/>
      <c r="JE42" s="281">
        <v>13.9</v>
      </c>
      <c r="JF42" s="279" t="s">
        <v>43</v>
      </c>
      <c r="JG42" s="280">
        <v>123.9</v>
      </c>
      <c r="JH42" s="280">
        <v>117.6</v>
      </c>
      <c r="JI42" s="280">
        <v>124.7</v>
      </c>
      <c r="JJ42" s="280">
        <v>116.6</v>
      </c>
      <c r="JK42" s="280">
        <v>118.2</v>
      </c>
      <c r="JL42" s="280">
        <v>120.5</v>
      </c>
      <c r="JM42" s="280">
        <v>128</v>
      </c>
      <c r="JN42" s="280">
        <v>107.6</v>
      </c>
      <c r="JO42" s="280">
        <v>101.1</v>
      </c>
      <c r="JP42" s="280">
        <v>102.6</v>
      </c>
      <c r="JQ42" s="279" t="s">
        <v>43</v>
      </c>
      <c r="JR42" s="280">
        <v>60.7</v>
      </c>
      <c r="JS42" s="280">
        <v>59.9</v>
      </c>
      <c r="JT42" s="280">
        <v>61.6</v>
      </c>
      <c r="JU42" s="280">
        <v>57.1</v>
      </c>
      <c r="JV42" s="280">
        <v>61.2</v>
      </c>
      <c r="JW42" s="280">
        <v>57.3</v>
      </c>
      <c r="JX42" s="280">
        <v>56.1</v>
      </c>
      <c r="JY42" s="280">
        <v>57.8</v>
      </c>
      <c r="JZ42" s="280">
        <v>50.1</v>
      </c>
      <c r="KA42" s="280">
        <v>51.2</v>
      </c>
      <c r="KB42" s="279" t="s">
        <v>43</v>
      </c>
      <c r="KC42" s="280">
        <v>153.4</v>
      </c>
      <c r="KD42" s="280">
        <v>155.9</v>
      </c>
      <c r="KE42" s="280">
        <v>156.9</v>
      </c>
      <c r="KF42" s="280">
        <v>181</v>
      </c>
      <c r="KG42" s="280">
        <v>156.19999999999999</v>
      </c>
      <c r="KH42" s="280">
        <v>143.6</v>
      </c>
      <c r="KI42" s="280">
        <v>159.5</v>
      </c>
      <c r="KJ42" s="280">
        <v>173.4</v>
      </c>
      <c r="KK42" s="280">
        <v>140.5</v>
      </c>
      <c r="KL42" s="280">
        <v>116.1</v>
      </c>
      <c r="KM42" s="279" t="s">
        <v>43</v>
      </c>
      <c r="KN42" s="280">
        <v>53.1</v>
      </c>
      <c r="KO42" s="280">
        <v>53.9</v>
      </c>
      <c r="KP42" s="280">
        <v>60.3</v>
      </c>
      <c r="KQ42" s="280">
        <v>84</v>
      </c>
      <c r="KR42" s="280">
        <v>67</v>
      </c>
      <c r="KS42" s="280">
        <v>53.5</v>
      </c>
      <c r="KT42" s="280">
        <v>56.8</v>
      </c>
      <c r="KU42" s="280">
        <v>71.599999999999994</v>
      </c>
      <c r="KV42" s="280">
        <v>52.9</v>
      </c>
      <c r="KW42" s="280">
        <v>52.5</v>
      </c>
      <c r="KX42" s="279" t="s">
        <v>43</v>
      </c>
      <c r="KY42" s="280">
        <v>131.19999999999999</v>
      </c>
      <c r="KZ42" s="280">
        <v>146.19999999999999</v>
      </c>
      <c r="LA42" s="280">
        <v>176.4</v>
      </c>
      <c r="LB42" s="280">
        <v>138.30000000000001</v>
      </c>
      <c r="LC42" s="280">
        <v>145</v>
      </c>
      <c r="LD42" s="280">
        <v>173.6</v>
      </c>
      <c r="LE42" s="280">
        <v>174.2</v>
      </c>
      <c r="LF42" s="280">
        <v>161.9</v>
      </c>
      <c r="LG42" s="280">
        <v>143.69999999999999</v>
      </c>
      <c r="LH42" s="280">
        <v>162.5</v>
      </c>
      <c r="LI42" s="279" t="s">
        <v>43</v>
      </c>
      <c r="LJ42" s="280">
        <v>43.5</v>
      </c>
      <c r="LK42" s="280">
        <v>33.799999999999997</v>
      </c>
      <c r="LL42" s="280">
        <v>46.2</v>
      </c>
      <c r="LM42" s="280">
        <v>37.799999999999997</v>
      </c>
      <c r="LN42" s="280">
        <v>33.1</v>
      </c>
      <c r="LO42" s="280">
        <v>44.5</v>
      </c>
      <c r="LP42" s="280">
        <v>40.200000000000003</v>
      </c>
      <c r="LQ42" s="280">
        <v>37.799999999999997</v>
      </c>
      <c r="LR42" s="280">
        <v>39</v>
      </c>
      <c r="LS42" s="280">
        <v>45.8</v>
      </c>
      <c r="LT42" s="279" t="s">
        <v>43</v>
      </c>
      <c r="LU42" s="280">
        <v>28.1</v>
      </c>
      <c r="LV42" s="280">
        <v>29.5</v>
      </c>
      <c r="LW42" s="281">
        <v>41.8</v>
      </c>
      <c r="LX42" s="280">
        <v>37.200000000000003</v>
      </c>
      <c r="LY42" s="280">
        <v>33.4</v>
      </c>
      <c r="LZ42" s="280">
        <v>33.4</v>
      </c>
      <c r="MA42" s="280">
        <v>31.8</v>
      </c>
      <c r="MB42" s="280">
        <v>26.3</v>
      </c>
      <c r="MC42" s="280">
        <v>34.6</v>
      </c>
      <c r="MD42" s="280">
        <v>31.5</v>
      </c>
      <c r="ME42" s="279" t="s">
        <v>43</v>
      </c>
      <c r="MF42" s="280">
        <v>61.4</v>
      </c>
      <c r="MG42" s="280">
        <v>61</v>
      </c>
      <c r="MH42" s="280">
        <v>64</v>
      </c>
      <c r="MI42" s="280">
        <v>55.8</v>
      </c>
      <c r="MJ42" s="280">
        <v>58.3</v>
      </c>
      <c r="MK42" s="280">
        <v>67.099999999999994</v>
      </c>
      <c r="ML42" s="280">
        <v>70.599999999999994</v>
      </c>
      <c r="MM42" s="280">
        <v>66.5</v>
      </c>
      <c r="MN42" s="280">
        <v>64</v>
      </c>
      <c r="MO42" s="280">
        <v>61</v>
      </c>
      <c r="MP42" s="279" t="s">
        <v>43</v>
      </c>
      <c r="MQ42" s="280">
        <v>88.1</v>
      </c>
      <c r="MR42" s="280">
        <v>95.9</v>
      </c>
      <c r="MS42" s="280">
        <v>107.9</v>
      </c>
      <c r="MT42" s="280">
        <v>85.1</v>
      </c>
      <c r="MU42" s="280">
        <v>85.3</v>
      </c>
      <c r="MV42" s="280">
        <v>81.900000000000006</v>
      </c>
      <c r="MW42" s="280">
        <v>79.5</v>
      </c>
      <c r="MX42" s="280">
        <v>95.1</v>
      </c>
      <c r="MY42" s="280">
        <v>97.4</v>
      </c>
      <c r="MZ42" s="280">
        <v>97.3</v>
      </c>
      <c r="NA42" s="279" t="s">
        <v>43</v>
      </c>
      <c r="NB42" s="280">
        <v>84.4</v>
      </c>
      <c r="NC42" s="280">
        <v>72.7</v>
      </c>
      <c r="ND42" s="280">
        <v>84.6</v>
      </c>
      <c r="NE42" s="280">
        <v>73.7</v>
      </c>
      <c r="NF42" s="280">
        <v>58.2</v>
      </c>
      <c r="NG42" s="280">
        <v>66.8</v>
      </c>
      <c r="NH42" s="280">
        <v>74</v>
      </c>
      <c r="NI42" s="280">
        <v>76.599999999999994</v>
      </c>
      <c r="NJ42" s="280">
        <v>72</v>
      </c>
      <c r="NK42" s="280">
        <v>79.7</v>
      </c>
      <c r="NL42" s="279" t="s">
        <v>43</v>
      </c>
      <c r="NM42" s="280">
        <v>297</v>
      </c>
      <c r="NN42" s="280">
        <v>299.39999999999998</v>
      </c>
      <c r="NO42" s="280">
        <v>264.39999999999998</v>
      </c>
      <c r="NP42" s="280">
        <v>308.8</v>
      </c>
      <c r="NQ42" s="280">
        <v>314.3</v>
      </c>
      <c r="NR42" s="280">
        <v>315.39999999999998</v>
      </c>
      <c r="NS42" s="280">
        <v>292.8</v>
      </c>
      <c r="NT42" s="280">
        <v>285.7</v>
      </c>
      <c r="NU42" s="280">
        <v>316.10000000000002</v>
      </c>
      <c r="NV42" s="280">
        <v>310.3</v>
      </c>
      <c r="NW42" s="279" t="s">
        <v>43</v>
      </c>
      <c r="NX42" s="280">
        <v>230.5</v>
      </c>
      <c r="NY42" s="280">
        <v>223.7</v>
      </c>
      <c r="NZ42" s="280">
        <v>236.3</v>
      </c>
      <c r="OA42" s="280">
        <v>234.5</v>
      </c>
      <c r="OB42" s="280">
        <v>228.1</v>
      </c>
      <c r="OC42" s="280">
        <v>220.3</v>
      </c>
      <c r="OD42" s="280">
        <v>219.1</v>
      </c>
      <c r="OE42" s="280">
        <v>219.5</v>
      </c>
      <c r="OF42" s="280">
        <v>205.8</v>
      </c>
      <c r="OG42" s="280">
        <v>214.9</v>
      </c>
      <c r="OH42" s="296" t="s">
        <v>43</v>
      </c>
      <c r="OI42" s="297">
        <v>6.1</v>
      </c>
      <c r="OJ42" s="297">
        <v>5.5</v>
      </c>
      <c r="OK42" s="297">
        <v>5.5</v>
      </c>
      <c r="OL42" s="297">
        <v>5.5</v>
      </c>
      <c r="OM42" s="297">
        <v>5.5</v>
      </c>
      <c r="ON42" s="297">
        <v>4.9000000000000004</v>
      </c>
      <c r="OO42" s="297">
        <v>5</v>
      </c>
      <c r="OP42" s="297">
        <v>4.8</v>
      </c>
      <c r="OQ42" s="297">
        <v>5</v>
      </c>
      <c r="OR42" s="297">
        <v>4.5999999999999996</v>
      </c>
      <c r="OS42" s="292" t="s">
        <v>43</v>
      </c>
      <c r="OT42" s="278">
        <v>0.3</v>
      </c>
      <c r="OU42" s="278">
        <v>0.6</v>
      </c>
      <c r="OV42" s="278">
        <v>0.4</v>
      </c>
      <c r="OW42" s="278">
        <v>0.7</v>
      </c>
      <c r="OX42" s="278">
        <v>0.2</v>
      </c>
      <c r="OY42" s="278">
        <v>0.5</v>
      </c>
      <c r="OZ42" s="278">
        <v>0.4</v>
      </c>
      <c r="PA42" s="278">
        <v>0.6</v>
      </c>
      <c r="PB42" s="278">
        <v>0.3</v>
      </c>
      <c r="PC42" s="278">
        <v>0.3</v>
      </c>
    </row>
    <row r="43" spans="1:419">
      <c r="A43" s="269"/>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269"/>
      <c r="AA43" s="269"/>
      <c r="AB43" s="269"/>
      <c r="AC43" s="269"/>
      <c r="AD43" s="269"/>
      <c r="AE43" s="269"/>
      <c r="AF43" s="269"/>
      <c r="AG43" s="269"/>
      <c r="AH43" s="269"/>
      <c r="AI43" s="269"/>
      <c r="AJ43" s="269"/>
      <c r="AK43" s="269"/>
      <c r="AL43" s="269"/>
      <c r="AM43" s="269"/>
      <c r="AN43" s="269"/>
      <c r="AO43" s="269"/>
      <c r="AP43" s="269"/>
      <c r="AQ43" s="269"/>
      <c r="AR43" s="269"/>
      <c r="AS43" s="269"/>
      <c r="AT43" s="269"/>
      <c r="AU43" s="269"/>
      <c r="AV43" s="269"/>
      <c r="AW43" s="269"/>
      <c r="AX43" s="269"/>
      <c r="AY43" s="269"/>
      <c r="AZ43" s="269"/>
      <c r="BA43" s="269"/>
      <c r="BB43" s="269"/>
      <c r="BC43" s="269"/>
      <c r="BD43" s="269"/>
      <c r="BE43" s="269"/>
      <c r="BF43" s="269"/>
      <c r="BG43" s="269"/>
      <c r="BH43" s="269"/>
      <c r="BI43" s="269"/>
      <c r="BJ43" s="269"/>
      <c r="BK43" s="269"/>
      <c r="BL43" s="269"/>
      <c r="BM43" s="269"/>
      <c r="BN43" s="269"/>
      <c r="BO43" s="269"/>
      <c r="BP43" s="269"/>
      <c r="BQ43" s="269"/>
      <c r="BR43" s="269"/>
      <c r="BS43" s="269"/>
      <c r="BT43" s="269"/>
      <c r="BU43" s="269"/>
      <c r="BV43" s="269"/>
      <c r="BW43" s="269"/>
      <c r="BX43" s="269"/>
      <c r="BY43" s="269"/>
      <c r="BZ43" s="269"/>
      <c r="CA43" s="269"/>
      <c r="CB43" s="269"/>
      <c r="CC43" s="269"/>
      <c r="CD43" s="269"/>
      <c r="CE43" s="269"/>
      <c r="CF43" s="269"/>
      <c r="CG43" s="269"/>
      <c r="CH43" s="269"/>
      <c r="CI43" s="269"/>
      <c r="CJ43" s="269"/>
      <c r="CK43" s="269"/>
      <c r="CL43" s="269"/>
      <c r="CM43" s="269"/>
      <c r="CN43" s="269"/>
      <c r="CO43" s="269"/>
      <c r="CP43" s="269"/>
      <c r="CQ43" s="269"/>
      <c r="CR43" s="269"/>
      <c r="CS43" s="269"/>
      <c r="CT43" s="269"/>
      <c r="CU43" s="269"/>
      <c r="CV43" s="269"/>
      <c r="CW43" s="269"/>
      <c r="CX43" s="269"/>
      <c r="CY43" s="269"/>
      <c r="CZ43" s="269"/>
      <c r="DA43" s="269"/>
      <c r="DB43" s="269"/>
      <c r="DC43" s="269"/>
      <c r="DD43" s="269"/>
      <c r="DE43" s="269"/>
      <c r="DF43" s="269"/>
      <c r="DG43" s="269"/>
      <c r="DH43" s="269"/>
      <c r="DI43" s="269"/>
      <c r="DJ43" s="269"/>
      <c r="DK43" s="269"/>
      <c r="DL43" s="269"/>
      <c r="DM43" s="269"/>
      <c r="DN43" s="269"/>
      <c r="DO43" s="269"/>
      <c r="DP43" s="269"/>
      <c r="DQ43" s="269"/>
      <c r="DR43" s="269"/>
      <c r="DS43" s="269"/>
      <c r="DT43" s="269"/>
      <c r="DU43" s="269"/>
      <c r="DV43" s="269"/>
      <c r="DW43" s="269"/>
      <c r="DX43" s="269"/>
      <c r="DY43" s="269"/>
      <c r="DZ43" s="269"/>
      <c r="EA43" s="269"/>
      <c r="EB43" s="269"/>
      <c r="EC43" s="269"/>
      <c r="ED43" s="269"/>
      <c r="EE43" s="269"/>
      <c r="EF43" s="269"/>
      <c r="EG43" s="269"/>
      <c r="EH43" s="269"/>
      <c r="EI43" s="269"/>
      <c r="EJ43" s="269"/>
      <c r="EK43" s="269"/>
      <c r="EL43" s="269"/>
      <c r="EM43" s="269"/>
      <c r="EN43" s="269"/>
      <c r="EO43" s="269"/>
      <c r="EP43" s="269"/>
      <c r="EQ43" s="269"/>
      <c r="ER43" s="269"/>
      <c r="ES43" s="269"/>
      <c r="ET43" s="269"/>
      <c r="EU43" s="269"/>
      <c r="EV43" s="269"/>
      <c r="EW43" s="269"/>
      <c r="EX43" s="269"/>
      <c r="EY43" s="269"/>
      <c r="EZ43" s="269"/>
      <c r="FA43" s="269"/>
      <c r="FB43" s="269"/>
      <c r="FC43" s="269"/>
      <c r="FD43" s="269"/>
      <c r="FE43" s="269"/>
      <c r="FF43" s="269"/>
      <c r="FG43" s="269"/>
      <c r="FH43" s="269"/>
      <c r="FI43" s="269"/>
      <c r="FJ43" s="269"/>
      <c r="FK43" s="269"/>
      <c r="FL43" s="269"/>
      <c r="FM43" s="269"/>
      <c r="FN43" s="269"/>
      <c r="FO43" s="269"/>
      <c r="FP43" s="269"/>
      <c r="FQ43" s="269"/>
      <c r="FR43" s="269"/>
      <c r="FS43" s="269"/>
      <c r="FT43" s="269"/>
      <c r="FU43" s="269"/>
      <c r="FV43" s="269"/>
      <c r="FW43" s="269"/>
      <c r="FX43" s="269"/>
      <c r="FY43" s="269"/>
      <c r="FZ43" s="269"/>
      <c r="GA43" s="269"/>
      <c r="GB43" s="269"/>
      <c r="GC43" s="269"/>
      <c r="GD43" s="269"/>
      <c r="GE43" s="269"/>
      <c r="GF43" s="269"/>
      <c r="GG43" s="269"/>
      <c r="GH43" s="269"/>
      <c r="GI43" s="269"/>
      <c r="GJ43" s="269"/>
      <c r="GK43" s="269"/>
      <c r="GL43" s="269"/>
      <c r="GM43" s="269"/>
      <c r="GN43" s="269"/>
      <c r="GO43" s="269"/>
      <c r="GP43" s="269"/>
      <c r="GQ43" s="269"/>
      <c r="GR43" s="269"/>
      <c r="GS43" s="269"/>
      <c r="GT43" s="269"/>
      <c r="GU43" s="269"/>
      <c r="GV43" s="269"/>
      <c r="GW43" s="269"/>
      <c r="GX43" s="269"/>
      <c r="GY43" s="269"/>
      <c r="GZ43" s="269"/>
      <c r="HA43" s="269"/>
      <c r="HB43" s="269"/>
      <c r="HC43" s="269"/>
      <c r="HD43" s="269"/>
      <c r="HE43" s="269"/>
      <c r="HF43" s="269"/>
      <c r="HG43" s="269"/>
      <c r="HH43" s="269"/>
      <c r="HI43" s="269"/>
      <c r="HJ43" s="269"/>
      <c r="HK43" s="269"/>
      <c r="HL43" s="269"/>
      <c r="HM43" s="269"/>
      <c r="HN43" s="269"/>
      <c r="HO43" s="269"/>
      <c r="HP43" s="269"/>
      <c r="HQ43" s="269"/>
      <c r="HR43" s="269"/>
      <c r="HS43" s="269"/>
      <c r="HT43" s="269"/>
      <c r="HU43" s="269"/>
      <c r="HV43" s="269"/>
      <c r="HW43" s="269"/>
      <c r="HX43" s="269"/>
      <c r="HY43" s="269"/>
      <c r="HZ43" s="269"/>
      <c r="IA43" s="269"/>
      <c r="IB43" s="269"/>
      <c r="IC43" s="269"/>
      <c r="ID43" s="269"/>
      <c r="IE43" s="269"/>
      <c r="IF43" s="269"/>
      <c r="IG43" s="269"/>
      <c r="IH43" s="269"/>
      <c r="II43" s="269"/>
      <c r="IJ43" s="269"/>
      <c r="IK43" s="269"/>
      <c r="IL43" s="269"/>
      <c r="IM43" s="269"/>
      <c r="IN43" s="269"/>
      <c r="IO43" s="269"/>
      <c r="IP43" s="269"/>
      <c r="IQ43" s="269"/>
      <c r="IR43" s="269"/>
      <c r="IS43" s="269"/>
      <c r="IT43" s="269"/>
      <c r="IU43" s="269"/>
      <c r="IV43" s="269"/>
      <c r="IW43" s="269"/>
      <c r="IX43" s="269"/>
      <c r="IY43" s="269"/>
      <c r="IZ43" s="269"/>
      <c r="JA43" s="269"/>
      <c r="JB43" s="269"/>
      <c r="JC43" s="269"/>
      <c r="JD43" s="269"/>
      <c r="JE43" s="269"/>
      <c r="JF43" s="269"/>
      <c r="JG43" s="269"/>
      <c r="JH43" s="269"/>
      <c r="JI43" s="269"/>
      <c r="JJ43" s="269"/>
      <c r="JK43" s="269"/>
      <c r="JL43" s="269"/>
      <c r="JM43" s="269"/>
      <c r="JN43" s="269"/>
      <c r="JO43" s="269"/>
      <c r="JP43" s="269"/>
      <c r="JQ43" s="269"/>
      <c r="JR43" s="269"/>
      <c r="JS43" s="269"/>
      <c r="JT43" s="269"/>
      <c r="JU43" s="269"/>
      <c r="JV43" s="269"/>
      <c r="JW43" s="269"/>
      <c r="JX43" s="269"/>
      <c r="JY43" s="269"/>
      <c r="JZ43" s="269"/>
      <c r="KA43" s="269"/>
      <c r="KB43" s="269"/>
      <c r="KC43" s="269"/>
      <c r="KD43" s="269"/>
      <c r="KE43" s="269"/>
      <c r="KF43" s="269"/>
      <c r="KG43" s="269"/>
      <c r="KH43" s="269"/>
      <c r="KI43" s="269"/>
      <c r="KJ43" s="269"/>
      <c r="KK43" s="269"/>
      <c r="KL43" s="269"/>
      <c r="KM43" s="269"/>
      <c r="KN43" s="269"/>
      <c r="KO43" s="269"/>
      <c r="KP43" s="269"/>
      <c r="KQ43" s="269"/>
      <c r="KR43" s="269"/>
      <c r="KS43" s="269"/>
      <c r="KT43" s="269"/>
      <c r="KU43" s="269"/>
      <c r="KV43" s="269"/>
      <c r="KW43" s="269"/>
      <c r="KX43" s="269"/>
      <c r="KY43" s="269"/>
      <c r="KZ43" s="269"/>
      <c r="LA43" s="269"/>
      <c r="LB43" s="269"/>
      <c r="LC43" s="269"/>
      <c r="LD43" s="269"/>
      <c r="LE43" s="269"/>
      <c r="LF43" s="269"/>
      <c r="LG43" s="269"/>
      <c r="LH43" s="269"/>
      <c r="LI43" s="269"/>
      <c r="LJ43" s="269"/>
      <c r="LK43" s="269"/>
      <c r="LL43" s="269"/>
      <c r="LM43" s="269"/>
      <c r="LN43" s="269"/>
      <c r="LO43" s="269"/>
      <c r="LP43" s="269"/>
      <c r="LQ43" s="269"/>
      <c r="LR43" s="269"/>
      <c r="LS43" s="269"/>
      <c r="LT43" s="269"/>
      <c r="LU43" s="269"/>
      <c r="LV43" s="269"/>
      <c r="LW43" s="269"/>
      <c r="LX43" s="269"/>
      <c r="LY43" s="269"/>
      <c r="LZ43" s="269"/>
      <c r="MA43" s="269"/>
      <c r="MB43" s="269"/>
      <c r="MC43" s="269"/>
      <c r="MD43" s="269"/>
      <c r="ME43" s="269"/>
      <c r="MF43" s="269"/>
      <c r="MG43" s="269"/>
      <c r="MH43" s="269"/>
      <c r="MI43" s="269"/>
      <c r="MJ43" s="269"/>
      <c r="MK43" s="269"/>
      <c r="ML43" s="269"/>
      <c r="MM43" s="269"/>
      <c r="MN43" s="269"/>
      <c r="MO43" s="269"/>
      <c r="MP43" s="269"/>
      <c r="MQ43" s="269"/>
      <c r="MR43" s="269"/>
      <c r="MS43" s="269"/>
      <c r="MT43" s="269"/>
      <c r="MU43" s="269"/>
      <c r="MV43" s="269"/>
      <c r="MW43" s="269"/>
      <c r="MX43" s="269"/>
      <c r="MY43" s="269"/>
      <c r="MZ43" s="269"/>
      <c r="NA43" s="269"/>
      <c r="NB43" s="269"/>
      <c r="NC43" s="269"/>
      <c r="ND43" s="269"/>
      <c r="NE43" s="269"/>
      <c r="NF43" s="269"/>
      <c r="NG43" s="269"/>
      <c r="NH43" s="269"/>
      <c r="NI43" s="269"/>
      <c r="NJ43" s="269"/>
      <c r="NK43" s="269"/>
      <c r="NL43" s="269"/>
      <c r="NM43" s="269"/>
      <c r="NN43" s="269"/>
      <c r="NO43" s="269"/>
      <c r="NP43" s="269"/>
      <c r="NQ43" s="269"/>
      <c r="NR43" s="269"/>
      <c r="NS43" s="269"/>
      <c r="NT43" s="269"/>
      <c r="NU43" s="269"/>
      <c r="NV43" s="269"/>
      <c r="NW43" s="269"/>
      <c r="NX43" s="269"/>
      <c r="NY43" s="269"/>
      <c r="NZ43" s="269"/>
      <c r="OA43" s="269"/>
      <c r="OB43" s="269"/>
      <c r="OC43" s="269"/>
      <c r="OD43" s="269"/>
      <c r="OE43" s="269"/>
      <c r="OF43" s="269"/>
      <c r="OG43" s="269"/>
      <c r="OH43" s="269"/>
      <c r="OI43" s="269"/>
      <c r="OJ43" s="269"/>
      <c r="OK43" s="269"/>
      <c r="OL43" s="269"/>
      <c r="OM43" s="269"/>
      <c r="ON43" s="269"/>
      <c r="OO43" s="269"/>
      <c r="OP43" s="269"/>
      <c r="OQ43" s="269"/>
      <c r="OR43" s="269"/>
      <c r="OS43" s="269"/>
      <c r="OT43" s="269"/>
      <c r="OU43" s="269"/>
      <c r="OV43" s="269"/>
      <c r="OW43" s="269"/>
      <c r="OX43" s="269"/>
      <c r="OY43" s="269"/>
      <c r="OZ43" s="269"/>
      <c r="PA43" s="269"/>
      <c r="PB43" s="269"/>
      <c r="PC43" s="269"/>
    </row>
    <row r="44" spans="1:419">
      <c r="A44" s="269"/>
      <c r="B44" s="269"/>
      <c r="C44" s="269"/>
      <c r="D44" s="269"/>
      <c r="E44" s="269"/>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c r="AH44" s="269"/>
      <c r="AI44" s="269"/>
      <c r="AJ44" s="269"/>
      <c r="AK44" s="269"/>
      <c r="AL44" s="269"/>
      <c r="AM44" s="269"/>
      <c r="AN44" s="269"/>
      <c r="AO44" s="269"/>
      <c r="AP44" s="269"/>
      <c r="AQ44" s="269"/>
      <c r="AR44" s="269"/>
      <c r="AS44" s="269"/>
      <c r="AT44" s="269"/>
      <c r="AU44" s="269"/>
      <c r="AV44" s="269"/>
      <c r="AW44" s="269"/>
      <c r="AX44" s="269"/>
      <c r="AY44" s="269"/>
      <c r="AZ44" s="269"/>
      <c r="BA44" s="269"/>
      <c r="BB44" s="269"/>
      <c r="BC44" s="269"/>
      <c r="BD44" s="269"/>
      <c r="BE44" s="269"/>
      <c r="BF44" s="269"/>
      <c r="BG44" s="269"/>
      <c r="BH44" s="269"/>
      <c r="BI44" s="269"/>
      <c r="BJ44" s="269"/>
      <c r="BK44" s="269"/>
      <c r="BL44" s="269"/>
      <c r="BM44" s="269"/>
      <c r="BN44" s="269"/>
      <c r="BO44" s="269"/>
      <c r="BP44" s="269"/>
      <c r="BQ44" s="269"/>
      <c r="BR44" s="269"/>
      <c r="BS44" s="269"/>
      <c r="BT44" s="269"/>
      <c r="BU44" s="269"/>
      <c r="BV44" s="269"/>
      <c r="BW44" s="269"/>
      <c r="BX44" s="269"/>
      <c r="BY44" s="269"/>
      <c r="BZ44" s="269"/>
      <c r="CA44" s="269"/>
      <c r="CB44" s="269"/>
      <c r="CC44" s="269"/>
      <c r="CD44" s="269"/>
      <c r="CE44" s="269"/>
      <c r="CF44" s="269"/>
      <c r="CG44" s="269"/>
      <c r="CH44" s="269"/>
      <c r="CI44" s="269"/>
      <c r="CJ44" s="269"/>
      <c r="CK44" s="269"/>
      <c r="CL44" s="269"/>
      <c r="CM44" s="269"/>
      <c r="CN44" s="269"/>
      <c r="CO44" s="269"/>
      <c r="CP44" s="269"/>
      <c r="CQ44" s="269"/>
      <c r="CR44" s="269"/>
      <c r="CS44" s="269"/>
      <c r="CT44" s="269"/>
      <c r="CU44" s="269"/>
      <c r="CV44" s="269"/>
      <c r="CW44" s="269"/>
      <c r="CX44" s="269"/>
      <c r="CY44" s="269"/>
      <c r="CZ44" s="269"/>
      <c r="DA44" s="269"/>
      <c r="DB44" s="269"/>
      <c r="DC44" s="269"/>
      <c r="DD44" s="269"/>
      <c r="DE44" s="269"/>
      <c r="DF44" s="269"/>
      <c r="DG44" s="269"/>
      <c r="DH44" s="269"/>
      <c r="DI44" s="269"/>
      <c r="DJ44" s="269"/>
      <c r="DK44" s="269"/>
      <c r="DL44" s="269"/>
      <c r="DM44" s="269"/>
      <c r="DN44" s="269"/>
      <c r="DO44" s="269"/>
      <c r="DP44" s="269"/>
      <c r="DQ44" s="269"/>
      <c r="DR44" s="269"/>
      <c r="DS44" s="269"/>
      <c r="DT44" s="269"/>
      <c r="DU44" s="269"/>
      <c r="DV44" s="269"/>
      <c r="DW44" s="269"/>
      <c r="DX44" s="269"/>
      <c r="DY44" s="269"/>
      <c r="DZ44" s="269"/>
      <c r="EA44" s="269"/>
      <c r="EB44" s="269"/>
      <c r="EC44" s="269"/>
      <c r="ED44" s="269"/>
      <c r="EE44" s="269"/>
      <c r="EF44" s="269"/>
      <c r="EG44" s="269"/>
      <c r="EH44" s="269"/>
      <c r="EI44" s="269"/>
      <c r="EJ44" s="269"/>
      <c r="EK44" s="269"/>
      <c r="EL44" s="269"/>
      <c r="EM44" s="269"/>
      <c r="EN44" s="269"/>
      <c r="EO44" s="269"/>
      <c r="EP44" s="269"/>
      <c r="EQ44" s="269"/>
      <c r="ER44" s="269"/>
      <c r="ES44" s="269"/>
      <c r="ET44" s="269"/>
      <c r="EU44" s="269"/>
      <c r="EV44" s="269"/>
      <c r="EW44" s="269"/>
      <c r="EX44" s="269"/>
      <c r="EY44" s="269"/>
      <c r="EZ44" s="269"/>
      <c r="FA44" s="269"/>
      <c r="FB44" s="269"/>
      <c r="FC44" s="269"/>
      <c r="FD44" s="269"/>
      <c r="FE44" s="269"/>
      <c r="FF44" s="269"/>
      <c r="FG44" s="269"/>
      <c r="FH44" s="269"/>
      <c r="FI44" s="269"/>
      <c r="FJ44" s="269"/>
      <c r="FK44" s="269"/>
      <c r="FL44" s="269"/>
      <c r="FM44" s="269"/>
      <c r="FN44" s="269"/>
      <c r="FO44" s="269"/>
      <c r="FP44" s="269"/>
      <c r="FQ44" s="269"/>
      <c r="FR44" s="269"/>
      <c r="FS44" s="269"/>
      <c r="FT44" s="269"/>
      <c r="FU44" s="269"/>
      <c r="FV44" s="269"/>
      <c r="FW44" s="269"/>
      <c r="FX44" s="269"/>
      <c r="FY44" s="269"/>
      <c r="FZ44" s="269"/>
      <c r="GA44" s="269"/>
      <c r="GB44" s="269"/>
      <c r="GC44" s="269"/>
      <c r="GD44" s="269"/>
      <c r="GE44" s="269"/>
      <c r="GF44" s="269"/>
      <c r="GG44" s="269"/>
      <c r="GH44" s="269"/>
      <c r="GI44" s="269"/>
      <c r="GJ44" s="269"/>
      <c r="GK44" s="269"/>
      <c r="GL44" s="269"/>
      <c r="GM44" s="269"/>
      <c r="GN44" s="269"/>
      <c r="GO44" s="269"/>
      <c r="GP44" s="269"/>
      <c r="GQ44" s="269"/>
      <c r="GR44" s="269"/>
      <c r="GS44" s="269"/>
      <c r="GT44" s="269"/>
      <c r="GU44" s="269"/>
      <c r="GV44" s="269"/>
      <c r="GW44" s="269"/>
      <c r="GX44" s="269"/>
      <c r="GY44" s="269"/>
      <c r="GZ44" s="269"/>
      <c r="HA44" s="269"/>
      <c r="HB44" s="269"/>
      <c r="HC44" s="269"/>
      <c r="HD44" s="269"/>
      <c r="HE44" s="269"/>
      <c r="HF44" s="269"/>
      <c r="HG44" s="269"/>
      <c r="HH44" s="269"/>
      <c r="HI44" s="269"/>
      <c r="HJ44" s="269"/>
      <c r="HK44" s="269"/>
      <c r="HL44" s="269"/>
      <c r="HM44" s="269"/>
      <c r="HN44" s="269"/>
      <c r="HO44" s="269"/>
      <c r="HP44" s="269"/>
      <c r="HQ44" s="269"/>
      <c r="HR44" s="269"/>
      <c r="HS44" s="269"/>
      <c r="HT44" s="269"/>
      <c r="HU44" s="269"/>
      <c r="HV44" s="269"/>
      <c r="HW44" s="269"/>
      <c r="HX44" s="269"/>
      <c r="HY44" s="269"/>
      <c r="HZ44" s="269"/>
      <c r="IA44" s="269"/>
      <c r="IB44" s="269"/>
      <c r="IC44" s="269"/>
      <c r="ID44" s="269"/>
      <c r="IE44" s="269"/>
      <c r="IF44" s="269"/>
      <c r="IG44" s="269"/>
      <c r="IH44" s="269"/>
      <c r="II44" s="269"/>
      <c r="IJ44" s="269"/>
      <c r="IK44" s="269"/>
      <c r="IL44" s="269"/>
      <c r="IM44" s="269"/>
      <c r="IN44" s="269"/>
      <c r="IO44" s="269"/>
      <c r="IP44" s="269"/>
      <c r="IQ44" s="269"/>
      <c r="IR44" s="269"/>
      <c r="IS44" s="269"/>
      <c r="IT44" s="269"/>
      <c r="IU44" s="269"/>
      <c r="IV44" s="269"/>
      <c r="IW44" s="269"/>
      <c r="IX44" s="269"/>
      <c r="IY44" s="269"/>
      <c r="IZ44" s="269"/>
      <c r="JA44" s="269"/>
      <c r="JB44" s="269"/>
      <c r="JC44" s="269"/>
      <c r="JD44" s="269"/>
      <c r="JE44" s="269"/>
      <c r="JF44" s="269"/>
      <c r="JG44" s="269"/>
      <c r="JH44" s="269"/>
      <c r="JI44" s="269"/>
      <c r="JJ44" s="269"/>
      <c r="JK44" s="269"/>
      <c r="JL44" s="269"/>
      <c r="JM44" s="269"/>
      <c r="JN44" s="269"/>
      <c r="JO44" s="269"/>
      <c r="JP44" s="269"/>
      <c r="JQ44" s="269"/>
      <c r="JR44" s="269"/>
      <c r="JS44" s="269"/>
      <c r="JT44" s="269"/>
      <c r="JU44" s="269"/>
      <c r="JV44" s="269"/>
      <c r="JW44" s="269"/>
      <c r="JX44" s="269"/>
      <c r="JY44" s="269"/>
      <c r="JZ44" s="269"/>
      <c r="KA44" s="269"/>
      <c r="KB44" s="269"/>
      <c r="KC44" s="269"/>
      <c r="KD44" s="269"/>
      <c r="KE44" s="269"/>
      <c r="KF44" s="269"/>
      <c r="KG44" s="269"/>
      <c r="KH44" s="269"/>
      <c r="KI44" s="269"/>
      <c r="KJ44" s="269"/>
      <c r="KK44" s="269"/>
      <c r="KL44" s="269"/>
      <c r="KM44" s="269"/>
      <c r="KN44" s="269"/>
      <c r="KO44" s="269"/>
      <c r="KP44" s="269"/>
      <c r="KQ44" s="269"/>
      <c r="KR44" s="269"/>
      <c r="KS44" s="269"/>
      <c r="KT44" s="269"/>
      <c r="KU44" s="269"/>
      <c r="KV44" s="269"/>
      <c r="KW44" s="269"/>
      <c r="KX44" s="269"/>
      <c r="KY44" s="269"/>
      <c r="KZ44" s="269"/>
      <c r="LA44" s="269"/>
      <c r="LB44" s="269"/>
      <c r="LC44" s="269"/>
      <c r="LD44" s="269"/>
      <c r="LE44" s="269"/>
      <c r="LF44" s="269"/>
      <c r="LG44" s="269"/>
      <c r="LH44" s="269"/>
      <c r="LI44" s="269"/>
      <c r="LJ44" s="269"/>
      <c r="LK44" s="269"/>
      <c r="LL44" s="269"/>
      <c r="LM44" s="269"/>
      <c r="LN44" s="269"/>
      <c r="LO44" s="269"/>
      <c r="LP44" s="269"/>
      <c r="LQ44" s="269"/>
      <c r="LR44" s="269"/>
      <c r="LS44" s="269"/>
      <c r="LT44" s="269"/>
      <c r="LU44" s="269"/>
      <c r="LV44" s="269"/>
      <c r="LW44" s="269"/>
      <c r="LX44" s="269"/>
      <c r="LY44" s="269"/>
      <c r="LZ44" s="269"/>
      <c r="MA44" s="269"/>
      <c r="MB44" s="269"/>
      <c r="MC44" s="269"/>
      <c r="MD44" s="269"/>
      <c r="ME44" s="269"/>
      <c r="MF44" s="269"/>
      <c r="MG44" s="269"/>
      <c r="MH44" s="269"/>
      <c r="MI44" s="269"/>
      <c r="MJ44" s="269"/>
      <c r="MK44" s="269"/>
      <c r="ML44" s="269"/>
      <c r="MM44" s="269"/>
      <c r="MN44" s="269"/>
      <c r="MO44" s="269"/>
      <c r="MP44" s="269"/>
      <c r="MQ44" s="269"/>
      <c r="MR44" s="269"/>
      <c r="MS44" s="269"/>
      <c r="MT44" s="269"/>
      <c r="MU44" s="269"/>
      <c r="MV44" s="269"/>
      <c r="MW44" s="269"/>
      <c r="MX44" s="269"/>
      <c r="MY44" s="269"/>
      <c r="MZ44" s="269"/>
      <c r="NA44" s="269"/>
      <c r="NB44" s="269"/>
      <c r="NC44" s="269"/>
      <c r="ND44" s="269"/>
      <c r="NE44" s="269"/>
      <c r="NF44" s="269"/>
      <c r="NG44" s="269"/>
      <c r="NH44" s="269"/>
      <c r="NI44" s="269"/>
      <c r="NJ44" s="269"/>
      <c r="NK44" s="269"/>
      <c r="NL44" s="269"/>
      <c r="NM44" s="269"/>
      <c r="NN44" s="269"/>
      <c r="NO44" s="269"/>
      <c r="NP44" s="269"/>
      <c r="NQ44" s="269"/>
      <c r="NR44" s="269"/>
      <c r="NS44" s="269"/>
      <c r="NT44" s="269"/>
      <c r="NU44" s="269"/>
      <c r="NV44" s="269"/>
      <c r="NW44" s="269"/>
      <c r="NX44" s="269"/>
      <c r="NY44" s="269"/>
      <c r="NZ44" s="269"/>
      <c r="OA44" s="269"/>
      <c r="OB44" s="269"/>
      <c r="OC44" s="269"/>
      <c r="OD44" s="269"/>
      <c r="OE44" s="269"/>
      <c r="OF44" s="269"/>
      <c r="OG44" s="269"/>
      <c r="OH44" s="269"/>
      <c r="OI44" s="269"/>
      <c r="OJ44" s="269"/>
      <c r="OK44" s="269"/>
      <c r="OL44" s="269"/>
      <c r="OM44" s="269"/>
      <c r="ON44" s="269"/>
      <c r="OO44" s="269"/>
      <c r="OP44" s="269"/>
      <c r="OQ44" s="269"/>
      <c r="OR44" s="269"/>
      <c r="OS44" s="269"/>
      <c r="OT44" s="269"/>
      <c r="OU44" s="269"/>
      <c r="OV44" s="269"/>
      <c r="OW44" s="269"/>
      <c r="OX44" s="269"/>
      <c r="OY44" s="269"/>
      <c r="OZ44" s="269"/>
      <c r="PA44" s="269"/>
      <c r="PB44" s="269"/>
      <c r="PC44" s="269"/>
    </row>
    <row r="45" spans="1:419">
      <c r="A45" s="269"/>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269"/>
      <c r="AE45" s="269"/>
      <c r="AF45" s="269"/>
      <c r="AG45" s="269"/>
      <c r="AH45" s="269"/>
      <c r="AI45" s="269"/>
      <c r="AJ45" s="269"/>
      <c r="AK45" s="269"/>
      <c r="AL45" s="269"/>
      <c r="AM45" s="269"/>
      <c r="AN45" s="269"/>
      <c r="AO45" s="269"/>
      <c r="AP45" s="269"/>
      <c r="AQ45" s="269"/>
      <c r="AR45" s="269"/>
      <c r="AS45" s="269"/>
      <c r="AT45" s="269"/>
      <c r="AU45" s="269"/>
      <c r="AV45" s="269"/>
      <c r="AW45" s="269"/>
      <c r="AX45" s="269"/>
      <c r="AY45" s="269"/>
      <c r="AZ45" s="269"/>
      <c r="BA45" s="269"/>
      <c r="BB45" s="269"/>
      <c r="BC45" s="269"/>
      <c r="BD45" s="269"/>
      <c r="BE45" s="269"/>
      <c r="BF45" s="269"/>
      <c r="BG45" s="269"/>
      <c r="BH45" s="269"/>
      <c r="BI45" s="269"/>
      <c r="BJ45" s="269"/>
      <c r="BK45" s="269"/>
      <c r="BL45" s="269"/>
      <c r="BM45" s="269"/>
      <c r="BN45" s="269"/>
      <c r="BO45" s="269"/>
      <c r="BP45" s="269"/>
      <c r="BQ45" s="269"/>
      <c r="BR45" s="269"/>
      <c r="BS45" s="269"/>
      <c r="BT45" s="269"/>
      <c r="BU45" s="269"/>
      <c r="BV45" s="269"/>
      <c r="BW45" s="269"/>
      <c r="BX45" s="269"/>
      <c r="BY45" s="269"/>
      <c r="BZ45" s="269"/>
      <c r="CA45" s="269"/>
      <c r="CB45" s="269"/>
      <c r="CC45" s="269"/>
      <c r="CD45" s="269"/>
      <c r="CE45" s="269"/>
      <c r="CF45" s="269"/>
      <c r="CG45" s="269"/>
      <c r="CH45" s="269"/>
      <c r="CI45" s="269"/>
      <c r="CJ45" s="269"/>
      <c r="CK45" s="269"/>
      <c r="CL45" s="269"/>
      <c r="CM45" s="269"/>
      <c r="CN45" s="269"/>
      <c r="CO45" s="269"/>
      <c r="CP45" s="269"/>
      <c r="CQ45" s="269"/>
      <c r="CR45" s="269"/>
      <c r="CS45" s="269"/>
      <c r="CT45" s="269"/>
      <c r="CU45" s="269"/>
      <c r="CV45" s="269"/>
      <c r="CW45" s="269"/>
      <c r="CX45" s="269"/>
      <c r="CY45" s="269"/>
      <c r="CZ45" s="269"/>
      <c r="DA45" s="269"/>
      <c r="DB45" s="269"/>
      <c r="DC45" s="269"/>
      <c r="DD45" s="269"/>
      <c r="DE45" s="269"/>
      <c r="DF45" s="269"/>
      <c r="DG45" s="269"/>
      <c r="DH45" s="269"/>
      <c r="DI45" s="269"/>
      <c r="DJ45" s="269"/>
      <c r="DK45" s="269"/>
      <c r="DL45" s="269"/>
      <c r="DM45" s="269"/>
      <c r="DN45" s="269"/>
      <c r="DO45" s="269"/>
      <c r="DP45" s="269"/>
      <c r="DQ45" s="269"/>
      <c r="DR45" s="269"/>
      <c r="DS45" s="269"/>
      <c r="DT45" s="269"/>
      <c r="DU45" s="269"/>
      <c r="DV45" s="269"/>
      <c r="DW45" s="269"/>
      <c r="DX45" s="269"/>
      <c r="DY45" s="269"/>
      <c r="DZ45" s="269"/>
      <c r="EA45" s="269"/>
      <c r="EB45" s="269"/>
      <c r="EC45" s="269"/>
      <c r="ED45" s="269"/>
      <c r="EE45" s="269"/>
      <c r="EF45" s="269"/>
      <c r="EG45" s="269"/>
      <c r="EH45" s="269"/>
      <c r="EI45" s="269"/>
      <c r="EJ45" s="269"/>
      <c r="EK45" s="269"/>
      <c r="EL45" s="269"/>
      <c r="EM45" s="269"/>
      <c r="EN45" s="269"/>
      <c r="EO45" s="269"/>
      <c r="EP45" s="269"/>
      <c r="EQ45" s="269"/>
      <c r="ER45" s="269"/>
      <c r="ES45" s="269"/>
      <c r="ET45" s="269"/>
      <c r="EU45" s="269"/>
      <c r="EV45" s="269"/>
      <c r="EW45" s="269"/>
      <c r="EX45" s="269"/>
      <c r="EY45" s="269"/>
      <c r="EZ45" s="269"/>
      <c r="FA45" s="269"/>
      <c r="FB45" s="269"/>
      <c r="FC45" s="269"/>
      <c r="FD45" s="269"/>
      <c r="FE45" s="269"/>
      <c r="FF45" s="269"/>
      <c r="FG45" s="269"/>
      <c r="FH45" s="269"/>
      <c r="FI45" s="269"/>
      <c r="FJ45" s="269"/>
      <c r="FK45" s="269"/>
      <c r="FL45" s="269"/>
      <c r="FM45" s="269"/>
      <c r="FN45" s="269"/>
      <c r="FO45" s="269"/>
      <c r="FP45" s="269"/>
      <c r="FQ45" s="269"/>
      <c r="FR45" s="269"/>
      <c r="FS45" s="269"/>
      <c r="FT45" s="269"/>
      <c r="FU45" s="269"/>
      <c r="FV45" s="269"/>
      <c r="FW45" s="269"/>
      <c r="FX45" s="269"/>
      <c r="FY45" s="269"/>
      <c r="FZ45" s="269"/>
      <c r="GA45" s="269"/>
      <c r="GB45" s="269"/>
      <c r="GC45" s="269"/>
      <c r="GD45" s="269"/>
      <c r="GE45" s="269"/>
      <c r="GF45" s="269"/>
      <c r="GG45" s="269"/>
      <c r="GH45" s="269"/>
      <c r="GI45" s="269"/>
      <c r="GJ45" s="269"/>
      <c r="GK45" s="269"/>
      <c r="GL45" s="269"/>
      <c r="GM45" s="269"/>
      <c r="GN45" s="269"/>
      <c r="GO45" s="269"/>
      <c r="GP45" s="269"/>
      <c r="GQ45" s="269"/>
      <c r="GR45" s="269"/>
      <c r="GS45" s="269"/>
      <c r="GT45" s="269"/>
      <c r="GU45" s="269"/>
      <c r="GV45" s="269"/>
      <c r="GW45" s="269"/>
      <c r="GX45" s="269"/>
      <c r="GY45" s="269"/>
      <c r="GZ45" s="269"/>
      <c r="HA45" s="269"/>
      <c r="HB45" s="269"/>
      <c r="HC45" s="269"/>
      <c r="HD45" s="269"/>
      <c r="HE45" s="269"/>
      <c r="HF45" s="269"/>
      <c r="HG45" s="269"/>
      <c r="HH45" s="269"/>
      <c r="HI45" s="269"/>
      <c r="HJ45" s="269"/>
      <c r="HK45" s="269"/>
      <c r="HL45" s="269"/>
      <c r="HM45" s="269"/>
      <c r="HN45" s="269"/>
      <c r="HO45" s="269"/>
      <c r="HP45" s="269"/>
      <c r="HQ45" s="269"/>
      <c r="HR45" s="269"/>
      <c r="HS45" s="269"/>
      <c r="HT45" s="269"/>
      <c r="HU45" s="269"/>
      <c r="HV45" s="269"/>
      <c r="HW45" s="269"/>
      <c r="HX45" s="269"/>
      <c r="HY45" s="269"/>
      <c r="HZ45" s="269"/>
      <c r="IA45" s="269"/>
      <c r="IB45" s="269"/>
      <c r="IC45" s="269"/>
      <c r="ID45" s="269"/>
      <c r="IE45" s="269"/>
      <c r="IF45" s="269"/>
      <c r="IG45" s="269"/>
      <c r="IH45" s="269"/>
      <c r="II45" s="269"/>
      <c r="IJ45" s="269"/>
      <c r="IK45" s="269"/>
      <c r="IL45" s="269"/>
      <c r="IM45" s="269"/>
      <c r="IN45" s="269"/>
      <c r="IO45" s="269"/>
      <c r="IP45" s="269"/>
      <c r="IQ45" s="269"/>
      <c r="IR45" s="269"/>
      <c r="IS45" s="269"/>
      <c r="IT45" s="269"/>
      <c r="IU45" s="269"/>
      <c r="IV45" s="269"/>
      <c r="IW45" s="269"/>
      <c r="IX45" s="269"/>
      <c r="IY45" s="269"/>
      <c r="IZ45" s="269"/>
      <c r="JA45" s="269"/>
      <c r="JB45" s="269"/>
      <c r="JC45" s="269"/>
      <c r="JD45" s="269"/>
      <c r="JE45" s="269"/>
      <c r="JF45" s="269"/>
      <c r="JG45" s="269"/>
      <c r="JH45" s="269"/>
      <c r="JI45" s="269"/>
      <c r="JJ45" s="269"/>
      <c r="JK45" s="269"/>
      <c r="JL45" s="269"/>
      <c r="JM45" s="269"/>
      <c r="JN45" s="269"/>
      <c r="JO45" s="269"/>
      <c r="JP45" s="269"/>
      <c r="JQ45" s="269"/>
      <c r="JR45" s="269"/>
      <c r="JS45" s="269"/>
      <c r="JT45" s="269"/>
      <c r="JU45" s="269"/>
      <c r="JV45" s="269"/>
      <c r="JW45" s="269"/>
      <c r="JX45" s="269"/>
      <c r="JY45" s="269"/>
      <c r="JZ45" s="269"/>
      <c r="KA45" s="269"/>
      <c r="KB45" s="269"/>
      <c r="KC45" s="269"/>
      <c r="KD45" s="269"/>
      <c r="KE45" s="269"/>
      <c r="KF45" s="269"/>
      <c r="KG45" s="269"/>
      <c r="KH45" s="269"/>
      <c r="KI45" s="269"/>
      <c r="KJ45" s="269"/>
      <c r="KK45" s="269"/>
      <c r="KL45" s="269"/>
      <c r="KM45" s="269"/>
      <c r="KN45" s="269"/>
      <c r="KO45" s="269"/>
      <c r="KP45" s="269"/>
      <c r="KQ45" s="269"/>
      <c r="KR45" s="269"/>
      <c r="KS45" s="269"/>
      <c r="KT45" s="269"/>
      <c r="KU45" s="269"/>
      <c r="KV45" s="269"/>
      <c r="KW45" s="269"/>
      <c r="KX45" s="269"/>
      <c r="KY45" s="269"/>
      <c r="KZ45" s="269"/>
      <c r="LA45" s="269"/>
      <c r="LB45" s="269"/>
      <c r="LC45" s="269"/>
      <c r="LD45" s="269"/>
      <c r="LE45" s="269"/>
      <c r="LF45" s="269"/>
      <c r="LG45" s="269"/>
      <c r="LH45" s="269"/>
      <c r="LI45" s="269"/>
      <c r="LJ45" s="269"/>
      <c r="LK45" s="269"/>
      <c r="LL45" s="269"/>
      <c r="LM45" s="269"/>
      <c r="LN45" s="269"/>
      <c r="LO45" s="269"/>
      <c r="LP45" s="269"/>
      <c r="LQ45" s="269"/>
      <c r="LR45" s="269"/>
      <c r="LS45" s="269"/>
      <c r="LT45" s="269"/>
      <c r="LU45" s="269"/>
      <c r="LV45" s="269"/>
      <c r="LW45" s="269"/>
      <c r="LX45" s="269"/>
      <c r="LY45" s="269"/>
      <c r="LZ45" s="269"/>
      <c r="MA45" s="269"/>
      <c r="MB45" s="269"/>
      <c r="MC45" s="269"/>
      <c r="MD45" s="269"/>
      <c r="ME45" s="269"/>
      <c r="MF45" s="269"/>
      <c r="MG45" s="269"/>
      <c r="MH45" s="269"/>
      <c r="MI45" s="269"/>
      <c r="MJ45" s="269"/>
      <c r="MK45" s="269"/>
      <c r="ML45" s="269"/>
      <c r="MM45" s="269"/>
      <c r="MN45" s="269"/>
      <c r="MO45" s="269"/>
      <c r="MP45" s="269"/>
      <c r="MQ45" s="269"/>
      <c r="MR45" s="269"/>
      <c r="MS45" s="269"/>
      <c r="MT45" s="269"/>
      <c r="MU45" s="269"/>
      <c r="MV45" s="269"/>
      <c r="MW45" s="269"/>
      <c r="MX45" s="269"/>
      <c r="MY45" s="269"/>
      <c r="MZ45" s="269"/>
      <c r="NA45" s="269"/>
      <c r="NB45" s="269"/>
      <c r="NC45" s="269"/>
      <c r="ND45" s="269"/>
      <c r="NE45" s="269"/>
      <c r="NF45" s="269"/>
      <c r="NG45" s="269"/>
      <c r="NH45" s="269"/>
      <c r="NI45" s="269"/>
      <c r="NJ45" s="269"/>
      <c r="NK45" s="269"/>
      <c r="NL45" s="269"/>
      <c r="NM45" s="269"/>
      <c r="NN45" s="269"/>
      <c r="NO45" s="269"/>
      <c r="NP45" s="269"/>
      <c r="NQ45" s="269"/>
      <c r="NR45" s="269"/>
      <c r="NS45" s="269"/>
      <c r="NT45" s="269"/>
      <c r="NU45" s="269"/>
      <c r="NV45" s="269"/>
      <c r="NW45" s="269"/>
      <c r="NX45" s="269"/>
      <c r="NY45" s="269"/>
      <c r="NZ45" s="269"/>
      <c r="OA45" s="269"/>
      <c r="OB45" s="269"/>
      <c r="OC45" s="269"/>
      <c r="OD45" s="269"/>
      <c r="OE45" s="269"/>
      <c r="OF45" s="269"/>
      <c r="OG45" s="269"/>
      <c r="OH45" s="269"/>
      <c r="OI45" s="269"/>
      <c r="OJ45" s="269"/>
      <c r="OK45" s="269"/>
      <c r="OL45" s="269"/>
      <c r="OM45" s="269"/>
      <c r="ON45" s="269"/>
      <c r="OO45" s="269"/>
      <c r="OP45" s="269"/>
      <c r="OQ45" s="269"/>
      <c r="OR45" s="269"/>
      <c r="OS45" s="269"/>
      <c r="OT45" s="269"/>
      <c r="OU45" s="269"/>
      <c r="OV45" s="269"/>
      <c r="OW45" s="269"/>
      <c r="OX45" s="269"/>
      <c r="OY45" s="269"/>
      <c r="OZ45" s="269"/>
      <c r="PA45" s="269"/>
      <c r="PB45" s="269"/>
      <c r="PC45" s="269"/>
    </row>
    <row r="46" spans="1:419">
      <c r="A46" s="269"/>
      <c r="B46" s="285" t="s">
        <v>1</v>
      </c>
      <c r="C46" s="285" t="s">
        <v>8</v>
      </c>
      <c r="D46" s="285" t="s">
        <v>9</v>
      </c>
      <c r="E46" s="285" t="s">
        <v>10</v>
      </c>
      <c r="F46" s="285" t="s">
        <v>58</v>
      </c>
      <c r="G46" s="285" t="s">
        <v>325</v>
      </c>
      <c r="H46" s="285" t="s">
        <v>384</v>
      </c>
      <c r="I46" s="285" t="s">
        <v>409</v>
      </c>
      <c r="J46" s="285" t="s">
        <v>436</v>
      </c>
      <c r="K46" s="285" t="s">
        <v>445</v>
      </c>
      <c r="L46" s="285" t="s">
        <v>545</v>
      </c>
      <c r="M46" s="285" t="s">
        <v>1</v>
      </c>
      <c r="N46" s="285" t="s">
        <v>8</v>
      </c>
      <c r="O46" s="285" t="s">
        <v>9</v>
      </c>
      <c r="P46" s="285" t="s">
        <v>10</v>
      </c>
      <c r="Q46" s="285" t="s">
        <v>58</v>
      </c>
      <c r="R46" s="285" t="s">
        <v>325</v>
      </c>
      <c r="S46" s="285" t="s">
        <v>384</v>
      </c>
      <c r="T46" s="285" t="s">
        <v>409</v>
      </c>
      <c r="U46" s="285" t="s">
        <v>436</v>
      </c>
      <c r="V46" s="285" t="s">
        <v>445</v>
      </c>
      <c r="W46" s="285" t="s">
        <v>545</v>
      </c>
      <c r="X46" s="269"/>
      <c r="Y46" s="269"/>
      <c r="Z46" s="269"/>
      <c r="AA46" s="269"/>
      <c r="AB46" s="269"/>
      <c r="AC46" s="269"/>
      <c r="AD46" s="269"/>
      <c r="AE46" s="269"/>
      <c r="AF46" s="269"/>
      <c r="AG46" s="269"/>
      <c r="AH46" s="269"/>
      <c r="AI46" s="269"/>
      <c r="AJ46" s="269"/>
      <c r="AK46" s="269"/>
      <c r="AL46" s="269"/>
      <c r="AM46" s="269"/>
      <c r="AN46" s="269"/>
      <c r="AO46" s="269"/>
      <c r="AP46" s="269"/>
      <c r="AQ46" s="269"/>
      <c r="AR46" s="269"/>
      <c r="AS46" s="269"/>
      <c r="AT46" s="269"/>
      <c r="AU46" s="269"/>
      <c r="AV46" s="269"/>
      <c r="AW46" s="269"/>
      <c r="AX46" s="269"/>
      <c r="AY46" s="269"/>
      <c r="AZ46" s="269"/>
      <c r="BA46" s="269"/>
      <c r="BB46" s="269"/>
      <c r="BC46" s="269"/>
      <c r="BD46" s="269"/>
      <c r="BE46" s="269"/>
      <c r="BF46" s="269"/>
      <c r="BG46" s="269"/>
      <c r="BH46" s="269"/>
      <c r="BI46" s="269"/>
      <c r="BJ46" s="269"/>
      <c r="BK46" s="269"/>
      <c r="BL46" s="269"/>
      <c r="BM46" s="269"/>
      <c r="BN46" s="269"/>
      <c r="BO46" s="269"/>
      <c r="BP46" s="269"/>
      <c r="BQ46" s="269"/>
      <c r="BR46" s="269"/>
      <c r="BS46" s="269"/>
      <c r="BT46" s="269"/>
      <c r="BU46" s="269"/>
      <c r="BV46" s="269"/>
      <c r="BW46" s="269"/>
      <c r="BX46" s="269"/>
      <c r="BY46" s="269"/>
      <c r="BZ46" s="269"/>
      <c r="CA46" s="269"/>
      <c r="CB46" s="269"/>
      <c r="CC46" s="269"/>
      <c r="CD46" s="269"/>
      <c r="CE46" s="269"/>
      <c r="CF46" s="269"/>
      <c r="CG46" s="269"/>
      <c r="CH46" s="269"/>
      <c r="CI46" s="269"/>
      <c r="CJ46" s="269"/>
      <c r="CK46" s="269"/>
      <c r="CL46" s="269"/>
      <c r="CM46" s="269"/>
      <c r="CN46" s="269"/>
      <c r="CO46" s="269"/>
      <c r="CP46" s="269"/>
      <c r="CQ46" s="269"/>
      <c r="CR46" s="269"/>
      <c r="CS46" s="269"/>
      <c r="CT46" s="269"/>
      <c r="CU46" s="269"/>
      <c r="CV46" s="269"/>
      <c r="CW46" s="269"/>
      <c r="CX46" s="269"/>
      <c r="CY46" s="269"/>
      <c r="CZ46" s="269"/>
      <c r="DA46" s="269"/>
      <c r="DB46" s="269"/>
      <c r="DC46" s="269"/>
      <c r="DD46" s="269"/>
      <c r="DE46" s="269"/>
      <c r="DF46" s="269"/>
      <c r="DG46" s="269"/>
      <c r="DH46" s="269"/>
      <c r="DI46" s="269"/>
      <c r="DJ46" s="269"/>
      <c r="DK46" s="269"/>
      <c r="DL46" s="269"/>
      <c r="DM46" s="269"/>
      <c r="DN46" s="269"/>
      <c r="DO46" s="269"/>
      <c r="DP46" s="269"/>
      <c r="DQ46" s="269"/>
      <c r="DR46" s="269"/>
      <c r="DS46" s="269"/>
      <c r="DT46" s="269"/>
      <c r="DU46" s="269"/>
      <c r="DV46" s="269"/>
      <c r="DW46" s="269"/>
      <c r="DX46" s="269"/>
      <c r="DY46" s="269"/>
      <c r="DZ46" s="269"/>
      <c r="EA46" s="269"/>
      <c r="EB46" s="269"/>
      <c r="EC46" s="269"/>
      <c r="ED46" s="269"/>
      <c r="EE46" s="269"/>
      <c r="EF46" s="269"/>
      <c r="EG46" s="269"/>
      <c r="EH46" s="269"/>
      <c r="EI46" s="269"/>
      <c r="EJ46" s="269"/>
      <c r="EK46" s="269"/>
      <c r="EL46" s="269"/>
      <c r="EM46" s="269"/>
      <c r="EN46" s="269"/>
      <c r="EO46" s="269"/>
      <c r="EP46" s="269"/>
      <c r="EQ46" s="269"/>
      <c r="ER46" s="269"/>
      <c r="ES46" s="269"/>
      <c r="ET46" s="269"/>
      <c r="EU46" s="269"/>
      <c r="EV46" s="269"/>
      <c r="EW46" s="269"/>
      <c r="EX46" s="269"/>
      <c r="EY46" s="269"/>
      <c r="EZ46" s="269"/>
      <c r="FA46" s="269"/>
      <c r="FB46" s="269"/>
      <c r="FC46" s="269"/>
      <c r="FD46" s="269"/>
      <c r="FE46" s="269"/>
      <c r="FF46" s="269"/>
      <c r="FG46" s="269"/>
      <c r="FH46" s="269"/>
      <c r="FI46" s="269"/>
      <c r="FJ46" s="269"/>
      <c r="FK46" s="269"/>
      <c r="FL46" s="269"/>
      <c r="FM46" s="269"/>
      <c r="FN46" s="269"/>
      <c r="FO46" s="269"/>
      <c r="FP46" s="269"/>
      <c r="FQ46" s="269"/>
      <c r="FR46" s="269"/>
      <c r="FS46" s="269"/>
      <c r="FT46" s="269"/>
      <c r="FU46" s="269"/>
      <c r="FV46" s="269"/>
      <c r="FW46" s="269"/>
      <c r="FX46" s="269"/>
      <c r="FY46" s="269"/>
      <c r="FZ46" s="269"/>
      <c r="GA46" s="269"/>
      <c r="GB46" s="269"/>
      <c r="GC46" s="269"/>
      <c r="GD46" s="269"/>
      <c r="GE46" s="269"/>
      <c r="GF46" s="269"/>
      <c r="GG46" s="269"/>
      <c r="GH46" s="269"/>
      <c r="GI46" s="269"/>
      <c r="GJ46" s="269"/>
      <c r="GK46" s="269"/>
      <c r="GL46" s="269"/>
      <c r="GM46" s="269"/>
      <c r="GN46" s="269"/>
      <c r="GO46" s="269"/>
      <c r="GP46" s="269"/>
      <c r="GQ46" s="269"/>
      <c r="GR46" s="269"/>
      <c r="GS46" s="269"/>
      <c r="GT46" s="269"/>
      <c r="GU46" s="269"/>
      <c r="GV46" s="269"/>
      <c r="GW46" s="269"/>
      <c r="GX46" s="269"/>
      <c r="GY46" s="269"/>
      <c r="GZ46" s="269"/>
      <c r="HA46" s="269"/>
      <c r="HB46" s="269"/>
      <c r="HC46" s="269"/>
      <c r="HD46" s="269"/>
      <c r="HE46" s="269"/>
      <c r="HF46" s="269"/>
      <c r="HG46" s="269"/>
      <c r="HH46" s="269"/>
      <c r="HI46" s="269"/>
      <c r="HJ46" s="269"/>
      <c r="HK46" s="269"/>
      <c r="HL46" s="269"/>
      <c r="HM46" s="269"/>
      <c r="HN46" s="269"/>
      <c r="HO46" s="269"/>
      <c r="HP46" s="269"/>
      <c r="HQ46" s="269"/>
      <c r="HR46" s="269"/>
      <c r="HS46" s="269"/>
      <c r="HT46" s="269"/>
      <c r="HU46" s="269"/>
      <c r="HV46" s="269"/>
      <c r="HW46" s="269"/>
      <c r="HX46" s="269"/>
      <c r="HY46" s="269"/>
      <c r="HZ46" s="269"/>
      <c r="IA46" s="269"/>
      <c r="IB46" s="269"/>
      <c r="IC46" s="269"/>
      <c r="ID46" s="269"/>
      <c r="IE46" s="269"/>
      <c r="IF46" s="269"/>
      <c r="IG46" s="269"/>
      <c r="IH46" s="269"/>
      <c r="II46" s="269"/>
      <c r="IJ46" s="269"/>
      <c r="IK46" s="269"/>
      <c r="IL46" s="269"/>
      <c r="IM46" s="269"/>
      <c r="IN46" s="269"/>
      <c r="IO46" s="269"/>
      <c r="IP46" s="269"/>
      <c r="IQ46" s="269"/>
      <c r="IR46" s="269"/>
      <c r="IS46" s="269"/>
      <c r="IT46" s="269"/>
      <c r="IU46" s="269"/>
      <c r="IV46" s="269"/>
      <c r="IW46" s="269"/>
      <c r="IX46" s="269"/>
      <c r="IY46" s="269"/>
      <c r="IZ46" s="269"/>
      <c r="JA46" s="269"/>
      <c r="JB46" s="269"/>
      <c r="JC46" s="269"/>
      <c r="JD46" s="269"/>
      <c r="JE46" s="269"/>
      <c r="JF46" s="269"/>
      <c r="JG46" s="269"/>
      <c r="JH46" s="269"/>
      <c r="JI46" s="269"/>
      <c r="JJ46" s="269"/>
      <c r="JK46" s="269"/>
      <c r="JL46" s="269"/>
      <c r="JM46" s="269"/>
      <c r="JN46" s="269"/>
      <c r="JO46" s="269"/>
      <c r="JP46" s="269"/>
      <c r="JQ46" s="269"/>
      <c r="JR46" s="269"/>
      <c r="JS46" s="269"/>
      <c r="JT46" s="269"/>
      <c r="JU46" s="269"/>
      <c r="JV46" s="269"/>
      <c r="JW46" s="269"/>
      <c r="JX46" s="269"/>
      <c r="JY46" s="269"/>
      <c r="JZ46" s="269"/>
      <c r="KA46" s="269"/>
      <c r="KB46" s="269"/>
      <c r="KC46" s="269"/>
      <c r="KD46" s="269"/>
      <c r="KE46" s="269"/>
      <c r="KF46" s="269"/>
      <c r="KG46" s="269"/>
      <c r="KH46" s="269"/>
      <c r="KI46" s="269"/>
      <c r="KJ46" s="269"/>
      <c r="KK46" s="269"/>
      <c r="KL46" s="269"/>
      <c r="KM46" s="269"/>
      <c r="KN46" s="269"/>
      <c r="KO46" s="269"/>
      <c r="KP46" s="269"/>
      <c r="KQ46" s="269"/>
      <c r="KR46" s="269"/>
      <c r="KS46" s="269"/>
      <c r="KT46" s="269"/>
      <c r="KU46" s="269"/>
      <c r="KV46" s="269"/>
      <c r="KW46" s="269"/>
      <c r="KX46" s="269"/>
      <c r="KY46" s="269"/>
      <c r="KZ46" s="269"/>
      <c r="LA46" s="269"/>
      <c r="LB46" s="269"/>
      <c r="LC46" s="269"/>
      <c r="LD46" s="269"/>
      <c r="LE46" s="269"/>
      <c r="LF46" s="269"/>
      <c r="LG46" s="269"/>
      <c r="LH46" s="269"/>
      <c r="LI46" s="269"/>
      <c r="LJ46" s="269"/>
      <c r="LK46" s="269"/>
      <c r="LL46" s="269"/>
      <c r="LM46" s="269"/>
      <c r="LN46" s="269"/>
      <c r="LO46" s="269"/>
      <c r="LP46" s="269"/>
      <c r="LQ46" s="269"/>
      <c r="LR46" s="269"/>
      <c r="LS46" s="269"/>
      <c r="LT46" s="269"/>
      <c r="LU46" s="269"/>
      <c r="LV46" s="269"/>
      <c r="LW46" s="269"/>
      <c r="LX46" s="269"/>
      <c r="LY46" s="269"/>
      <c r="LZ46" s="269"/>
      <c r="MA46" s="269"/>
      <c r="MB46" s="269"/>
      <c r="MC46" s="269"/>
      <c r="MD46" s="269"/>
      <c r="ME46" s="269"/>
      <c r="MF46" s="269"/>
      <c r="MG46" s="269"/>
      <c r="MH46" s="269"/>
      <c r="MI46" s="269"/>
      <c r="MJ46" s="269"/>
      <c r="MK46" s="269"/>
      <c r="ML46" s="269"/>
      <c r="MM46" s="269"/>
      <c r="MN46" s="269"/>
      <c r="MO46" s="269"/>
      <c r="MP46" s="269"/>
      <c r="MQ46" s="269"/>
      <c r="MR46" s="269"/>
      <c r="MS46" s="269"/>
      <c r="MT46" s="269"/>
      <c r="MU46" s="269"/>
      <c r="MV46" s="269"/>
      <c r="MW46" s="269"/>
      <c r="MX46" s="269"/>
      <c r="MY46" s="269"/>
      <c r="MZ46" s="269"/>
      <c r="NA46" s="269"/>
      <c r="NB46" s="269"/>
      <c r="NC46" s="269"/>
      <c r="ND46" s="269"/>
      <c r="NE46" s="269"/>
      <c r="NF46" s="269"/>
      <c r="NG46" s="269"/>
      <c r="NH46" s="269"/>
      <c r="NI46" s="269"/>
      <c r="NJ46" s="269"/>
      <c r="NK46" s="269"/>
      <c r="NL46" s="269"/>
      <c r="NM46" s="269"/>
      <c r="NN46" s="269"/>
      <c r="NO46" s="269"/>
      <c r="NP46" s="269"/>
      <c r="NQ46" s="269"/>
      <c r="NR46" s="269"/>
      <c r="NS46" s="269"/>
      <c r="NT46" s="269"/>
      <c r="NU46" s="269"/>
      <c r="NV46" s="269"/>
      <c r="NW46" s="269"/>
      <c r="NX46" s="269"/>
      <c r="NY46" s="269"/>
      <c r="NZ46" s="269"/>
      <c r="OA46" s="269"/>
      <c r="OB46" s="269"/>
      <c r="OC46" s="269"/>
      <c r="OD46" s="269"/>
      <c r="OE46" s="269"/>
      <c r="OF46" s="269"/>
      <c r="OG46" s="269"/>
      <c r="OH46" s="269"/>
      <c r="OI46" s="269"/>
      <c r="OJ46" s="269"/>
      <c r="OK46" s="269"/>
      <c r="OL46" s="269"/>
      <c r="OM46" s="269"/>
      <c r="ON46" s="269"/>
      <c r="OO46" s="269"/>
      <c r="OP46" s="269"/>
      <c r="OQ46" s="269"/>
      <c r="OR46" s="269"/>
      <c r="OS46" s="269"/>
      <c r="OT46" s="269"/>
      <c r="OU46" s="269"/>
      <c r="OV46" s="269"/>
      <c r="OW46" s="269"/>
      <c r="OX46" s="269"/>
      <c r="OY46" s="269"/>
      <c r="OZ46" s="269"/>
      <c r="PA46" s="269"/>
      <c r="PB46" s="269"/>
      <c r="PC46" s="269"/>
    </row>
    <row r="47" spans="1:419">
      <c r="A47" s="269"/>
      <c r="B47" s="285" t="s">
        <v>11</v>
      </c>
      <c r="C47" s="269"/>
      <c r="D47" s="269"/>
      <c r="E47" s="269"/>
      <c r="F47" s="269"/>
      <c r="G47" s="273">
        <v>1.4814814814814836E-2</v>
      </c>
      <c r="H47" s="273">
        <v>1.4084507042253502E-2</v>
      </c>
      <c r="I47" s="273">
        <v>0</v>
      </c>
      <c r="J47" s="273">
        <v>7.0921985815601829E-3</v>
      </c>
      <c r="K47" s="273">
        <v>7.2992700729928028E-3</v>
      </c>
      <c r="L47" s="273">
        <v>0</v>
      </c>
      <c r="M47" s="285" t="s">
        <v>11</v>
      </c>
      <c r="N47" s="269"/>
      <c r="O47" s="269"/>
      <c r="P47" s="269"/>
      <c r="Q47" s="269"/>
      <c r="R47" s="273">
        <v>3.2586524610213496E-2</v>
      </c>
      <c r="S47" s="273">
        <v>3.0174998742547032E-2</v>
      </c>
      <c r="T47" s="273">
        <v>1.41880672807011E-2</v>
      </c>
      <c r="U47" s="273">
        <v>2.3275190152390657E-2</v>
      </c>
      <c r="V47" s="273">
        <v>2.0019952384548345E-2</v>
      </c>
      <c r="W47" s="273">
        <v>2.3935431048081268E-2</v>
      </c>
      <c r="X47" s="269"/>
      <c r="Y47" s="269"/>
      <c r="Z47" s="269"/>
      <c r="AA47" s="269"/>
      <c r="AB47" s="269"/>
      <c r="AC47" s="269"/>
      <c r="AD47" s="269"/>
      <c r="AE47" s="269"/>
      <c r="AF47" s="269"/>
      <c r="AG47" s="269"/>
      <c r="AH47" s="269"/>
      <c r="AI47" s="269"/>
      <c r="AJ47" s="269"/>
      <c r="AK47" s="269"/>
      <c r="AL47" s="269"/>
      <c r="AM47" s="269"/>
      <c r="AN47" s="269"/>
      <c r="AO47" s="269"/>
      <c r="AP47" s="269"/>
      <c r="AQ47" s="269"/>
      <c r="AR47" s="269"/>
      <c r="AS47" s="269"/>
      <c r="AT47" s="269"/>
      <c r="AU47" s="269"/>
      <c r="AV47" s="269"/>
      <c r="AW47" s="269"/>
      <c r="AX47" s="269"/>
      <c r="AY47" s="269"/>
      <c r="AZ47" s="269"/>
      <c r="BA47" s="269"/>
      <c r="BB47" s="269"/>
      <c r="BC47" s="269"/>
      <c r="BD47" s="269"/>
      <c r="BE47" s="269"/>
      <c r="BF47" s="269"/>
      <c r="BG47" s="269"/>
      <c r="BH47" s="269"/>
      <c r="BI47" s="269"/>
      <c r="BJ47" s="269"/>
      <c r="BK47" s="269"/>
      <c r="BL47" s="269"/>
      <c r="BM47" s="269"/>
      <c r="BN47" s="269"/>
      <c r="BO47" s="269"/>
      <c r="BP47" s="269"/>
      <c r="BQ47" s="269"/>
      <c r="BR47" s="269"/>
      <c r="BS47" s="269"/>
      <c r="BT47" s="269"/>
      <c r="BU47" s="269"/>
      <c r="BV47" s="269"/>
      <c r="BW47" s="269"/>
      <c r="BX47" s="269"/>
      <c r="BY47" s="269"/>
      <c r="BZ47" s="269"/>
      <c r="CA47" s="269"/>
      <c r="CB47" s="269"/>
      <c r="CC47" s="269"/>
      <c r="CD47" s="269"/>
      <c r="CE47" s="269"/>
      <c r="CF47" s="269"/>
      <c r="CG47" s="269"/>
      <c r="CH47" s="269"/>
      <c r="CI47" s="269"/>
      <c r="CJ47" s="269"/>
      <c r="CK47" s="269"/>
      <c r="CL47" s="269"/>
      <c r="CM47" s="269"/>
      <c r="CN47" s="269"/>
      <c r="CO47" s="269"/>
      <c r="CP47" s="269"/>
      <c r="CQ47" s="269"/>
      <c r="CR47" s="269"/>
      <c r="CS47" s="269"/>
      <c r="CT47" s="269"/>
      <c r="CU47" s="269"/>
      <c r="CV47" s="269"/>
      <c r="CW47" s="269"/>
      <c r="CX47" s="269"/>
      <c r="CY47" s="269"/>
      <c r="CZ47" s="269"/>
      <c r="DA47" s="269"/>
      <c r="DB47" s="269"/>
      <c r="DC47" s="269"/>
      <c r="DD47" s="269"/>
      <c r="DE47" s="269"/>
      <c r="DF47" s="269"/>
      <c r="DG47" s="269"/>
      <c r="DH47" s="269"/>
      <c r="DI47" s="269"/>
      <c r="DJ47" s="269"/>
      <c r="DK47" s="269"/>
      <c r="DL47" s="269"/>
      <c r="DM47" s="269"/>
      <c r="DN47" s="269"/>
      <c r="DO47" s="269"/>
      <c r="DP47" s="269"/>
      <c r="DQ47" s="269"/>
      <c r="DR47" s="269"/>
      <c r="DS47" s="269"/>
      <c r="DT47" s="269"/>
      <c r="DU47" s="269"/>
      <c r="DV47" s="269"/>
      <c r="DW47" s="269"/>
      <c r="DX47" s="269"/>
      <c r="DY47" s="269"/>
      <c r="DZ47" s="269"/>
      <c r="EA47" s="269"/>
      <c r="EB47" s="269"/>
      <c r="EC47" s="269"/>
      <c r="ED47" s="269"/>
      <c r="EE47" s="269"/>
      <c r="EF47" s="269"/>
      <c r="EG47" s="269"/>
      <c r="EH47" s="269"/>
      <c r="EI47" s="269"/>
      <c r="EJ47" s="269"/>
      <c r="EK47" s="269"/>
      <c r="EL47" s="269"/>
      <c r="EM47" s="269"/>
      <c r="EN47" s="269"/>
      <c r="EO47" s="269"/>
      <c r="EP47" s="269"/>
      <c r="EQ47" s="269"/>
      <c r="ER47" s="269"/>
      <c r="ES47" s="269"/>
      <c r="ET47" s="269"/>
      <c r="EU47" s="269"/>
      <c r="EV47" s="269"/>
      <c r="EW47" s="269"/>
      <c r="EX47" s="269"/>
      <c r="EY47" s="269"/>
      <c r="EZ47" s="269"/>
      <c r="FA47" s="269"/>
      <c r="FB47" s="269"/>
      <c r="FC47" s="269"/>
      <c r="FD47" s="269"/>
      <c r="FE47" s="269"/>
      <c r="FF47" s="269"/>
      <c r="FG47" s="269"/>
      <c r="FH47" s="269"/>
      <c r="FI47" s="269"/>
      <c r="FJ47" s="269"/>
      <c r="FK47" s="269"/>
      <c r="FL47" s="269"/>
      <c r="FM47" s="269"/>
      <c r="FN47" s="269"/>
      <c r="FO47" s="269"/>
      <c r="FP47" s="269"/>
      <c r="FQ47" s="269"/>
      <c r="FR47" s="269"/>
      <c r="FS47" s="269"/>
      <c r="FT47" s="269"/>
      <c r="FU47" s="269"/>
      <c r="FV47" s="269"/>
      <c r="FW47" s="269"/>
      <c r="FX47" s="269"/>
      <c r="FY47" s="269"/>
      <c r="FZ47" s="269"/>
      <c r="GA47" s="269"/>
      <c r="GB47" s="269"/>
      <c r="GC47" s="269"/>
      <c r="GD47" s="269"/>
      <c r="GE47" s="269"/>
      <c r="GF47" s="269"/>
      <c r="GG47" s="269"/>
      <c r="GH47" s="269"/>
      <c r="GI47" s="269"/>
      <c r="GJ47" s="269"/>
      <c r="GK47" s="269"/>
      <c r="GL47" s="269"/>
      <c r="GM47" s="269"/>
      <c r="GN47" s="269"/>
      <c r="GO47" s="269"/>
      <c r="GP47" s="269"/>
      <c r="GQ47" s="269"/>
      <c r="GR47" s="269"/>
      <c r="GS47" s="269"/>
      <c r="GT47" s="269"/>
      <c r="GU47" s="269"/>
      <c r="GV47" s="269"/>
      <c r="GW47" s="269"/>
      <c r="GX47" s="269"/>
      <c r="GY47" s="269"/>
      <c r="GZ47" s="269"/>
      <c r="HA47" s="269"/>
      <c r="HB47" s="269"/>
      <c r="HC47" s="269"/>
      <c r="HD47" s="269"/>
      <c r="HE47" s="269"/>
      <c r="HF47" s="269"/>
      <c r="HG47" s="269"/>
      <c r="HH47" s="269"/>
      <c r="HI47" s="269"/>
      <c r="HJ47" s="269"/>
      <c r="HK47" s="269"/>
      <c r="HL47" s="269"/>
      <c r="HM47" s="269"/>
      <c r="HN47" s="269"/>
      <c r="HO47" s="269"/>
      <c r="HP47" s="269"/>
      <c r="HQ47" s="269"/>
      <c r="HR47" s="269"/>
      <c r="HS47" s="269"/>
      <c r="HT47" s="269"/>
      <c r="HU47" s="269"/>
      <c r="HV47" s="269"/>
      <c r="HW47" s="269"/>
      <c r="HX47" s="269"/>
      <c r="HY47" s="269"/>
      <c r="HZ47" s="269"/>
      <c r="IA47" s="269"/>
      <c r="IB47" s="269"/>
      <c r="IC47" s="269"/>
      <c r="ID47" s="269"/>
      <c r="IE47" s="269"/>
      <c r="IF47" s="269"/>
      <c r="IG47" s="269"/>
      <c r="IH47" s="269"/>
      <c r="II47" s="269"/>
      <c r="IJ47" s="269"/>
      <c r="IK47" s="269"/>
      <c r="IL47" s="269"/>
      <c r="IM47" s="269"/>
      <c r="IN47" s="269"/>
      <c r="IO47" s="269"/>
      <c r="IP47" s="269"/>
      <c r="IQ47" s="269"/>
      <c r="IR47" s="269"/>
      <c r="IS47" s="269"/>
      <c r="IT47" s="269"/>
      <c r="IU47" s="269"/>
      <c r="IV47" s="269"/>
      <c r="IW47" s="269"/>
      <c r="IX47" s="269"/>
      <c r="IY47" s="269"/>
      <c r="IZ47" s="269"/>
      <c r="JA47" s="269"/>
      <c r="JB47" s="269"/>
      <c r="JC47" s="269"/>
      <c r="JD47" s="269"/>
      <c r="JE47" s="269"/>
      <c r="JF47" s="269"/>
      <c r="JG47" s="269"/>
      <c r="JH47" s="269"/>
      <c r="JI47" s="269"/>
      <c r="JJ47" s="269"/>
      <c r="JK47" s="269"/>
      <c r="JL47" s="269"/>
      <c r="JM47" s="269"/>
      <c r="JN47" s="269"/>
      <c r="JO47" s="269"/>
      <c r="JP47" s="269"/>
      <c r="JQ47" s="269"/>
      <c r="JR47" s="269"/>
      <c r="JS47" s="269"/>
      <c r="JT47" s="269"/>
      <c r="JU47" s="269"/>
      <c r="JV47" s="269"/>
      <c r="JW47" s="269"/>
      <c r="JX47" s="269"/>
      <c r="JY47" s="269"/>
      <c r="JZ47" s="269"/>
      <c r="KA47" s="269"/>
      <c r="KB47" s="269"/>
      <c r="KC47" s="269"/>
      <c r="KD47" s="269"/>
      <c r="KE47" s="269"/>
      <c r="KF47" s="269"/>
      <c r="KG47" s="269"/>
      <c r="KH47" s="269"/>
      <c r="KI47" s="269"/>
      <c r="KJ47" s="269"/>
      <c r="KK47" s="269"/>
      <c r="KL47" s="269"/>
      <c r="KM47" s="269"/>
      <c r="KN47" s="269"/>
      <c r="KO47" s="269"/>
      <c r="KP47" s="269"/>
      <c r="KQ47" s="269"/>
      <c r="KR47" s="269"/>
      <c r="KS47" s="269"/>
      <c r="KT47" s="269"/>
      <c r="KU47" s="269"/>
      <c r="KV47" s="269"/>
      <c r="KW47" s="269"/>
      <c r="KX47" s="269"/>
      <c r="KY47" s="269"/>
      <c r="KZ47" s="269"/>
      <c r="LA47" s="269"/>
      <c r="LB47" s="269"/>
      <c r="LC47" s="269"/>
      <c r="LD47" s="269"/>
      <c r="LE47" s="269"/>
      <c r="LF47" s="269"/>
      <c r="LG47" s="269"/>
      <c r="LH47" s="269"/>
      <c r="LI47" s="269"/>
      <c r="LJ47" s="269"/>
      <c r="LK47" s="269"/>
      <c r="LL47" s="269"/>
      <c r="LM47" s="269"/>
      <c r="LN47" s="269"/>
      <c r="LO47" s="269"/>
      <c r="LP47" s="269"/>
      <c r="LQ47" s="269"/>
      <c r="LR47" s="269"/>
      <c r="LS47" s="269"/>
      <c r="LT47" s="269"/>
      <c r="LU47" s="269"/>
      <c r="LV47" s="269"/>
      <c r="LW47" s="269"/>
      <c r="LX47" s="269"/>
      <c r="LY47" s="269"/>
      <c r="LZ47" s="269"/>
      <c r="MA47" s="269"/>
      <c r="MB47" s="269"/>
      <c r="MC47" s="269"/>
      <c r="MD47" s="269"/>
      <c r="ME47" s="269"/>
      <c r="MF47" s="269"/>
      <c r="MG47" s="269"/>
      <c r="MH47" s="269"/>
      <c r="MI47" s="269"/>
      <c r="MJ47" s="269"/>
      <c r="MK47" s="269"/>
      <c r="ML47" s="269"/>
      <c r="MM47" s="269"/>
      <c r="MN47" s="269"/>
      <c r="MO47" s="269"/>
      <c r="MP47" s="269"/>
      <c r="MQ47" s="269"/>
      <c r="MR47" s="269"/>
      <c r="MS47" s="269"/>
      <c r="MT47" s="269"/>
      <c r="MU47" s="269"/>
      <c r="MV47" s="269"/>
      <c r="MW47" s="269"/>
      <c r="MX47" s="269"/>
      <c r="MY47" s="269"/>
      <c r="MZ47" s="269"/>
      <c r="NA47" s="269"/>
      <c r="NB47" s="269"/>
      <c r="NC47" s="269"/>
      <c r="ND47" s="269"/>
      <c r="NE47" s="269"/>
      <c r="NF47" s="269"/>
      <c r="NG47" s="269"/>
      <c r="NH47" s="269"/>
      <c r="NI47" s="269"/>
      <c r="NJ47" s="269"/>
      <c r="NK47" s="269"/>
      <c r="NL47" s="269"/>
      <c r="NM47" s="269"/>
      <c r="NN47" s="269"/>
      <c r="NO47" s="269"/>
      <c r="NP47" s="269"/>
      <c r="NQ47" s="269"/>
      <c r="NR47" s="269"/>
      <c r="NS47" s="269"/>
      <c r="NT47" s="269"/>
      <c r="NU47" s="269"/>
      <c r="NV47" s="269"/>
      <c r="NW47" s="269"/>
      <c r="NX47" s="269"/>
      <c r="NY47" s="269"/>
      <c r="NZ47" s="269"/>
      <c r="OA47" s="269"/>
      <c r="OB47" s="269"/>
      <c r="OC47" s="269"/>
      <c r="OD47" s="269"/>
      <c r="OE47" s="269"/>
      <c r="OF47" s="269"/>
      <c r="OG47" s="269"/>
      <c r="OH47" s="269"/>
      <c r="OI47" s="269"/>
      <c r="OJ47" s="269"/>
      <c r="OK47" s="269"/>
      <c r="OL47" s="269"/>
      <c r="OM47" s="269"/>
      <c r="ON47" s="269"/>
      <c r="OO47" s="269"/>
      <c r="OP47" s="269"/>
      <c r="OQ47" s="269"/>
      <c r="OR47" s="269"/>
      <c r="OS47" s="269"/>
      <c r="OT47" s="269"/>
      <c r="OU47" s="269"/>
      <c r="OV47" s="269"/>
      <c r="OW47" s="269"/>
      <c r="OX47" s="269"/>
      <c r="OY47" s="269"/>
      <c r="OZ47" s="269"/>
      <c r="PA47" s="269"/>
      <c r="PB47" s="269"/>
      <c r="PC47" s="269"/>
    </row>
    <row r="48" spans="1:419">
      <c r="A48" s="269"/>
      <c r="B48" s="285" t="s">
        <v>12</v>
      </c>
      <c r="C48" s="269"/>
      <c r="D48" s="269"/>
      <c r="E48" s="269"/>
      <c r="F48" s="269"/>
      <c r="G48" s="273">
        <v>1.4814814814814836E-2</v>
      </c>
      <c r="H48" s="273">
        <v>7.0422535211267512E-3</v>
      </c>
      <c r="I48" s="273">
        <v>0</v>
      </c>
      <c r="J48" s="273">
        <v>7.0921985815601829E-3</v>
      </c>
      <c r="K48" s="273">
        <v>0</v>
      </c>
      <c r="L48" s="273">
        <v>6.9930069930068672E-3</v>
      </c>
      <c r="M48" s="285" t="s">
        <v>12</v>
      </c>
      <c r="N48" s="269"/>
      <c r="O48" s="269"/>
      <c r="P48" s="269"/>
      <c r="Q48" s="269"/>
      <c r="R48" s="273">
        <v>3.1371964103711569E-2</v>
      </c>
      <c r="S48" s="273">
        <v>2.8184813579991141E-2</v>
      </c>
      <c r="T48" s="273">
        <v>1.2986328397097679E-2</v>
      </c>
      <c r="U48" s="273">
        <v>2.3498177668580089E-2</v>
      </c>
      <c r="V48" s="273">
        <v>2.078864277278325E-2</v>
      </c>
      <c r="W48" s="273">
        <v>2.4796812870165441E-2</v>
      </c>
      <c r="X48" s="269"/>
      <c r="Y48" s="269"/>
      <c r="Z48" s="269"/>
      <c r="AA48" s="269"/>
      <c r="AB48" s="269"/>
      <c r="AC48" s="269"/>
      <c r="AD48" s="269"/>
      <c r="AE48" s="269"/>
      <c r="AF48" s="269"/>
      <c r="AG48" s="269"/>
      <c r="AH48" s="269"/>
      <c r="AI48" s="269"/>
      <c r="AJ48" s="269"/>
      <c r="AK48" s="269"/>
      <c r="AL48" s="269"/>
      <c r="AM48" s="269"/>
      <c r="AN48" s="269"/>
      <c r="AO48" s="269"/>
      <c r="AP48" s="269"/>
      <c r="AQ48" s="269"/>
      <c r="AR48" s="269"/>
      <c r="AS48" s="269"/>
      <c r="AT48" s="269"/>
      <c r="AU48" s="269"/>
      <c r="AV48" s="269"/>
      <c r="AW48" s="269"/>
      <c r="AX48" s="269"/>
      <c r="AY48" s="269"/>
      <c r="AZ48" s="269"/>
      <c r="BA48" s="269"/>
      <c r="BB48" s="269"/>
      <c r="BC48" s="269"/>
      <c r="BD48" s="269"/>
      <c r="BE48" s="269"/>
      <c r="BF48" s="269"/>
      <c r="BG48" s="269"/>
      <c r="BH48" s="269"/>
      <c r="BI48" s="269"/>
      <c r="BJ48" s="269"/>
      <c r="BK48" s="269"/>
      <c r="BL48" s="269"/>
      <c r="BM48" s="269"/>
      <c r="BN48" s="269"/>
      <c r="BO48" s="269"/>
      <c r="BP48" s="269"/>
      <c r="BQ48" s="269"/>
      <c r="BR48" s="269"/>
      <c r="BS48" s="269"/>
      <c r="BT48" s="269"/>
      <c r="BU48" s="269"/>
      <c r="BV48" s="269"/>
      <c r="BW48" s="269"/>
      <c r="BX48" s="269"/>
      <c r="BY48" s="269"/>
      <c r="BZ48" s="269"/>
      <c r="CA48" s="269"/>
      <c r="CB48" s="269"/>
      <c r="CC48" s="269"/>
      <c r="CD48" s="269"/>
      <c r="CE48" s="269"/>
      <c r="CF48" s="269"/>
      <c r="CG48" s="269"/>
      <c r="CH48" s="269"/>
      <c r="CI48" s="269"/>
      <c r="CJ48" s="269"/>
      <c r="CK48" s="269"/>
      <c r="CL48" s="269"/>
      <c r="CM48" s="269"/>
      <c r="CN48" s="269"/>
      <c r="CO48" s="269"/>
      <c r="CP48" s="269"/>
      <c r="CQ48" s="269"/>
      <c r="CR48" s="269"/>
      <c r="CS48" s="269"/>
      <c r="CT48" s="269"/>
      <c r="CU48" s="269"/>
      <c r="CV48" s="269"/>
      <c r="CW48" s="269"/>
      <c r="CX48" s="269"/>
      <c r="CY48" s="269"/>
      <c r="CZ48" s="269"/>
      <c r="DA48" s="269"/>
      <c r="DB48" s="269"/>
      <c r="DC48" s="269"/>
      <c r="DD48" s="269"/>
      <c r="DE48" s="269"/>
      <c r="DF48" s="269"/>
      <c r="DG48" s="269"/>
      <c r="DH48" s="269"/>
      <c r="DI48" s="269"/>
      <c r="DJ48" s="269"/>
      <c r="DK48" s="269"/>
      <c r="DL48" s="269"/>
      <c r="DM48" s="269"/>
      <c r="DN48" s="269"/>
      <c r="DO48" s="269"/>
      <c r="DP48" s="269"/>
      <c r="DQ48" s="269"/>
      <c r="DR48" s="269"/>
      <c r="DS48" s="269"/>
      <c r="DT48" s="269"/>
      <c r="DU48" s="269"/>
      <c r="DV48" s="269"/>
      <c r="DW48" s="269"/>
      <c r="DX48" s="269"/>
      <c r="DY48" s="269"/>
      <c r="DZ48" s="269"/>
      <c r="EA48" s="269"/>
      <c r="EB48" s="269"/>
      <c r="EC48" s="269"/>
      <c r="ED48" s="269"/>
      <c r="EE48" s="269"/>
      <c r="EF48" s="269"/>
      <c r="EG48" s="269"/>
      <c r="EH48" s="269"/>
      <c r="EI48" s="269"/>
      <c r="EJ48" s="269"/>
      <c r="EK48" s="269"/>
      <c r="EL48" s="269"/>
      <c r="EM48" s="269"/>
      <c r="EN48" s="269"/>
      <c r="EO48" s="269"/>
      <c r="EP48" s="269"/>
      <c r="EQ48" s="269"/>
      <c r="ER48" s="269"/>
      <c r="ES48" s="269"/>
      <c r="ET48" s="269"/>
      <c r="EU48" s="269"/>
      <c r="EV48" s="269"/>
      <c r="EW48" s="269"/>
      <c r="EX48" s="269"/>
      <c r="EY48" s="269"/>
      <c r="EZ48" s="269"/>
      <c r="FA48" s="269"/>
      <c r="FB48" s="269"/>
      <c r="FC48" s="269"/>
      <c r="FD48" s="269"/>
      <c r="FE48" s="269"/>
      <c r="FF48" s="269"/>
      <c r="FG48" s="269"/>
      <c r="FH48" s="269"/>
      <c r="FI48" s="269"/>
      <c r="FJ48" s="269"/>
      <c r="FK48" s="269"/>
      <c r="FL48" s="269"/>
      <c r="FM48" s="269"/>
      <c r="FN48" s="269"/>
      <c r="FO48" s="269"/>
      <c r="FP48" s="269"/>
      <c r="FQ48" s="269"/>
      <c r="FR48" s="269"/>
      <c r="FS48" s="269"/>
      <c r="FT48" s="269"/>
      <c r="FU48" s="269"/>
      <c r="FV48" s="269"/>
      <c r="FW48" s="269"/>
      <c r="FX48" s="269"/>
      <c r="FY48" s="269"/>
      <c r="FZ48" s="269"/>
      <c r="GA48" s="269"/>
      <c r="GB48" s="269"/>
      <c r="GC48" s="269"/>
      <c r="GD48" s="269"/>
      <c r="GE48" s="269"/>
      <c r="GF48" s="269"/>
      <c r="GG48" s="269"/>
      <c r="GH48" s="269"/>
      <c r="GI48" s="269"/>
      <c r="GJ48" s="269"/>
      <c r="GK48" s="269"/>
      <c r="GL48" s="269"/>
      <c r="GM48" s="269"/>
      <c r="GN48" s="269"/>
      <c r="GO48" s="269"/>
      <c r="GP48" s="269"/>
      <c r="GQ48" s="269"/>
      <c r="GR48" s="269"/>
      <c r="GS48" s="269"/>
      <c r="GT48" s="269"/>
      <c r="GU48" s="269"/>
      <c r="GV48" s="269"/>
      <c r="GW48" s="269"/>
      <c r="GX48" s="269"/>
      <c r="GY48" s="269"/>
      <c r="GZ48" s="269"/>
      <c r="HA48" s="269"/>
      <c r="HB48" s="269"/>
      <c r="HC48" s="269"/>
      <c r="HD48" s="269"/>
      <c r="HE48" s="269"/>
      <c r="HF48" s="269"/>
      <c r="HG48" s="269"/>
      <c r="HH48" s="269"/>
      <c r="HI48" s="269"/>
      <c r="HJ48" s="269"/>
      <c r="HK48" s="269"/>
      <c r="HL48" s="269"/>
      <c r="HM48" s="269"/>
      <c r="HN48" s="269"/>
      <c r="HO48" s="269"/>
      <c r="HP48" s="269"/>
      <c r="HQ48" s="269"/>
      <c r="HR48" s="269"/>
      <c r="HS48" s="269"/>
      <c r="HT48" s="269"/>
      <c r="HU48" s="269"/>
      <c r="HV48" s="269"/>
      <c r="HW48" s="269"/>
      <c r="HX48" s="269"/>
      <c r="HY48" s="269"/>
      <c r="HZ48" s="269"/>
      <c r="IA48" s="269"/>
      <c r="IB48" s="269"/>
      <c r="IC48" s="269"/>
      <c r="ID48" s="269"/>
      <c r="IE48" s="269"/>
      <c r="IF48" s="269"/>
      <c r="IG48" s="269"/>
      <c r="IH48" s="269"/>
      <c r="II48" s="269"/>
      <c r="IJ48" s="269"/>
      <c r="IK48" s="269"/>
      <c r="IL48" s="269"/>
      <c r="IM48" s="269"/>
      <c r="IN48" s="269"/>
      <c r="IO48" s="269"/>
      <c r="IP48" s="269"/>
      <c r="IQ48" s="269"/>
      <c r="IR48" s="269"/>
      <c r="IS48" s="269"/>
      <c r="IT48" s="269"/>
      <c r="IU48" s="269"/>
      <c r="IV48" s="269"/>
      <c r="IW48" s="269"/>
      <c r="IX48" s="269"/>
      <c r="IY48" s="269"/>
      <c r="IZ48" s="269"/>
      <c r="JA48" s="269"/>
      <c r="JB48" s="269"/>
      <c r="JC48" s="269"/>
      <c r="JD48" s="269"/>
      <c r="JE48" s="269"/>
      <c r="JF48" s="269"/>
      <c r="JG48" s="269"/>
      <c r="JH48" s="269"/>
      <c r="JI48" s="269"/>
      <c r="JJ48" s="269"/>
      <c r="JK48" s="269"/>
      <c r="JL48" s="269"/>
      <c r="JM48" s="269"/>
      <c r="JN48" s="269"/>
      <c r="JO48" s="269"/>
      <c r="JP48" s="269"/>
      <c r="JQ48" s="269"/>
      <c r="JR48" s="269"/>
      <c r="JS48" s="269"/>
      <c r="JT48" s="269"/>
      <c r="JU48" s="269"/>
      <c r="JV48" s="269"/>
      <c r="JW48" s="269"/>
      <c r="JX48" s="269"/>
      <c r="JY48" s="269"/>
      <c r="JZ48" s="269"/>
      <c r="KA48" s="269"/>
      <c r="KB48" s="269"/>
      <c r="KC48" s="269"/>
      <c r="KD48" s="269"/>
      <c r="KE48" s="269"/>
      <c r="KF48" s="269"/>
      <c r="KG48" s="269"/>
      <c r="KH48" s="269"/>
      <c r="KI48" s="269"/>
      <c r="KJ48" s="269"/>
      <c r="KK48" s="269"/>
      <c r="KL48" s="269"/>
      <c r="KM48" s="269"/>
      <c r="KN48" s="269"/>
      <c r="KO48" s="269"/>
      <c r="KP48" s="269"/>
      <c r="KQ48" s="269"/>
      <c r="KR48" s="269"/>
      <c r="KS48" s="269"/>
      <c r="KT48" s="269"/>
      <c r="KU48" s="269"/>
      <c r="KV48" s="269"/>
      <c r="KW48" s="269"/>
      <c r="KX48" s="269"/>
      <c r="KY48" s="269"/>
      <c r="KZ48" s="269"/>
      <c r="LA48" s="269"/>
      <c r="LB48" s="269"/>
      <c r="LC48" s="269"/>
      <c r="LD48" s="269"/>
      <c r="LE48" s="269"/>
      <c r="LF48" s="269"/>
      <c r="LG48" s="269"/>
      <c r="LH48" s="269"/>
      <c r="LI48" s="269"/>
      <c r="LJ48" s="269"/>
      <c r="LK48" s="269"/>
      <c r="LL48" s="269"/>
      <c r="LM48" s="269"/>
      <c r="LN48" s="269"/>
      <c r="LO48" s="269"/>
      <c r="LP48" s="269"/>
      <c r="LQ48" s="269"/>
      <c r="LR48" s="269"/>
      <c r="LS48" s="269"/>
      <c r="LT48" s="269"/>
      <c r="LU48" s="269"/>
      <c r="LV48" s="269"/>
      <c r="LW48" s="269"/>
      <c r="LX48" s="269"/>
      <c r="LY48" s="269"/>
      <c r="LZ48" s="269"/>
      <c r="MA48" s="269"/>
      <c r="MB48" s="269"/>
      <c r="MC48" s="269"/>
      <c r="MD48" s="269"/>
      <c r="ME48" s="269"/>
      <c r="MF48" s="269"/>
      <c r="MG48" s="269"/>
      <c r="MH48" s="269"/>
      <c r="MI48" s="269"/>
      <c r="MJ48" s="269"/>
      <c r="MK48" s="269"/>
      <c r="ML48" s="269"/>
      <c r="MM48" s="269"/>
      <c r="MN48" s="269"/>
      <c r="MO48" s="269"/>
      <c r="MP48" s="269"/>
      <c r="MQ48" s="269"/>
      <c r="MR48" s="269"/>
      <c r="MS48" s="269"/>
      <c r="MT48" s="269"/>
      <c r="MU48" s="269"/>
      <c r="MV48" s="269"/>
      <c r="MW48" s="269"/>
      <c r="MX48" s="269"/>
      <c r="MY48" s="269"/>
      <c r="MZ48" s="269"/>
      <c r="NA48" s="269"/>
      <c r="NB48" s="269"/>
      <c r="NC48" s="269"/>
      <c r="ND48" s="269"/>
      <c r="NE48" s="269"/>
      <c r="NF48" s="269"/>
      <c r="NG48" s="269"/>
      <c r="NH48" s="269"/>
      <c r="NI48" s="269"/>
      <c r="NJ48" s="269"/>
      <c r="NK48" s="269"/>
      <c r="NL48" s="269"/>
      <c r="NM48" s="269"/>
      <c r="NN48" s="269"/>
      <c r="NO48" s="269"/>
      <c r="NP48" s="269"/>
      <c r="NQ48" s="269"/>
      <c r="NR48" s="269"/>
      <c r="NS48" s="269"/>
      <c r="NT48" s="269"/>
      <c r="NU48" s="269"/>
      <c r="NV48" s="269"/>
      <c r="NW48" s="269"/>
      <c r="NX48" s="269"/>
      <c r="NY48" s="269"/>
      <c r="NZ48" s="269"/>
      <c r="OA48" s="269"/>
      <c r="OB48" s="269"/>
      <c r="OC48" s="269"/>
      <c r="OD48" s="269"/>
      <c r="OE48" s="269"/>
      <c r="OF48" s="269"/>
      <c r="OG48" s="269"/>
      <c r="OH48" s="269"/>
      <c r="OI48" s="269"/>
      <c r="OJ48" s="269"/>
      <c r="OK48" s="269"/>
      <c r="OL48" s="269"/>
      <c r="OM48" s="269"/>
      <c r="ON48" s="269"/>
      <c r="OO48" s="269"/>
      <c r="OP48" s="269"/>
      <c r="OQ48" s="269"/>
      <c r="OR48" s="269"/>
      <c r="OS48" s="269"/>
      <c r="OT48" s="269"/>
      <c r="OU48" s="269"/>
      <c r="OV48" s="269"/>
      <c r="OW48" s="269"/>
      <c r="OX48" s="269"/>
      <c r="OY48" s="269"/>
      <c r="OZ48" s="269"/>
      <c r="PA48" s="269"/>
      <c r="PB48" s="269"/>
      <c r="PC48" s="269"/>
    </row>
    <row r="49" spans="1:419">
      <c r="A49" s="269"/>
      <c r="B49" s="285" t="s">
        <v>13</v>
      </c>
      <c r="C49" s="269"/>
      <c r="D49" s="269"/>
      <c r="E49" s="269"/>
      <c r="F49" s="269"/>
      <c r="G49" s="273">
        <v>1.4925373134328401E-2</v>
      </c>
      <c r="H49" s="273">
        <v>2.1428571428571574E-2</v>
      </c>
      <c r="I49" s="273">
        <v>6.8965517241379448E-3</v>
      </c>
      <c r="J49" s="273">
        <v>2.8571428571428692E-2</v>
      </c>
      <c r="K49" s="273">
        <v>2.2058823529411908E-2</v>
      </c>
      <c r="L49" s="273">
        <v>2.0979020979020824E-2</v>
      </c>
      <c r="M49" s="285" t="s">
        <v>13</v>
      </c>
      <c r="N49" s="269"/>
      <c r="O49" s="269"/>
      <c r="P49" s="269"/>
      <c r="Q49" s="269"/>
      <c r="R49" s="273">
        <v>3.8667570686969244E-2</v>
      </c>
      <c r="S49" s="273">
        <v>3.6053565855181269E-2</v>
      </c>
      <c r="T49" s="273">
        <v>2.2927269243531168E-2</v>
      </c>
      <c r="U49" s="273">
        <v>4.0461478257088679E-2</v>
      </c>
      <c r="V49" s="273">
        <v>3.3680150686160149E-2</v>
      </c>
      <c r="W49" s="273">
        <v>3.7364261540416832E-2</v>
      </c>
      <c r="X49" s="269"/>
      <c r="Y49" s="269"/>
      <c r="Z49" s="269"/>
      <c r="AA49" s="269"/>
      <c r="AB49" s="269"/>
      <c r="AC49" s="269"/>
      <c r="AD49" s="269"/>
      <c r="AE49" s="269"/>
      <c r="AF49" s="269"/>
      <c r="AG49" s="269"/>
      <c r="AH49" s="269"/>
      <c r="AI49" s="269"/>
      <c r="AJ49" s="269"/>
      <c r="AK49" s="269"/>
      <c r="AL49" s="269"/>
      <c r="AM49" s="269"/>
      <c r="AN49" s="269"/>
      <c r="AO49" s="269"/>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69"/>
      <c r="BM49" s="269"/>
      <c r="BN49" s="269"/>
      <c r="BO49" s="269"/>
      <c r="BP49" s="269"/>
      <c r="BQ49" s="269"/>
      <c r="BR49" s="269"/>
      <c r="BS49" s="269"/>
      <c r="BT49" s="269"/>
      <c r="BU49" s="269"/>
      <c r="BV49" s="269"/>
      <c r="BW49" s="269"/>
      <c r="BX49" s="269"/>
      <c r="BY49" s="269"/>
      <c r="BZ49" s="269"/>
      <c r="CA49" s="269"/>
      <c r="CB49" s="269"/>
      <c r="CC49" s="269"/>
      <c r="CD49" s="269"/>
      <c r="CE49" s="269"/>
      <c r="CF49" s="269"/>
      <c r="CG49" s="269"/>
      <c r="CH49" s="269"/>
      <c r="CI49" s="269"/>
      <c r="CJ49" s="269"/>
      <c r="CK49" s="269"/>
      <c r="CL49" s="269"/>
      <c r="CM49" s="269"/>
      <c r="CN49" s="269"/>
      <c r="CO49" s="269"/>
      <c r="CP49" s="269"/>
      <c r="CQ49" s="269"/>
      <c r="CR49" s="269"/>
      <c r="CS49" s="269"/>
      <c r="CT49" s="269"/>
      <c r="CU49" s="269"/>
      <c r="CV49" s="269"/>
      <c r="CW49" s="269"/>
      <c r="CX49" s="269"/>
      <c r="CY49" s="269"/>
      <c r="CZ49" s="269"/>
      <c r="DA49" s="269"/>
      <c r="DB49" s="269"/>
      <c r="DC49" s="269"/>
      <c r="DD49" s="269"/>
      <c r="DE49" s="269"/>
      <c r="DF49" s="269"/>
      <c r="DG49" s="269"/>
      <c r="DH49" s="269"/>
      <c r="DI49" s="269"/>
      <c r="DJ49" s="269"/>
      <c r="DK49" s="269"/>
      <c r="DL49" s="269"/>
      <c r="DM49" s="269"/>
      <c r="DN49" s="269"/>
      <c r="DO49" s="269"/>
      <c r="DP49" s="269"/>
      <c r="DQ49" s="269"/>
      <c r="DR49" s="269"/>
      <c r="DS49" s="269"/>
      <c r="DT49" s="269"/>
      <c r="DU49" s="269"/>
      <c r="DV49" s="269"/>
      <c r="DW49" s="269"/>
      <c r="DX49" s="269"/>
      <c r="DY49" s="269"/>
      <c r="DZ49" s="269"/>
      <c r="EA49" s="269"/>
      <c r="EB49" s="269"/>
      <c r="EC49" s="269"/>
      <c r="ED49" s="269"/>
      <c r="EE49" s="269"/>
      <c r="EF49" s="269"/>
      <c r="EG49" s="269"/>
      <c r="EH49" s="269"/>
      <c r="EI49" s="269"/>
      <c r="EJ49" s="269"/>
      <c r="EK49" s="269"/>
      <c r="EL49" s="269"/>
      <c r="EM49" s="269"/>
      <c r="EN49" s="269"/>
      <c r="EO49" s="269"/>
      <c r="EP49" s="269"/>
      <c r="EQ49" s="269"/>
      <c r="ER49" s="269"/>
      <c r="ES49" s="269"/>
      <c r="ET49" s="269"/>
      <c r="EU49" s="269"/>
      <c r="EV49" s="269"/>
      <c r="EW49" s="269"/>
      <c r="EX49" s="269"/>
      <c r="EY49" s="269"/>
      <c r="EZ49" s="269"/>
      <c r="FA49" s="269"/>
      <c r="FB49" s="269"/>
      <c r="FC49" s="269"/>
      <c r="FD49" s="269"/>
      <c r="FE49" s="269"/>
      <c r="FF49" s="269"/>
      <c r="FG49" s="269"/>
      <c r="FH49" s="269"/>
      <c r="FI49" s="269"/>
      <c r="FJ49" s="269"/>
      <c r="FK49" s="269"/>
      <c r="FL49" s="269"/>
      <c r="FM49" s="269"/>
      <c r="FN49" s="269"/>
      <c r="FO49" s="269"/>
      <c r="FP49" s="269"/>
      <c r="FQ49" s="269"/>
      <c r="FR49" s="269"/>
      <c r="FS49" s="269"/>
      <c r="FT49" s="269"/>
      <c r="FU49" s="269"/>
      <c r="FV49" s="269"/>
      <c r="FW49" s="269"/>
      <c r="FX49" s="269"/>
      <c r="FY49" s="269"/>
      <c r="FZ49" s="269"/>
      <c r="GA49" s="269"/>
      <c r="GB49" s="269"/>
      <c r="GC49" s="269"/>
      <c r="GD49" s="269"/>
      <c r="GE49" s="269"/>
      <c r="GF49" s="269"/>
      <c r="GG49" s="269"/>
      <c r="GH49" s="269"/>
      <c r="GI49" s="269"/>
      <c r="GJ49" s="269"/>
      <c r="GK49" s="269"/>
      <c r="GL49" s="269"/>
      <c r="GM49" s="269"/>
      <c r="GN49" s="269"/>
      <c r="GO49" s="269"/>
      <c r="GP49" s="269"/>
      <c r="GQ49" s="269"/>
      <c r="GR49" s="269"/>
      <c r="GS49" s="269"/>
      <c r="GT49" s="269"/>
      <c r="GU49" s="269"/>
      <c r="GV49" s="269"/>
      <c r="GW49" s="269"/>
      <c r="GX49" s="269"/>
      <c r="GY49" s="269"/>
      <c r="GZ49" s="269"/>
      <c r="HA49" s="269"/>
      <c r="HB49" s="269"/>
      <c r="HC49" s="269"/>
      <c r="HD49" s="269"/>
      <c r="HE49" s="269"/>
      <c r="HF49" s="269"/>
      <c r="HG49" s="269"/>
      <c r="HH49" s="269"/>
      <c r="HI49" s="269"/>
      <c r="HJ49" s="269"/>
      <c r="HK49" s="269"/>
      <c r="HL49" s="269"/>
      <c r="HM49" s="269"/>
      <c r="HN49" s="269"/>
      <c r="HO49" s="269"/>
      <c r="HP49" s="269"/>
      <c r="HQ49" s="269"/>
      <c r="HR49" s="269"/>
      <c r="HS49" s="269"/>
      <c r="HT49" s="269"/>
      <c r="HU49" s="269"/>
      <c r="HV49" s="269"/>
      <c r="HW49" s="269"/>
      <c r="HX49" s="269"/>
      <c r="HY49" s="269"/>
      <c r="HZ49" s="269"/>
      <c r="IA49" s="269"/>
      <c r="IB49" s="269"/>
      <c r="IC49" s="269"/>
      <c r="ID49" s="269"/>
      <c r="IE49" s="269"/>
      <c r="IF49" s="269"/>
      <c r="IG49" s="269"/>
      <c r="IH49" s="269"/>
      <c r="II49" s="269"/>
      <c r="IJ49" s="269"/>
      <c r="IK49" s="269"/>
      <c r="IL49" s="269"/>
      <c r="IM49" s="269"/>
      <c r="IN49" s="269"/>
      <c r="IO49" s="269"/>
      <c r="IP49" s="269"/>
      <c r="IQ49" s="269"/>
      <c r="IR49" s="269"/>
      <c r="IS49" s="269"/>
      <c r="IT49" s="269"/>
      <c r="IU49" s="269"/>
      <c r="IV49" s="269"/>
      <c r="IW49" s="269"/>
      <c r="IX49" s="269"/>
      <c r="IY49" s="269"/>
      <c r="IZ49" s="269"/>
      <c r="JA49" s="269"/>
      <c r="JB49" s="269"/>
      <c r="JC49" s="269"/>
      <c r="JD49" s="269"/>
      <c r="JE49" s="269"/>
      <c r="JF49" s="269"/>
      <c r="JG49" s="269"/>
      <c r="JH49" s="269"/>
      <c r="JI49" s="269"/>
      <c r="JJ49" s="269"/>
      <c r="JK49" s="269"/>
      <c r="JL49" s="269"/>
      <c r="JM49" s="269"/>
      <c r="JN49" s="269"/>
      <c r="JO49" s="269"/>
      <c r="JP49" s="269"/>
      <c r="JQ49" s="269"/>
      <c r="JR49" s="269"/>
      <c r="JS49" s="269"/>
      <c r="JT49" s="269"/>
      <c r="JU49" s="269"/>
      <c r="JV49" s="269"/>
      <c r="JW49" s="269"/>
      <c r="JX49" s="269"/>
      <c r="JY49" s="269"/>
      <c r="JZ49" s="269"/>
      <c r="KA49" s="269"/>
      <c r="KB49" s="269"/>
      <c r="KC49" s="269"/>
      <c r="KD49" s="269"/>
      <c r="KE49" s="269"/>
      <c r="KF49" s="269"/>
      <c r="KG49" s="269"/>
      <c r="KH49" s="269"/>
      <c r="KI49" s="269"/>
      <c r="KJ49" s="269"/>
      <c r="KK49" s="269"/>
      <c r="KL49" s="269"/>
      <c r="KM49" s="269"/>
      <c r="KN49" s="269"/>
      <c r="KO49" s="269"/>
      <c r="KP49" s="269"/>
      <c r="KQ49" s="269"/>
      <c r="KR49" s="269"/>
      <c r="KS49" s="269"/>
      <c r="KT49" s="269"/>
      <c r="KU49" s="269"/>
      <c r="KV49" s="269"/>
      <c r="KW49" s="269"/>
      <c r="KX49" s="269"/>
      <c r="KY49" s="269"/>
      <c r="KZ49" s="269"/>
      <c r="LA49" s="269"/>
      <c r="LB49" s="269"/>
      <c r="LC49" s="269"/>
      <c r="LD49" s="269"/>
      <c r="LE49" s="269"/>
      <c r="LF49" s="269"/>
      <c r="LG49" s="269"/>
      <c r="LH49" s="269"/>
      <c r="LI49" s="269"/>
      <c r="LJ49" s="269"/>
      <c r="LK49" s="269"/>
      <c r="LL49" s="269"/>
      <c r="LM49" s="269"/>
      <c r="LN49" s="269"/>
      <c r="LO49" s="269"/>
      <c r="LP49" s="269"/>
      <c r="LQ49" s="269"/>
      <c r="LR49" s="269"/>
      <c r="LS49" s="269"/>
      <c r="LT49" s="269"/>
      <c r="LU49" s="269"/>
      <c r="LV49" s="269"/>
      <c r="LW49" s="269"/>
      <c r="LX49" s="269"/>
      <c r="LY49" s="269"/>
      <c r="LZ49" s="269"/>
      <c r="MA49" s="269"/>
      <c r="MB49" s="269"/>
      <c r="MC49" s="269"/>
      <c r="MD49" s="269"/>
      <c r="ME49" s="269"/>
      <c r="MF49" s="269"/>
      <c r="MG49" s="269"/>
      <c r="MH49" s="269"/>
      <c r="MI49" s="269"/>
      <c r="MJ49" s="269"/>
      <c r="MK49" s="269"/>
      <c r="ML49" s="269"/>
      <c r="MM49" s="269"/>
      <c r="MN49" s="269"/>
      <c r="MO49" s="269"/>
      <c r="MP49" s="269"/>
      <c r="MQ49" s="269"/>
      <c r="MR49" s="269"/>
      <c r="MS49" s="269"/>
      <c r="MT49" s="269"/>
      <c r="MU49" s="269"/>
      <c r="MV49" s="269"/>
      <c r="MW49" s="269"/>
      <c r="MX49" s="269"/>
      <c r="MY49" s="269"/>
      <c r="MZ49" s="269"/>
      <c r="NA49" s="269"/>
      <c r="NB49" s="269"/>
      <c r="NC49" s="269"/>
      <c r="ND49" s="269"/>
      <c r="NE49" s="269"/>
      <c r="NF49" s="269"/>
      <c r="NG49" s="269"/>
      <c r="NH49" s="269"/>
      <c r="NI49" s="269"/>
      <c r="NJ49" s="269"/>
      <c r="NK49" s="269"/>
      <c r="NL49" s="269"/>
      <c r="NM49" s="269"/>
      <c r="NN49" s="269"/>
      <c r="NO49" s="269"/>
      <c r="NP49" s="269"/>
      <c r="NQ49" s="269"/>
      <c r="NR49" s="269"/>
      <c r="NS49" s="269"/>
      <c r="NT49" s="269"/>
      <c r="NU49" s="269"/>
      <c r="NV49" s="269"/>
      <c r="NW49" s="269"/>
      <c r="NX49" s="269"/>
      <c r="NY49" s="269"/>
      <c r="NZ49" s="269"/>
      <c r="OA49" s="269"/>
      <c r="OB49" s="269"/>
      <c r="OC49" s="269"/>
      <c r="OD49" s="269"/>
      <c r="OE49" s="269"/>
      <c r="OF49" s="269"/>
      <c r="OG49" s="269"/>
      <c r="OH49" s="269"/>
      <c r="OI49" s="269"/>
      <c r="OJ49" s="269"/>
      <c r="OK49" s="269"/>
      <c r="OL49" s="269"/>
      <c r="OM49" s="269"/>
      <c r="ON49" s="269"/>
      <c r="OO49" s="269"/>
      <c r="OP49" s="269"/>
      <c r="OQ49" s="269"/>
      <c r="OR49" s="269"/>
      <c r="OS49" s="269"/>
      <c r="OT49" s="269"/>
      <c r="OU49" s="269"/>
      <c r="OV49" s="269"/>
      <c r="OW49" s="269"/>
      <c r="OX49" s="269"/>
      <c r="OY49" s="269"/>
      <c r="OZ49" s="269"/>
      <c r="PA49" s="269"/>
      <c r="PB49" s="269"/>
      <c r="PC49" s="269"/>
    </row>
    <row r="50" spans="1:419">
      <c r="A50" s="269"/>
      <c r="B50" s="285" t="s">
        <v>14</v>
      </c>
      <c r="C50" s="269"/>
      <c r="D50" s="269"/>
      <c r="E50" s="269"/>
      <c r="F50" s="269"/>
      <c r="G50" s="273">
        <v>1.3605442176870763E-2</v>
      </c>
      <c r="H50" s="273">
        <v>1.2903225806451646E-2</v>
      </c>
      <c r="I50" s="273">
        <v>6.2500000000000888E-3</v>
      </c>
      <c r="J50" s="273">
        <v>1.9354838709677358E-2</v>
      </c>
      <c r="K50" s="273">
        <v>2.6845637583892579E-2</v>
      </c>
      <c r="L50" s="273">
        <v>2.5477707006369643E-2</v>
      </c>
      <c r="M50" s="285" t="s">
        <v>14</v>
      </c>
      <c r="N50" s="269"/>
      <c r="O50" s="269"/>
      <c r="P50" s="269"/>
      <c r="Q50" s="269"/>
      <c r="R50" s="273">
        <v>3.6160799047219028E-2</v>
      </c>
      <c r="S50" s="273">
        <v>3.117768583896563E-2</v>
      </c>
      <c r="T50" s="273">
        <v>2.1990590987428726E-2</v>
      </c>
      <c r="U50" s="273">
        <v>3.7523692570543776E-2</v>
      </c>
      <c r="V50" s="273">
        <v>3.9146658374608512E-2</v>
      </c>
      <c r="W50" s="273">
        <v>4.5169457391104118E-2</v>
      </c>
      <c r="X50" s="269"/>
      <c r="Y50" s="269"/>
      <c r="Z50" s="269"/>
      <c r="AA50" s="269"/>
      <c r="AB50" s="269"/>
      <c r="AC50" s="269"/>
      <c r="AD50" s="269"/>
      <c r="AE50" s="269"/>
      <c r="AF50" s="269"/>
      <c r="AG50" s="269"/>
      <c r="AH50" s="269"/>
      <c r="AI50" s="269"/>
      <c r="AJ50" s="269"/>
      <c r="AK50" s="269"/>
      <c r="AL50" s="269"/>
      <c r="AM50" s="269"/>
      <c r="AN50" s="269"/>
      <c r="AO50" s="269"/>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6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269"/>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c r="EI50" s="269"/>
      <c r="EJ50" s="269"/>
      <c r="EK50" s="269"/>
      <c r="EL50" s="269"/>
      <c r="EM50" s="269"/>
      <c r="EN50" s="269"/>
      <c r="EO50" s="269"/>
      <c r="EP50" s="269"/>
      <c r="EQ50" s="269"/>
      <c r="ER50" s="269"/>
      <c r="ES50" s="269"/>
      <c r="ET50" s="269"/>
      <c r="EU50" s="269"/>
      <c r="EV50" s="269"/>
      <c r="EW50" s="269"/>
      <c r="EX50" s="269"/>
      <c r="EY50" s="269"/>
      <c r="EZ50" s="269"/>
      <c r="FA50" s="269"/>
      <c r="FB50" s="269"/>
      <c r="FC50" s="269"/>
      <c r="FD50" s="269"/>
      <c r="FE50" s="269"/>
      <c r="FF50" s="269"/>
      <c r="FG50" s="269"/>
      <c r="FH50" s="269"/>
      <c r="FI50" s="269"/>
      <c r="FJ50" s="269"/>
      <c r="FK50" s="269"/>
      <c r="FL50" s="269"/>
      <c r="FM50" s="269"/>
      <c r="FN50" s="269"/>
      <c r="FO50" s="269"/>
      <c r="FP50" s="269"/>
      <c r="FQ50" s="269"/>
      <c r="FR50" s="269"/>
      <c r="FS50" s="269"/>
      <c r="FT50" s="269"/>
      <c r="FU50" s="269"/>
      <c r="FV50" s="269"/>
      <c r="FW50" s="269"/>
      <c r="FX50" s="269"/>
      <c r="FY50" s="269"/>
      <c r="FZ50" s="269"/>
      <c r="GA50" s="269"/>
      <c r="GB50" s="269"/>
      <c r="GC50" s="269"/>
      <c r="GD50" s="269"/>
      <c r="GE50" s="269"/>
      <c r="GF50" s="269"/>
      <c r="GG50" s="269"/>
      <c r="GH50" s="269"/>
      <c r="GI50" s="269"/>
      <c r="GJ50" s="269"/>
      <c r="GK50" s="269"/>
      <c r="GL50" s="269"/>
      <c r="GM50" s="269"/>
      <c r="GN50" s="269"/>
      <c r="GO50" s="269"/>
      <c r="GP50" s="269"/>
      <c r="GQ50" s="269"/>
      <c r="GR50" s="269"/>
      <c r="GS50" s="269"/>
      <c r="GT50" s="269"/>
      <c r="GU50" s="269"/>
      <c r="GV50" s="269"/>
      <c r="GW50" s="269"/>
      <c r="GX50" s="269"/>
      <c r="GY50" s="269"/>
      <c r="GZ50" s="269"/>
      <c r="HA50" s="269"/>
      <c r="HB50" s="269"/>
      <c r="HC50" s="269"/>
      <c r="HD50" s="269"/>
      <c r="HE50" s="269"/>
      <c r="HF50" s="269"/>
      <c r="HG50" s="269"/>
      <c r="HH50" s="269"/>
      <c r="HI50" s="269"/>
      <c r="HJ50" s="269"/>
      <c r="HK50" s="269"/>
      <c r="HL50" s="269"/>
      <c r="HM50" s="269"/>
      <c r="HN50" s="269"/>
      <c r="HO50" s="269"/>
      <c r="HP50" s="269"/>
      <c r="HQ50" s="269"/>
      <c r="HR50" s="269"/>
      <c r="HS50" s="269"/>
      <c r="HT50" s="269"/>
      <c r="HU50" s="269"/>
      <c r="HV50" s="269"/>
      <c r="HW50" s="269"/>
      <c r="HX50" s="269"/>
      <c r="HY50" s="269"/>
      <c r="HZ50" s="269"/>
      <c r="IA50" s="269"/>
      <c r="IB50" s="269"/>
      <c r="IC50" s="269"/>
      <c r="ID50" s="269"/>
      <c r="IE50" s="269"/>
      <c r="IF50" s="269"/>
      <c r="IG50" s="269"/>
      <c r="IH50" s="269"/>
      <c r="II50" s="269"/>
      <c r="IJ50" s="269"/>
      <c r="IK50" s="269"/>
      <c r="IL50" s="269"/>
      <c r="IM50" s="269"/>
      <c r="IN50" s="269"/>
      <c r="IO50" s="269"/>
      <c r="IP50" s="269"/>
      <c r="IQ50" s="269"/>
      <c r="IR50" s="269"/>
      <c r="IS50" s="269"/>
      <c r="IT50" s="269"/>
      <c r="IU50" s="269"/>
      <c r="IV50" s="269"/>
      <c r="IW50" s="269"/>
      <c r="IX50" s="269"/>
      <c r="IY50" s="269"/>
      <c r="IZ50" s="269"/>
      <c r="JA50" s="269"/>
      <c r="JB50" s="269"/>
      <c r="JC50" s="269"/>
      <c r="JD50" s="269"/>
      <c r="JE50" s="269"/>
      <c r="JF50" s="269"/>
      <c r="JG50" s="269"/>
      <c r="JH50" s="269"/>
      <c r="JI50" s="269"/>
      <c r="JJ50" s="269"/>
      <c r="JK50" s="269"/>
      <c r="JL50" s="269"/>
      <c r="JM50" s="269"/>
      <c r="JN50" s="269"/>
      <c r="JO50" s="269"/>
      <c r="JP50" s="269"/>
      <c r="JQ50" s="269"/>
      <c r="JR50" s="269"/>
      <c r="JS50" s="269"/>
      <c r="JT50" s="269"/>
      <c r="JU50" s="269"/>
      <c r="JV50" s="269"/>
      <c r="JW50" s="269"/>
      <c r="JX50" s="269"/>
      <c r="JY50" s="269"/>
      <c r="JZ50" s="269"/>
      <c r="KA50" s="269"/>
      <c r="KB50" s="269"/>
      <c r="KC50" s="269"/>
      <c r="KD50" s="269"/>
      <c r="KE50" s="269"/>
      <c r="KF50" s="269"/>
      <c r="KG50" s="269"/>
      <c r="KH50" s="269"/>
      <c r="KI50" s="269"/>
      <c r="KJ50" s="269"/>
      <c r="KK50" s="269"/>
      <c r="KL50" s="269"/>
      <c r="KM50" s="269"/>
      <c r="KN50" s="269"/>
      <c r="KO50" s="269"/>
      <c r="KP50" s="269"/>
      <c r="KQ50" s="269"/>
      <c r="KR50" s="269"/>
      <c r="KS50" s="269"/>
      <c r="KT50" s="269"/>
      <c r="KU50" s="269"/>
      <c r="KV50" s="269"/>
      <c r="KW50" s="269"/>
      <c r="KX50" s="269"/>
      <c r="KY50" s="269"/>
      <c r="KZ50" s="269"/>
      <c r="LA50" s="269"/>
      <c r="LB50" s="269"/>
      <c r="LC50" s="269"/>
      <c r="LD50" s="269"/>
      <c r="LE50" s="269"/>
      <c r="LF50" s="269"/>
      <c r="LG50" s="269"/>
      <c r="LH50" s="269"/>
      <c r="LI50" s="269"/>
      <c r="LJ50" s="269"/>
      <c r="LK50" s="269"/>
      <c r="LL50" s="269"/>
      <c r="LM50" s="269"/>
      <c r="LN50" s="269"/>
      <c r="LO50" s="269"/>
      <c r="LP50" s="269"/>
      <c r="LQ50" s="269"/>
      <c r="LR50" s="269"/>
      <c r="LS50" s="269"/>
      <c r="LT50" s="269"/>
      <c r="LU50" s="269"/>
      <c r="LV50" s="269"/>
      <c r="LW50" s="269"/>
      <c r="LX50" s="269"/>
      <c r="LY50" s="269"/>
      <c r="LZ50" s="269"/>
      <c r="MA50" s="269"/>
      <c r="MB50" s="269"/>
      <c r="MC50" s="269"/>
      <c r="MD50" s="269"/>
      <c r="ME50" s="269"/>
      <c r="MF50" s="269"/>
      <c r="MG50" s="269"/>
      <c r="MH50" s="269"/>
      <c r="MI50" s="269"/>
      <c r="MJ50" s="269"/>
      <c r="MK50" s="269"/>
      <c r="ML50" s="269"/>
      <c r="MM50" s="269"/>
      <c r="MN50" s="269"/>
      <c r="MO50" s="269"/>
      <c r="MP50" s="269"/>
      <c r="MQ50" s="269"/>
      <c r="MR50" s="269"/>
      <c r="MS50" s="269"/>
      <c r="MT50" s="269"/>
      <c r="MU50" s="269"/>
      <c r="MV50" s="269"/>
      <c r="MW50" s="269"/>
      <c r="MX50" s="269"/>
      <c r="MY50" s="269"/>
      <c r="MZ50" s="269"/>
      <c r="NA50" s="269"/>
      <c r="NB50" s="269"/>
      <c r="NC50" s="269"/>
      <c r="ND50" s="269"/>
      <c r="NE50" s="269"/>
      <c r="NF50" s="269"/>
      <c r="NG50" s="269"/>
      <c r="NH50" s="269"/>
      <c r="NI50" s="269"/>
      <c r="NJ50" s="269"/>
      <c r="NK50" s="269"/>
      <c r="NL50" s="269"/>
      <c r="NM50" s="269"/>
      <c r="NN50" s="269"/>
      <c r="NO50" s="269"/>
      <c r="NP50" s="269"/>
      <c r="NQ50" s="269"/>
      <c r="NR50" s="269"/>
      <c r="NS50" s="269"/>
      <c r="NT50" s="269"/>
      <c r="NU50" s="269"/>
      <c r="NV50" s="269"/>
      <c r="NW50" s="269"/>
      <c r="NX50" s="269"/>
      <c r="NY50" s="269"/>
      <c r="NZ50" s="269"/>
      <c r="OA50" s="269"/>
      <c r="OB50" s="269"/>
      <c r="OC50" s="269"/>
      <c r="OD50" s="269"/>
      <c r="OE50" s="269"/>
      <c r="OF50" s="269"/>
      <c r="OG50" s="269"/>
      <c r="OH50" s="269"/>
      <c r="OI50" s="269"/>
      <c r="OJ50" s="269"/>
      <c r="OK50" s="269"/>
      <c r="OL50" s="269"/>
      <c r="OM50" s="269"/>
      <c r="ON50" s="269"/>
      <c r="OO50" s="269"/>
      <c r="OP50" s="269"/>
      <c r="OQ50" s="269"/>
      <c r="OR50" s="269"/>
      <c r="OS50" s="269"/>
      <c r="OT50" s="269"/>
      <c r="OU50" s="269"/>
      <c r="OV50" s="269"/>
      <c r="OW50" s="269"/>
      <c r="OX50" s="269"/>
      <c r="OY50" s="269"/>
      <c r="OZ50" s="269"/>
      <c r="PA50" s="269"/>
      <c r="PB50" s="269"/>
      <c r="PC50" s="269"/>
    </row>
    <row r="51" spans="1:419">
      <c r="A51" s="269"/>
      <c r="B51" s="285" t="s">
        <v>15</v>
      </c>
      <c r="C51" s="269"/>
      <c r="D51" s="269"/>
      <c r="E51" s="269"/>
      <c r="F51" s="269"/>
      <c r="G51" s="273">
        <v>2.0270270270270174E-2</v>
      </c>
      <c r="H51" s="273">
        <v>1.2820512820512997E-2</v>
      </c>
      <c r="I51" s="273">
        <v>6.2111801242235032E-3</v>
      </c>
      <c r="J51" s="273">
        <v>1.9230769230769384E-2</v>
      </c>
      <c r="K51" s="273">
        <v>1.9867549668874274E-2</v>
      </c>
      <c r="L51" s="273">
        <v>3.1645569620253111E-2</v>
      </c>
      <c r="M51" s="285" t="s">
        <v>15</v>
      </c>
      <c r="N51" s="269"/>
      <c r="O51" s="269"/>
      <c r="P51" s="269"/>
      <c r="Q51" s="269"/>
      <c r="R51" s="273">
        <v>3.6178924998704343E-2</v>
      </c>
      <c r="S51" s="273">
        <v>3.0964083175803347E-2</v>
      </c>
      <c r="T51" s="273">
        <v>2.2081691893012678E-2</v>
      </c>
      <c r="U51" s="273">
        <v>3.8032611601176214E-2</v>
      </c>
      <c r="V51" s="273">
        <v>3.9267670451703207E-2</v>
      </c>
      <c r="W51" s="273">
        <v>4.5582896329165123E-2</v>
      </c>
      <c r="X51" s="269"/>
      <c r="Y51" s="269"/>
      <c r="Z51" s="269"/>
      <c r="AA51" s="269"/>
      <c r="AB51" s="269"/>
      <c r="AC51" s="269"/>
      <c r="AD51" s="269"/>
      <c r="AE51" s="269"/>
      <c r="AF51" s="269"/>
      <c r="AG51" s="269"/>
      <c r="AH51" s="269"/>
      <c r="AI51" s="269"/>
      <c r="AJ51" s="269"/>
      <c r="AK51" s="269"/>
      <c r="AL51" s="269"/>
      <c r="AM51" s="269"/>
      <c r="AN51" s="269"/>
      <c r="AO51" s="269"/>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69"/>
      <c r="BM51" s="269"/>
      <c r="BN51" s="269"/>
      <c r="BO51" s="269"/>
      <c r="BP51" s="269"/>
      <c r="BQ51" s="269"/>
      <c r="BR51" s="269"/>
      <c r="BS51" s="269"/>
      <c r="BT51" s="269"/>
      <c r="BU51" s="269"/>
      <c r="BV51" s="269"/>
      <c r="BW51" s="269"/>
      <c r="BX51" s="269"/>
      <c r="BY51" s="269"/>
      <c r="BZ51" s="269"/>
      <c r="CA51" s="269"/>
      <c r="CB51" s="269"/>
      <c r="CC51" s="269"/>
      <c r="CD51" s="269"/>
      <c r="CE51" s="269"/>
      <c r="CF51" s="269"/>
      <c r="CG51" s="269"/>
      <c r="CH51" s="269"/>
      <c r="CI51" s="269"/>
      <c r="CJ51" s="269"/>
      <c r="CK51" s="269"/>
      <c r="CL51" s="269"/>
      <c r="CM51" s="269"/>
      <c r="CN51" s="269"/>
      <c r="CO51" s="269"/>
      <c r="CP51" s="269"/>
      <c r="CQ51" s="269"/>
      <c r="CR51" s="269"/>
      <c r="CS51" s="269"/>
      <c r="CT51" s="269"/>
      <c r="CU51" s="269"/>
      <c r="CV51" s="269"/>
      <c r="CW51" s="269"/>
      <c r="CX51" s="269"/>
      <c r="CY51" s="269"/>
      <c r="CZ51" s="269"/>
      <c r="DA51" s="269"/>
      <c r="DB51" s="269"/>
      <c r="DC51" s="269"/>
      <c r="DD51" s="269"/>
      <c r="DE51" s="269"/>
      <c r="DF51" s="269"/>
      <c r="DG51" s="269"/>
      <c r="DH51" s="269"/>
      <c r="DI51" s="269"/>
      <c r="DJ51" s="269"/>
      <c r="DK51" s="269"/>
      <c r="DL51" s="269"/>
      <c r="DM51" s="269"/>
      <c r="DN51" s="269"/>
      <c r="DO51" s="269"/>
      <c r="DP51" s="269"/>
      <c r="DQ51" s="269"/>
      <c r="DR51" s="269"/>
      <c r="DS51" s="269"/>
      <c r="DT51" s="269"/>
      <c r="DU51" s="269"/>
      <c r="DV51" s="269"/>
      <c r="DW51" s="269"/>
      <c r="DX51" s="269"/>
      <c r="DY51" s="269"/>
      <c r="DZ51" s="269"/>
      <c r="EA51" s="269"/>
      <c r="EB51" s="269"/>
      <c r="EC51" s="269"/>
      <c r="ED51" s="269"/>
      <c r="EE51" s="269"/>
      <c r="EF51" s="269"/>
      <c r="EG51" s="269"/>
      <c r="EH51" s="269"/>
      <c r="EI51" s="269"/>
      <c r="EJ51" s="269"/>
      <c r="EK51" s="269"/>
      <c r="EL51" s="269"/>
      <c r="EM51" s="269"/>
      <c r="EN51" s="269"/>
      <c r="EO51" s="269"/>
      <c r="EP51" s="269"/>
      <c r="EQ51" s="269"/>
      <c r="ER51" s="269"/>
      <c r="ES51" s="269"/>
      <c r="ET51" s="269"/>
      <c r="EU51" s="269"/>
      <c r="EV51" s="269"/>
      <c r="EW51" s="269"/>
      <c r="EX51" s="269"/>
      <c r="EY51" s="269"/>
      <c r="EZ51" s="269"/>
      <c r="FA51" s="269"/>
      <c r="FB51" s="269"/>
      <c r="FC51" s="269"/>
      <c r="FD51" s="269"/>
      <c r="FE51" s="269"/>
      <c r="FF51" s="269"/>
      <c r="FG51" s="269"/>
      <c r="FH51" s="269"/>
      <c r="FI51" s="269"/>
      <c r="FJ51" s="269"/>
      <c r="FK51" s="269"/>
      <c r="FL51" s="269"/>
      <c r="FM51" s="269"/>
      <c r="FN51" s="269"/>
      <c r="FO51" s="269"/>
      <c r="FP51" s="269"/>
      <c r="FQ51" s="269"/>
      <c r="FR51" s="269"/>
      <c r="FS51" s="269"/>
      <c r="FT51" s="269"/>
      <c r="FU51" s="269"/>
      <c r="FV51" s="269"/>
      <c r="FW51" s="269"/>
      <c r="FX51" s="269"/>
      <c r="FY51" s="269"/>
      <c r="FZ51" s="269"/>
      <c r="GA51" s="269"/>
      <c r="GB51" s="269"/>
      <c r="GC51" s="269"/>
      <c r="GD51" s="269"/>
      <c r="GE51" s="269"/>
      <c r="GF51" s="269"/>
      <c r="GG51" s="269"/>
      <c r="GH51" s="269"/>
      <c r="GI51" s="269"/>
      <c r="GJ51" s="269"/>
      <c r="GK51" s="269"/>
      <c r="GL51" s="269"/>
      <c r="GM51" s="269"/>
      <c r="GN51" s="269"/>
      <c r="GO51" s="269"/>
      <c r="GP51" s="269"/>
      <c r="GQ51" s="269"/>
      <c r="GR51" s="269"/>
      <c r="GS51" s="269"/>
      <c r="GT51" s="269"/>
      <c r="GU51" s="269"/>
      <c r="GV51" s="269"/>
      <c r="GW51" s="269"/>
      <c r="GX51" s="269"/>
      <c r="GY51" s="269"/>
      <c r="GZ51" s="269"/>
      <c r="HA51" s="269"/>
      <c r="HB51" s="269"/>
      <c r="HC51" s="269"/>
      <c r="HD51" s="269"/>
      <c r="HE51" s="269"/>
      <c r="HF51" s="269"/>
      <c r="HG51" s="269"/>
      <c r="HH51" s="269"/>
      <c r="HI51" s="269"/>
      <c r="HJ51" s="269"/>
      <c r="HK51" s="269"/>
      <c r="HL51" s="269"/>
      <c r="HM51" s="269"/>
      <c r="HN51" s="269"/>
      <c r="HO51" s="269"/>
      <c r="HP51" s="269"/>
      <c r="HQ51" s="269"/>
      <c r="HR51" s="269"/>
      <c r="HS51" s="269"/>
      <c r="HT51" s="269"/>
      <c r="HU51" s="269"/>
      <c r="HV51" s="269"/>
      <c r="HW51" s="269"/>
      <c r="HX51" s="269"/>
      <c r="HY51" s="269"/>
      <c r="HZ51" s="269"/>
      <c r="IA51" s="269"/>
      <c r="IB51" s="269"/>
      <c r="IC51" s="269"/>
      <c r="ID51" s="269"/>
      <c r="IE51" s="269"/>
      <c r="IF51" s="269"/>
      <c r="IG51" s="269"/>
      <c r="IH51" s="269"/>
      <c r="II51" s="269"/>
      <c r="IJ51" s="269"/>
      <c r="IK51" s="269"/>
      <c r="IL51" s="269"/>
      <c r="IM51" s="269"/>
      <c r="IN51" s="269"/>
      <c r="IO51" s="269"/>
      <c r="IP51" s="269"/>
      <c r="IQ51" s="269"/>
      <c r="IR51" s="269"/>
      <c r="IS51" s="269"/>
      <c r="IT51" s="269"/>
      <c r="IU51" s="269"/>
      <c r="IV51" s="269"/>
      <c r="IW51" s="269"/>
      <c r="IX51" s="269"/>
      <c r="IY51" s="269"/>
      <c r="IZ51" s="269"/>
      <c r="JA51" s="269"/>
      <c r="JB51" s="269"/>
      <c r="JC51" s="269"/>
      <c r="JD51" s="269"/>
      <c r="JE51" s="269"/>
      <c r="JF51" s="269"/>
      <c r="JG51" s="269"/>
      <c r="JH51" s="269"/>
      <c r="JI51" s="269"/>
      <c r="JJ51" s="269"/>
      <c r="JK51" s="269"/>
      <c r="JL51" s="269"/>
      <c r="JM51" s="269"/>
      <c r="JN51" s="269"/>
      <c r="JO51" s="269"/>
      <c r="JP51" s="269"/>
      <c r="JQ51" s="269"/>
      <c r="JR51" s="269"/>
      <c r="JS51" s="269"/>
      <c r="JT51" s="269"/>
      <c r="JU51" s="269"/>
      <c r="JV51" s="269"/>
      <c r="JW51" s="269"/>
      <c r="JX51" s="269"/>
      <c r="JY51" s="269"/>
      <c r="JZ51" s="269"/>
      <c r="KA51" s="269"/>
      <c r="KB51" s="269"/>
      <c r="KC51" s="269"/>
      <c r="KD51" s="269"/>
      <c r="KE51" s="269"/>
      <c r="KF51" s="269"/>
      <c r="KG51" s="269"/>
      <c r="KH51" s="269"/>
      <c r="KI51" s="269"/>
      <c r="KJ51" s="269"/>
      <c r="KK51" s="269"/>
      <c r="KL51" s="269"/>
      <c r="KM51" s="269"/>
      <c r="KN51" s="269"/>
      <c r="KO51" s="269"/>
      <c r="KP51" s="269"/>
      <c r="KQ51" s="269"/>
      <c r="KR51" s="269"/>
      <c r="KS51" s="269"/>
      <c r="KT51" s="269"/>
      <c r="KU51" s="269"/>
      <c r="KV51" s="269"/>
      <c r="KW51" s="269"/>
      <c r="KX51" s="269"/>
      <c r="KY51" s="269"/>
      <c r="KZ51" s="269"/>
      <c r="LA51" s="269"/>
      <c r="LB51" s="269"/>
      <c r="LC51" s="269"/>
      <c r="LD51" s="269"/>
      <c r="LE51" s="269"/>
      <c r="LF51" s="269"/>
      <c r="LG51" s="269"/>
      <c r="LH51" s="269"/>
      <c r="LI51" s="269"/>
      <c r="LJ51" s="269"/>
      <c r="LK51" s="269"/>
      <c r="LL51" s="269"/>
      <c r="LM51" s="269"/>
      <c r="LN51" s="269"/>
      <c r="LO51" s="269"/>
      <c r="LP51" s="269"/>
      <c r="LQ51" s="269"/>
      <c r="LR51" s="269"/>
      <c r="LS51" s="269"/>
      <c r="LT51" s="269"/>
      <c r="LU51" s="269"/>
      <c r="LV51" s="269"/>
      <c r="LW51" s="269"/>
      <c r="LX51" s="269"/>
      <c r="LY51" s="269"/>
      <c r="LZ51" s="269"/>
      <c r="MA51" s="269"/>
      <c r="MB51" s="269"/>
      <c r="MC51" s="269"/>
      <c r="MD51" s="269"/>
      <c r="ME51" s="269"/>
      <c r="MF51" s="269"/>
      <c r="MG51" s="269"/>
      <c r="MH51" s="269"/>
      <c r="MI51" s="269"/>
      <c r="MJ51" s="269"/>
      <c r="MK51" s="269"/>
      <c r="ML51" s="269"/>
      <c r="MM51" s="269"/>
      <c r="MN51" s="269"/>
      <c r="MO51" s="269"/>
      <c r="MP51" s="269"/>
      <c r="MQ51" s="269"/>
      <c r="MR51" s="269"/>
      <c r="MS51" s="269"/>
      <c r="MT51" s="269"/>
      <c r="MU51" s="269"/>
      <c r="MV51" s="269"/>
      <c r="MW51" s="269"/>
      <c r="MX51" s="269"/>
      <c r="MY51" s="269"/>
      <c r="MZ51" s="269"/>
      <c r="NA51" s="269"/>
      <c r="NB51" s="269"/>
      <c r="NC51" s="269"/>
      <c r="ND51" s="269"/>
      <c r="NE51" s="269"/>
      <c r="NF51" s="269"/>
      <c r="NG51" s="269"/>
      <c r="NH51" s="269"/>
      <c r="NI51" s="269"/>
      <c r="NJ51" s="269"/>
      <c r="NK51" s="269"/>
      <c r="NL51" s="269"/>
      <c r="NM51" s="269"/>
      <c r="NN51" s="269"/>
      <c r="NO51" s="269"/>
      <c r="NP51" s="269"/>
      <c r="NQ51" s="269"/>
      <c r="NR51" s="269"/>
      <c r="NS51" s="269"/>
      <c r="NT51" s="269"/>
      <c r="NU51" s="269"/>
      <c r="NV51" s="269"/>
      <c r="NW51" s="269"/>
      <c r="NX51" s="269"/>
      <c r="NY51" s="269"/>
      <c r="NZ51" s="269"/>
      <c r="OA51" s="269"/>
      <c r="OB51" s="269"/>
      <c r="OC51" s="269"/>
      <c r="OD51" s="269"/>
      <c r="OE51" s="269"/>
      <c r="OF51" s="269"/>
      <c r="OG51" s="269"/>
      <c r="OH51" s="269"/>
      <c r="OI51" s="269"/>
      <c r="OJ51" s="269"/>
      <c r="OK51" s="269"/>
      <c r="OL51" s="269"/>
      <c r="OM51" s="269"/>
      <c r="ON51" s="269"/>
      <c r="OO51" s="269"/>
      <c r="OP51" s="269"/>
      <c r="OQ51" s="269"/>
      <c r="OR51" s="269"/>
      <c r="OS51" s="269"/>
      <c r="OT51" s="269"/>
      <c r="OU51" s="269"/>
      <c r="OV51" s="269"/>
      <c r="OW51" s="269"/>
      <c r="OX51" s="269"/>
      <c r="OY51" s="269"/>
      <c r="OZ51" s="269"/>
      <c r="PA51" s="269"/>
      <c r="PB51" s="269"/>
      <c r="PC51" s="269"/>
    </row>
    <row r="52" spans="1:419">
      <c r="A52" s="269"/>
      <c r="B52" s="285" t="s">
        <v>16</v>
      </c>
      <c r="C52" s="269"/>
      <c r="D52" s="269"/>
      <c r="E52" s="269"/>
      <c r="F52" s="269"/>
      <c r="G52" s="273">
        <v>1.3422818791946289E-2</v>
      </c>
      <c r="H52" s="273">
        <v>1.2738853503184711E-2</v>
      </c>
      <c r="I52" s="273">
        <v>6.1728395061728669E-3</v>
      </c>
      <c r="J52" s="273">
        <v>1.9108280254777066E-2</v>
      </c>
      <c r="K52" s="273">
        <v>2.6490066225165476E-2</v>
      </c>
      <c r="L52" s="273">
        <v>2.515723270440251E-2</v>
      </c>
      <c r="M52" s="285" t="s">
        <v>16</v>
      </c>
      <c r="N52" s="269"/>
      <c r="O52" s="269"/>
      <c r="P52" s="269"/>
      <c r="Q52" s="269"/>
      <c r="R52" s="273">
        <v>3.5751973566605422E-2</v>
      </c>
      <c r="S52" s="273">
        <v>3.0963135260866137E-2</v>
      </c>
      <c r="T52" s="273">
        <v>2.2261678555482778E-2</v>
      </c>
      <c r="U52" s="273">
        <v>3.8642608094863196E-2</v>
      </c>
      <c r="V52" s="273">
        <v>3.9834759516081508E-2</v>
      </c>
      <c r="W52" s="273">
        <v>4.5999506792102185E-2</v>
      </c>
      <c r="X52" s="269"/>
      <c r="Y52" s="269"/>
      <c r="Z52" s="269"/>
      <c r="AA52" s="269"/>
      <c r="AB52" s="269"/>
      <c r="AC52" s="269"/>
      <c r="AD52" s="269"/>
      <c r="AE52" s="269"/>
      <c r="AF52" s="269"/>
      <c r="AG52" s="269"/>
      <c r="AH52" s="269"/>
      <c r="AI52" s="269"/>
      <c r="AJ52" s="269"/>
      <c r="AK52" s="269"/>
      <c r="AL52" s="269"/>
      <c r="AM52" s="269"/>
      <c r="AN52" s="269"/>
      <c r="AO52" s="269"/>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69"/>
      <c r="BM52" s="269"/>
      <c r="BN52" s="269"/>
      <c r="BO52" s="269"/>
      <c r="BP52" s="269"/>
      <c r="BQ52" s="269"/>
      <c r="BR52" s="269"/>
      <c r="BS52" s="269"/>
      <c r="BT52" s="269"/>
      <c r="BU52" s="269"/>
      <c r="BV52" s="269"/>
      <c r="BW52" s="269"/>
      <c r="BX52" s="269"/>
      <c r="BY52" s="269"/>
      <c r="BZ52" s="269"/>
      <c r="CA52" s="269"/>
      <c r="CB52" s="269"/>
      <c r="CC52" s="269"/>
      <c r="CD52" s="269"/>
      <c r="CE52" s="269"/>
      <c r="CF52" s="269"/>
      <c r="CG52" s="269"/>
      <c r="CH52" s="269"/>
      <c r="CI52" s="269"/>
      <c r="CJ52" s="269"/>
      <c r="CK52" s="269"/>
      <c r="CL52" s="269"/>
      <c r="CM52" s="269"/>
      <c r="CN52" s="269"/>
      <c r="CO52" s="269"/>
      <c r="CP52" s="269"/>
      <c r="CQ52" s="269"/>
      <c r="CR52" s="269"/>
      <c r="CS52" s="269"/>
      <c r="CT52" s="269"/>
      <c r="CU52" s="269"/>
      <c r="CV52" s="269"/>
      <c r="CW52" s="269"/>
      <c r="CX52" s="269"/>
      <c r="CY52" s="269"/>
      <c r="CZ52" s="269"/>
      <c r="DA52" s="269"/>
      <c r="DB52" s="269"/>
      <c r="DC52" s="269"/>
      <c r="DD52" s="269"/>
      <c r="DE52" s="269"/>
      <c r="DF52" s="269"/>
      <c r="DG52" s="269"/>
      <c r="DH52" s="269"/>
      <c r="DI52" s="269"/>
      <c r="DJ52" s="269"/>
      <c r="DK52" s="269"/>
      <c r="DL52" s="269"/>
      <c r="DM52" s="269"/>
      <c r="DN52" s="269"/>
      <c r="DO52" s="269"/>
      <c r="DP52" s="269"/>
      <c r="DQ52" s="269"/>
      <c r="DR52" s="269"/>
      <c r="DS52" s="269"/>
      <c r="DT52" s="269"/>
      <c r="DU52" s="269"/>
      <c r="DV52" s="269"/>
      <c r="DW52" s="269"/>
      <c r="DX52" s="269"/>
      <c r="DY52" s="269"/>
      <c r="DZ52" s="269"/>
      <c r="EA52" s="269"/>
      <c r="EB52" s="269"/>
      <c r="EC52" s="269"/>
      <c r="ED52" s="269"/>
      <c r="EE52" s="269"/>
      <c r="EF52" s="269"/>
      <c r="EG52" s="269"/>
      <c r="EH52" s="269"/>
      <c r="EI52" s="269"/>
      <c r="EJ52" s="269"/>
      <c r="EK52" s="269"/>
      <c r="EL52" s="269"/>
      <c r="EM52" s="269"/>
      <c r="EN52" s="269"/>
      <c r="EO52" s="269"/>
      <c r="EP52" s="269"/>
      <c r="EQ52" s="269"/>
      <c r="ER52" s="269"/>
      <c r="ES52" s="269"/>
      <c r="ET52" s="269"/>
      <c r="EU52" s="269"/>
      <c r="EV52" s="269"/>
      <c r="EW52" s="269"/>
      <c r="EX52" s="269"/>
      <c r="EY52" s="269"/>
      <c r="EZ52" s="269"/>
      <c r="FA52" s="269"/>
      <c r="FB52" s="269"/>
      <c r="FC52" s="269"/>
      <c r="FD52" s="269"/>
      <c r="FE52" s="269"/>
      <c r="FF52" s="269"/>
      <c r="FG52" s="269"/>
      <c r="FH52" s="269"/>
      <c r="FI52" s="269"/>
      <c r="FJ52" s="269"/>
      <c r="FK52" s="269"/>
      <c r="FL52" s="269"/>
      <c r="FM52" s="269"/>
      <c r="FN52" s="269"/>
      <c r="FO52" s="269"/>
      <c r="FP52" s="269"/>
      <c r="FQ52" s="269"/>
      <c r="FR52" s="269"/>
      <c r="FS52" s="269"/>
      <c r="FT52" s="269"/>
      <c r="FU52" s="269"/>
      <c r="FV52" s="269"/>
      <c r="FW52" s="269"/>
      <c r="FX52" s="269"/>
      <c r="FY52" s="269"/>
      <c r="FZ52" s="269"/>
      <c r="GA52" s="269"/>
      <c r="GB52" s="269"/>
      <c r="GC52" s="269"/>
      <c r="GD52" s="269"/>
      <c r="GE52" s="269"/>
      <c r="GF52" s="269"/>
      <c r="GG52" s="269"/>
      <c r="GH52" s="269"/>
      <c r="GI52" s="269"/>
      <c r="GJ52" s="269"/>
      <c r="GK52" s="269"/>
      <c r="GL52" s="269"/>
      <c r="GM52" s="269"/>
      <c r="GN52" s="269"/>
      <c r="GO52" s="269"/>
      <c r="GP52" s="269"/>
      <c r="GQ52" s="269"/>
      <c r="GR52" s="269"/>
      <c r="GS52" s="269"/>
      <c r="GT52" s="269"/>
      <c r="GU52" s="269"/>
      <c r="GV52" s="269"/>
      <c r="GW52" s="269"/>
      <c r="GX52" s="269"/>
      <c r="GY52" s="269"/>
      <c r="GZ52" s="269"/>
      <c r="HA52" s="269"/>
      <c r="HB52" s="269"/>
      <c r="HC52" s="269"/>
      <c r="HD52" s="269"/>
      <c r="HE52" s="269"/>
      <c r="HF52" s="269"/>
      <c r="HG52" s="269"/>
      <c r="HH52" s="269"/>
      <c r="HI52" s="269"/>
      <c r="HJ52" s="269"/>
      <c r="HK52" s="269"/>
      <c r="HL52" s="269"/>
      <c r="HM52" s="269"/>
      <c r="HN52" s="269"/>
      <c r="HO52" s="269"/>
      <c r="HP52" s="269"/>
      <c r="HQ52" s="269"/>
      <c r="HR52" s="269"/>
      <c r="HS52" s="269"/>
      <c r="HT52" s="269"/>
      <c r="HU52" s="269"/>
      <c r="HV52" s="269"/>
      <c r="HW52" s="269"/>
      <c r="HX52" s="269"/>
      <c r="HY52" s="269"/>
      <c r="HZ52" s="269"/>
      <c r="IA52" s="269"/>
      <c r="IB52" s="269"/>
      <c r="IC52" s="269"/>
      <c r="ID52" s="269"/>
      <c r="IE52" s="269"/>
      <c r="IF52" s="269"/>
      <c r="IG52" s="269"/>
      <c r="IH52" s="269"/>
      <c r="II52" s="269"/>
      <c r="IJ52" s="269"/>
      <c r="IK52" s="269"/>
      <c r="IL52" s="269"/>
      <c r="IM52" s="269"/>
      <c r="IN52" s="269"/>
      <c r="IO52" s="269"/>
      <c r="IP52" s="269"/>
      <c r="IQ52" s="269"/>
      <c r="IR52" s="269"/>
      <c r="IS52" s="269"/>
      <c r="IT52" s="269"/>
      <c r="IU52" s="269"/>
      <c r="IV52" s="269"/>
      <c r="IW52" s="269"/>
      <c r="IX52" s="269"/>
      <c r="IY52" s="269"/>
      <c r="IZ52" s="269"/>
      <c r="JA52" s="269"/>
      <c r="JB52" s="269"/>
      <c r="JC52" s="269"/>
      <c r="JD52" s="269"/>
      <c r="JE52" s="269"/>
      <c r="JF52" s="269"/>
      <c r="JG52" s="269"/>
      <c r="JH52" s="269"/>
      <c r="JI52" s="269"/>
      <c r="JJ52" s="269"/>
      <c r="JK52" s="269"/>
      <c r="JL52" s="269"/>
      <c r="JM52" s="269"/>
      <c r="JN52" s="269"/>
      <c r="JO52" s="269"/>
      <c r="JP52" s="269"/>
      <c r="JQ52" s="269"/>
      <c r="JR52" s="269"/>
      <c r="JS52" s="269"/>
      <c r="JT52" s="269"/>
      <c r="JU52" s="269"/>
      <c r="JV52" s="269"/>
      <c r="JW52" s="269"/>
      <c r="JX52" s="269"/>
      <c r="JY52" s="269"/>
      <c r="JZ52" s="269"/>
      <c r="KA52" s="269"/>
      <c r="KB52" s="269"/>
      <c r="KC52" s="269"/>
      <c r="KD52" s="269"/>
      <c r="KE52" s="269"/>
      <c r="KF52" s="269"/>
      <c r="KG52" s="269"/>
      <c r="KH52" s="269"/>
      <c r="KI52" s="269"/>
      <c r="KJ52" s="269"/>
      <c r="KK52" s="269"/>
      <c r="KL52" s="269"/>
      <c r="KM52" s="269"/>
      <c r="KN52" s="269"/>
      <c r="KO52" s="269"/>
      <c r="KP52" s="269"/>
      <c r="KQ52" s="269"/>
      <c r="KR52" s="269"/>
      <c r="KS52" s="269"/>
      <c r="KT52" s="269"/>
      <c r="KU52" s="269"/>
      <c r="KV52" s="269"/>
      <c r="KW52" s="269"/>
      <c r="KX52" s="269"/>
      <c r="KY52" s="269"/>
      <c r="KZ52" s="269"/>
      <c r="LA52" s="269"/>
      <c r="LB52" s="269"/>
      <c r="LC52" s="269"/>
      <c r="LD52" s="269"/>
      <c r="LE52" s="269"/>
      <c r="LF52" s="269"/>
      <c r="LG52" s="269"/>
      <c r="LH52" s="269"/>
      <c r="LI52" s="269"/>
      <c r="LJ52" s="269"/>
      <c r="LK52" s="269"/>
      <c r="LL52" s="269"/>
      <c r="LM52" s="269"/>
      <c r="LN52" s="269"/>
      <c r="LO52" s="269"/>
      <c r="LP52" s="269"/>
      <c r="LQ52" s="269"/>
      <c r="LR52" s="269"/>
      <c r="LS52" s="269"/>
      <c r="LT52" s="269"/>
      <c r="LU52" s="269"/>
      <c r="LV52" s="269"/>
      <c r="LW52" s="269"/>
      <c r="LX52" s="269"/>
      <c r="LY52" s="269"/>
      <c r="LZ52" s="269"/>
      <c r="MA52" s="269"/>
      <c r="MB52" s="269"/>
      <c r="MC52" s="269"/>
      <c r="MD52" s="269"/>
      <c r="ME52" s="269"/>
      <c r="MF52" s="269"/>
      <c r="MG52" s="269"/>
      <c r="MH52" s="269"/>
      <c r="MI52" s="269"/>
      <c r="MJ52" s="269"/>
      <c r="MK52" s="269"/>
      <c r="ML52" s="269"/>
      <c r="MM52" s="269"/>
      <c r="MN52" s="269"/>
      <c r="MO52" s="269"/>
      <c r="MP52" s="269"/>
      <c r="MQ52" s="269"/>
      <c r="MR52" s="269"/>
      <c r="MS52" s="269"/>
      <c r="MT52" s="269"/>
      <c r="MU52" s="269"/>
      <c r="MV52" s="269"/>
      <c r="MW52" s="269"/>
      <c r="MX52" s="269"/>
      <c r="MY52" s="269"/>
      <c r="MZ52" s="269"/>
      <c r="NA52" s="269"/>
      <c r="NB52" s="269"/>
      <c r="NC52" s="269"/>
      <c r="ND52" s="269"/>
      <c r="NE52" s="269"/>
      <c r="NF52" s="269"/>
      <c r="NG52" s="269"/>
      <c r="NH52" s="269"/>
      <c r="NI52" s="269"/>
      <c r="NJ52" s="269"/>
      <c r="NK52" s="269"/>
      <c r="NL52" s="269"/>
      <c r="NM52" s="269"/>
      <c r="NN52" s="269"/>
      <c r="NO52" s="269"/>
      <c r="NP52" s="269"/>
      <c r="NQ52" s="269"/>
      <c r="NR52" s="269"/>
      <c r="NS52" s="269"/>
      <c r="NT52" s="269"/>
      <c r="NU52" s="269"/>
      <c r="NV52" s="269"/>
      <c r="NW52" s="269"/>
      <c r="NX52" s="269"/>
      <c r="NY52" s="269"/>
      <c r="NZ52" s="269"/>
      <c r="OA52" s="269"/>
      <c r="OB52" s="269"/>
      <c r="OC52" s="269"/>
      <c r="OD52" s="269"/>
      <c r="OE52" s="269"/>
      <c r="OF52" s="269"/>
      <c r="OG52" s="269"/>
      <c r="OH52" s="269"/>
      <c r="OI52" s="269"/>
      <c r="OJ52" s="269"/>
      <c r="OK52" s="269"/>
      <c r="OL52" s="269"/>
      <c r="OM52" s="269"/>
      <c r="ON52" s="269"/>
      <c r="OO52" s="269"/>
      <c r="OP52" s="269"/>
      <c r="OQ52" s="269"/>
      <c r="OR52" s="269"/>
      <c r="OS52" s="269"/>
      <c r="OT52" s="269"/>
      <c r="OU52" s="269"/>
      <c r="OV52" s="269"/>
      <c r="OW52" s="269"/>
      <c r="OX52" s="269"/>
      <c r="OY52" s="269"/>
      <c r="OZ52" s="269"/>
      <c r="PA52" s="269"/>
      <c r="PB52" s="269"/>
      <c r="PC52" s="269"/>
    </row>
    <row r="53" spans="1:419">
      <c r="A53" s="269"/>
      <c r="B53" s="290" t="s">
        <v>35</v>
      </c>
      <c r="C53" s="269"/>
      <c r="D53" s="269"/>
      <c r="E53" s="269"/>
      <c r="F53" s="269"/>
      <c r="G53" s="273">
        <v>1.1363636363636243E-2</v>
      </c>
      <c r="H53" s="273">
        <v>-3.3707865168539408E-2</v>
      </c>
      <c r="I53" s="273">
        <v>-1.0309278350515427E-2</v>
      </c>
      <c r="J53" s="273">
        <v>-1.1111111111111072E-2</v>
      </c>
      <c r="K53" s="273">
        <v>1.1235955056179803E-2</v>
      </c>
      <c r="L53" s="273">
        <v>4.6511627906976827E-2</v>
      </c>
      <c r="M53" s="290" t="s">
        <v>35</v>
      </c>
      <c r="N53" s="269"/>
      <c r="O53" s="269"/>
      <c r="P53" s="269"/>
      <c r="Q53" s="269"/>
      <c r="R53" s="273">
        <v>2.5516795865633046E-2</v>
      </c>
      <c r="S53" s="273">
        <v>-9.7915350600127349E-3</v>
      </c>
      <c r="T53" s="273">
        <v>1.7079419299743881E-2</v>
      </c>
      <c r="U53" s="273">
        <v>6.1387354205022504E-4</v>
      </c>
      <c r="V53" s="273">
        <v>3.2440944881889866E-2</v>
      </c>
      <c r="W53" s="273">
        <v>7.2408293460924922E-2</v>
      </c>
      <c r="X53" s="290" t="s">
        <v>35</v>
      </c>
      <c r="Y53" s="269"/>
      <c r="Z53" s="269"/>
      <c r="AA53" s="269"/>
      <c r="AB53" s="269"/>
      <c r="AC53" s="269"/>
      <c r="AD53" s="269"/>
      <c r="AE53" s="269"/>
      <c r="AF53" s="269"/>
      <c r="AG53" s="269"/>
      <c r="AH53" s="269"/>
      <c r="AI53" s="269"/>
      <c r="AJ53" s="269"/>
      <c r="AK53" s="269"/>
      <c r="AL53" s="269"/>
      <c r="AM53" s="269"/>
      <c r="AN53" s="269"/>
      <c r="AO53" s="269"/>
      <c r="AP53" s="269"/>
      <c r="AQ53" s="269"/>
      <c r="AR53" s="269"/>
      <c r="AS53" s="269"/>
      <c r="AT53" s="269"/>
      <c r="AU53" s="269"/>
      <c r="AV53" s="269"/>
      <c r="AW53" s="269"/>
      <c r="AX53" s="269"/>
      <c r="AY53" s="269"/>
      <c r="AZ53" s="269"/>
      <c r="BA53" s="269"/>
      <c r="BB53" s="269"/>
      <c r="BC53" s="269"/>
      <c r="BD53" s="269"/>
      <c r="BE53" s="269"/>
      <c r="BF53" s="269"/>
      <c r="BG53" s="269"/>
      <c r="BH53" s="269"/>
      <c r="BI53" s="269"/>
      <c r="BJ53" s="269"/>
      <c r="BK53" s="269"/>
      <c r="BL53" s="269"/>
      <c r="BM53" s="269"/>
      <c r="BN53" s="269"/>
      <c r="BO53" s="269"/>
      <c r="BP53" s="269"/>
      <c r="BQ53" s="269"/>
      <c r="BR53" s="269"/>
      <c r="BS53" s="269"/>
      <c r="BT53" s="269"/>
      <c r="BU53" s="269"/>
      <c r="BV53" s="269"/>
      <c r="BW53" s="269"/>
      <c r="BX53" s="269"/>
      <c r="BY53" s="269"/>
      <c r="BZ53" s="269"/>
      <c r="CA53" s="269"/>
      <c r="CB53" s="269"/>
      <c r="CC53" s="269"/>
      <c r="CD53" s="269"/>
      <c r="CE53" s="269"/>
      <c r="CF53" s="269"/>
      <c r="CG53" s="269"/>
      <c r="CH53" s="269"/>
      <c r="CI53" s="269"/>
      <c r="CJ53" s="269"/>
      <c r="CK53" s="269"/>
      <c r="CL53" s="269"/>
      <c r="CM53" s="269"/>
      <c r="CN53" s="269"/>
      <c r="CO53" s="269"/>
      <c r="CP53" s="269"/>
      <c r="CQ53" s="269"/>
      <c r="CR53" s="269"/>
      <c r="CS53" s="269"/>
      <c r="CT53" s="269"/>
      <c r="CU53" s="269"/>
      <c r="CV53" s="269"/>
      <c r="CW53" s="269"/>
      <c r="CX53" s="269"/>
      <c r="CY53" s="269"/>
      <c r="CZ53" s="269"/>
      <c r="DA53" s="269"/>
      <c r="DB53" s="269"/>
      <c r="DC53" s="269"/>
      <c r="DD53" s="269"/>
      <c r="DE53" s="269"/>
      <c r="DF53" s="269"/>
      <c r="DG53" s="269"/>
      <c r="DH53" s="269"/>
      <c r="DI53" s="269"/>
      <c r="DJ53" s="269"/>
      <c r="DK53" s="269"/>
      <c r="DL53" s="269"/>
      <c r="DM53" s="269"/>
      <c r="DN53" s="269"/>
      <c r="DO53" s="269"/>
      <c r="DP53" s="269"/>
      <c r="DQ53" s="269"/>
      <c r="DR53" s="269"/>
      <c r="DS53" s="269"/>
      <c r="DT53" s="269"/>
      <c r="DU53" s="269"/>
      <c r="DV53" s="269"/>
      <c r="DW53" s="269"/>
      <c r="DX53" s="269"/>
      <c r="DY53" s="269"/>
      <c r="DZ53" s="269"/>
      <c r="EA53" s="269"/>
      <c r="EB53" s="269"/>
      <c r="EC53" s="269"/>
      <c r="ED53" s="269"/>
      <c r="EE53" s="269"/>
      <c r="EF53" s="269"/>
      <c r="EG53" s="269"/>
      <c r="EH53" s="269"/>
      <c r="EI53" s="269"/>
      <c r="EJ53" s="269"/>
      <c r="EK53" s="269"/>
      <c r="EL53" s="269"/>
      <c r="EM53" s="269"/>
      <c r="EN53" s="269"/>
      <c r="EO53" s="269"/>
      <c r="EP53" s="269"/>
      <c r="EQ53" s="269"/>
      <c r="ER53" s="269"/>
      <c r="ES53" s="269"/>
      <c r="ET53" s="269"/>
      <c r="EU53" s="269"/>
      <c r="EV53" s="269"/>
      <c r="EW53" s="269"/>
      <c r="EX53" s="269"/>
      <c r="EY53" s="269"/>
      <c r="EZ53" s="269"/>
      <c r="FA53" s="269"/>
      <c r="FB53" s="269"/>
      <c r="FC53" s="269"/>
      <c r="FD53" s="269"/>
      <c r="FE53" s="269"/>
      <c r="FF53" s="269"/>
      <c r="FG53" s="269"/>
      <c r="FH53" s="269"/>
      <c r="FI53" s="269"/>
      <c r="FJ53" s="269"/>
      <c r="FK53" s="269"/>
      <c r="FL53" s="269"/>
      <c r="FM53" s="269"/>
      <c r="FN53" s="269"/>
      <c r="FO53" s="269"/>
      <c r="FP53" s="269"/>
      <c r="FQ53" s="269"/>
      <c r="FR53" s="269"/>
      <c r="FS53" s="269"/>
      <c r="FT53" s="269"/>
      <c r="FU53" s="269"/>
      <c r="FV53" s="269"/>
      <c r="FW53" s="269"/>
      <c r="FX53" s="269"/>
      <c r="FY53" s="269"/>
      <c r="FZ53" s="269"/>
      <c r="GA53" s="269"/>
      <c r="GB53" s="269"/>
      <c r="GC53" s="269"/>
      <c r="GD53" s="269"/>
      <c r="GE53" s="269"/>
      <c r="GF53" s="269"/>
      <c r="GG53" s="269"/>
      <c r="GH53" s="269"/>
      <c r="GI53" s="269"/>
      <c r="GJ53" s="269"/>
      <c r="GK53" s="269"/>
      <c r="GL53" s="269"/>
      <c r="GM53" s="269"/>
      <c r="GN53" s="269"/>
      <c r="GO53" s="269"/>
      <c r="GP53" s="269"/>
      <c r="GQ53" s="269"/>
      <c r="GR53" s="269"/>
      <c r="GS53" s="269"/>
      <c r="GT53" s="269"/>
      <c r="GU53" s="269"/>
      <c r="GV53" s="269"/>
      <c r="GW53" s="269"/>
      <c r="GX53" s="269"/>
      <c r="GY53" s="269"/>
      <c r="GZ53" s="269"/>
      <c r="HA53" s="269"/>
      <c r="HB53" s="269"/>
      <c r="HC53" s="269"/>
      <c r="HD53" s="269"/>
      <c r="HE53" s="269"/>
      <c r="HF53" s="269"/>
      <c r="HG53" s="269"/>
      <c r="HH53" s="269"/>
      <c r="HI53" s="269"/>
      <c r="HJ53" s="269"/>
      <c r="HK53" s="269"/>
      <c r="HL53" s="269"/>
      <c r="HM53" s="269"/>
      <c r="HN53" s="269"/>
      <c r="HO53" s="269"/>
      <c r="HP53" s="269"/>
      <c r="HQ53" s="269"/>
      <c r="HR53" s="269"/>
      <c r="HS53" s="269"/>
      <c r="HT53" s="269"/>
      <c r="HU53" s="269"/>
      <c r="HV53" s="269"/>
      <c r="HW53" s="269"/>
      <c r="HX53" s="269"/>
      <c r="HY53" s="269"/>
      <c r="HZ53" s="269"/>
      <c r="IA53" s="269"/>
      <c r="IB53" s="269"/>
      <c r="IC53" s="269"/>
      <c r="ID53" s="269"/>
      <c r="IE53" s="269"/>
      <c r="IF53" s="269"/>
      <c r="IG53" s="269"/>
      <c r="IH53" s="269"/>
      <c r="II53" s="269"/>
      <c r="IJ53" s="269"/>
      <c r="IK53" s="269"/>
      <c r="IL53" s="269"/>
      <c r="IM53" s="269"/>
      <c r="IN53" s="269"/>
      <c r="IO53" s="269"/>
      <c r="IP53" s="269"/>
      <c r="IQ53" s="269"/>
      <c r="IR53" s="269"/>
      <c r="IS53" s="269"/>
      <c r="IT53" s="269"/>
      <c r="IU53" s="269"/>
      <c r="IV53" s="269"/>
      <c r="IW53" s="269"/>
      <c r="IX53" s="269"/>
      <c r="IY53" s="269"/>
      <c r="IZ53" s="269"/>
      <c r="JA53" s="269"/>
      <c r="JB53" s="269"/>
      <c r="JC53" s="269"/>
      <c r="JD53" s="269"/>
      <c r="JE53" s="269"/>
      <c r="JF53" s="269"/>
      <c r="JG53" s="269"/>
      <c r="JH53" s="269"/>
      <c r="JI53" s="269"/>
      <c r="JJ53" s="269"/>
      <c r="JK53" s="269"/>
      <c r="JL53" s="269"/>
      <c r="JM53" s="269"/>
      <c r="JN53" s="269"/>
      <c r="JO53" s="269"/>
      <c r="JP53" s="269"/>
      <c r="JQ53" s="269"/>
      <c r="JR53" s="269"/>
      <c r="JS53" s="269"/>
      <c r="JT53" s="269"/>
      <c r="JU53" s="269"/>
      <c r="JV53" s="269"/>
      <c r="JW53" s="269"/>
      <c r="JX53" s="269"/>
      <c r="JY53" s="269"/>
      <c r="JZ53" s="269"/>
      <c r="KA53" s="269"/>
      <c r="KB53" s="269"/>
      <c r="KC53" s="269"/>
      <c r="KD53" s="269"/>
      <c r="KE53" s="269"/>
      <c r="KF53" s="269"/>
      <c r="KG53" s="269"/>
      <c r="KH53" s="269"/>
      <c r="KI53" s="269"/>
      <c r="KJ53" s="269"/>
      <c r="KK53" s="269"/>
      <c r="KL53" s="269"/>
      <c r="KM53" s="269"/>
      <c r="KN53" s="269"/>
      <c r="KO53" s="269"/>
      <c r="KP53" s="269"/>
      <c r="KQ53" s="269"/>
      <c r="KR53" s="269"/>
      <c r="KS53" s="269"/>
      <c r="KT53" s="269"/>
      <c r="KU53" s="269"/>
      <c r="KV53" s="269"/>
      <c r="KW53" s="269"/>
      <c r="KX53" s="269"/>
      <c r="KY53" s="269"/>
      <c r="KZ53" s="269"/>
      <c r="LA53" s="269"/>
      <c r="LB53" s="269"/>
      <c r="LC53" s="269"/>
      <c r="LD53" s="269"/>
      <c r="LE53" s="269"/>
      <c r="LF53" s="269"/>
      <c r="LG53" s="269"/>
      <c r="LH53" s="269"/>
      <c r="LI53" s="269"/>
      <c r="LJ53" s="269"/>
      <c r="LK53" s="269"/>
      <c r="LL53" s="269"/>
      <c r="LM53" s="269"/>
      <c r="LN53" s="269"/>
      <c r="LO53" s="269"/>
      <c r="LP53" s="269"/>
      <c r="LQ53" s="269"/>
      <c r="LR53" s="269"/>
      <c r="LS53" s="269"/>
      <c r="LT53" s="269"/>
      <c r="LU53" s="269"/>
      <c r="LV53" s="269"/>
      <c r="LW53" s="269"/>
      <c r="LX53" s="269"/>
      <c r="LY53" s="269"/>
      <c r="LZ53" s="269"/>
      <c r="MA53" s="269"/>
      <c r="MB53" s="269"/>
      <c r="MC53" s="269"/>
      <c r="MD53" s="269"/>
      <c r="ME53" s="269"/>
      <c r="MF53" s="269"/>
      <c r="MG53" s="269"/>
      <c r="MH53" s="269"/>
      <c r="MI53" s="269"/>
      <c r="MJ53" s="269"/>
      <c r="MK53" s="269"/>
      <c r="ML53" s="269"/>
      <c r="MM53" s="269"/>
      <c r="MN53" s="269"/>
      <c r="MO53" s="269"/>
      <c r="MP53" s="269"/>
      <c r="MQ53" s="269"/>
      <c r="MR53" s="269"/>
      <c r="MS53" s="269"/>
      <c r="MT53" s="269"/>
      <c r="MU53" s="269"/>
      <c r="MV53" s="269"/>
      <c r="MW53" s="269"/>
      <c r="MX53" s="269"/>
      <c r="MY53" s="269"/>
      <c r="MZ53" s="269"/>
      <c r="NA53" s="269"/>
      <c r="NB53" s="269"/>
      <c r="NC53" s="269"/>
      <c r="ND53" s="269"/>
      <c r="NE53" s="269"/>
      <c r="NF53" s="269"/>
      <c r="NG53" s="269"/>
      <c r="NH53" s="269"/>
      <c r="NI53" s="269"/>
      <c r="NJ53" s="269"/>
      <c r="NK53" s="269"/>
      <c r="NL53" s="269"/>
      <c r="NM53" s="269"/>
      <c r="NN53" s="269"/>
      <c r="NO53" s="269"/>
      <c r="NP53" s="269"/>
      <c r="NQ53" s="269"/>
      <c r="NR53" s="269"/>
      <c r="NS53" s="269"/>
      <c r="NT53" s="269"/>
      <c r="NU53" s="269"/>
      <c r="NV53" s="269"/>
      <c r="NW53" s="269"/>
      <c r="NX53" s="269"/>
      <c r="NY53" s="269"/>
      <c r="NZ53" s="269"/>
      <c r="OA53" s="269"/>
      <c r="OB53" s="269"/>
      <c r="OC53" s="269"/>
      <c r="OD53" s="269"/>
      <c r="OE53" s="269"/>
      <c r="OF53" s="269"/>
      <c r="OG53" s="269"/>
      <c r="OH53" s="269"/>
      <c r="OI53" s="269"/>
      <c r="OJ53" s="269"/>
      <c r="OK53" s="269"/>
      <c r="OL53" s="269"/>
      <c r="OM53" s="269"/>
      <c r="ON53" s="269"/>
      <c r="OO53" s="269"/>
      <c r="OP53" s="269"/>
      <c r="OQ53" s="269"/>
      <c r="OR53" s="269"/>
      <c r="OS53" s="269"/>
      <c r="OT53" s="269"/>
      <c r="OU53" s="269"/>
      <c r="OV53" s="269"/>
      <c r="OW53" s="269"/>
      <c r="OX53" s="269"/>
      <c r="OY53" s="269"/>
      <c r="OZ53" s="269"/>
      <c r="PA53" s="269"/>
      <c r="PB53" s="269"/>
      <c r="PC53" s="269"/>
    </row>
    <row r="54" spans="1:419">
      <c r="A54" s="269"/>
      <c r="B54" s="287" t="s">
        <v>17</v>
      </c>
      <c r="C54" s="269"/>
      <c r="D54" s="269"/>
      <c r="E54" s="269"/>
      <c r="F54" s="269"/>
      <c r="G54" s="273">
        <v>-4.3010752688172116E-2</v>
      </c>
      <c r="H54" s="273">
        <v>3.3707865168539186E-2</v>
      </c>
      <c r="I54" s="273">
        <v>-1.1111111111111072E-2</v>
      </c>
      <c r="J54" s="273">
        <v>0.10344827586206895</v>
      </c>
      <c r="K54" s="273">
        <v>4.4943820224719211E-2</v>
      </c>
      <c r="L54" s="274">
        <v>5.4347826086956541E-2</v>
      </c>
      <c r="M54" s="287" t="s">
        <v>17</v>
      </c>
      <c r="N54" s="269"/>
      <c r="O54" s="269"/>
      <c r="P54" s="269"/>
      <c r="Q54" s="269"/>
      <c r="R54" s="273">
        <v>-4.0517726505346019E-2</v>
      </c>
      <c r="S54" s="273">
        <v>4.8600883652430094E-2</v>
      </c>
      <c r="T54" s="273">
        <v>-1.3432409259788503E-2</v>
      </c>
      <c r="U54" s="273">
        <v>0.13394713394713409</v>
      </c>
      <c r="V54" s="273">
        <v>6.1290322580645151E-2</v>
      </c>
      <c r="W54" s="274">
        <v>7.808988764044944E-2</v>
      </c>
      <c r="X54" s="287" t="s">
        <v>17</v>
      </c>
      <c r="Y54" s="269"/>
      <c r="Z54" s="269"/>
      <c r="AA54" s="269"/>
      <c r="AB54" s="269"/>
      <c r="AC54" s="269"/>
      <c r="AD54" s="269"/>
      <c r="AE54" s="269"/>
      <c r="AF54" s="269"/>
      <c r="AG54" s="269"/>
      <c r="AH54" s="269"/>
      <c r="AI54" s="269"/>
      <c r="AJ54" s="269"/>
      <c r="AK54" s="269"/>
      <c r="AL54" s="269"/>
      <c r="AM54" s="269"/>
      <c r="AN54" s="269"/>
      <c r="AO54" s="269"/>
      <c r="AP54" s="269"/>
      <c r="AQ54" s="269"/>
      <c r="AR54" s="269"/>
      <c r="AS54" s="269"/>
      <c r="AT54" s="269"/>
      <c r="AU54" s="269"/>
      <c r="AV54" s="269"/>
      <c r="AW54" s="269"/>
      <c r="AX54" s="269"/>
      <c r="AY54" s="269"/>
      <c r="AZ54" s="269"/>
      <c r="BA54" s="269"/>
      <c r="BB54" s="269"/>
      <c r="BC54" s="269"/>
      <c r="BD54" s="269"/>
      <c r="BE54" s="269"/>
      <c r="BF54" s="269"/>
      <c r="BG54" s="269"/>
      <c r="BH54" s="269"/>
      <c r="BI54" s="269"/>
      <c r="BJ54" s="269"/>
      <c r="BK54" s="269"/>
      <c r="BL54" s="269"/>
      <c r="BM54" s="269"/>
      <c r="BN54" s="269"/>
      <c r="BO54" s="269"/>
      <c r="BP54" s="269"/>
      <c r="BQ54" s="269"/>
      <c r="BR54" s="269"/>
      <c r="BS54" s="269"/>
      <c r="BT54" s="269"/>
      <c r="BU54" s="269"/>
      <c r="BV54" s="269"/>
      <c r="BW54" s="269"/>
      <c r="BX54" s="269"/>
      <c r="BY54" s="269"/>
      <c r="BZ54" s="269"/>
      <c r="CA54" s="269"/>
      <c r="CB54" s="269"/>
      <c r="CC54" s="269"/>
      <c r="CD54" s="269"/>
      <c r="CE54" s="269"/>
      <c r="CF54" s="269"/>
      <c r="CG54" s="269"/>
      <c r="CH54" s="269"/>
      <c r="CI54" s="269"/>
      <c r="CJ54" s="269"/>
      <c r="CK54" s="269"/>
      <c r="CL54" s="269"/>
      <c r="CM54" s="269"/>
      <c r="CN54" s="269"/>
      <c r="CO54" s="269"/>
      <c r="CP54" s="269"/>
      <c r="CQ54" s="269"/>
      <c r="CR54" s="269"/>
      <c r="CS54" s="269"/>
      <c r="CT54" s="269"/>
      <c r="CU54" s="269"/>
      <c r="CV54" s="269"/>
      <c r="CW54" s="269"/>
      <c r="CX54" s="269"/>
      <c r="CY54" s="269"/>
      <c r="CZ54" s="269"/>
      <c r="DA54" s="269"/>
      <c r="DB54" s="269"/>
      <c r="DC54" s="269"/>
      <c r="DD54" s="269"/>
      <c r="DE54" s="269"/>
      <c r="DF54" s="269"/>
      <c r="DG54" s="269"/>
      <c r="DH54" s="269"/>
      <c r="DI54" s="269"/>
      <c r="DJ54" s="269"/>
      <c r="DK54" s="269"/>
      <c r="DL54" s="269"/>
      <c r="DM54" s="269"/>
      <c r="DN54" s="269"/>
      <c r="DO54" s="269"/>
      <c r="DP54" s="269"/>
      <c r="DQ54" s="269"/>
      <c r="DR54" s="269"/>
      <c r="DS54" s="269"/>
      <c r="DT54" s="269"/>
      <c r="DU54" s="269"/>
      <c r="DV54" s="269"/>
      <c r="DW54" s="269"/>
      <c r="DX54" s="269"/>
      <c r="DY54" s="269"/>
      <c r="DZ54" s="269"/>
      <c r="EA54" s="269"/>
      <c r="EB54" s="269"/>
      <c r="EC54" s="269"/>
      <c r="ED54" s="269"/>
      <c r="EE54" s="269"/>
      <c r="EF54" s="269"/>
      <c r="EG54" s="269"/>
      <c r="EH54" s="269"/>
      <c r="EI54" s="269"/>
      <c r="EJ54" s="269"/>
      <c r="EK54" s="269"/>
      <c r="EL54" s="269"/>
      <c r="EM54" s="269"/>
      <c r="EN54" s="269"/>
      <c r="EO54" s="269"/>
      <c r="EP54" s="269"/>
      <c r="EQ54" s="269"/>
      <c r="ER54" s="269"/>
      <c r="ES54" s="269"/>
      <c r="ET54" s="269"/>
      <c r="EU54" s="269"/>
      <c r="EV54" s="269"/>
      <c r="EW54" s="269"/>
      <c r="EX54" s="269"/>
      <c r="EY54" s="269"/>
      <c r="EZ54" s="269"/>
      <c r="FA54" s="269"/>
      <c r="FB54" s="269"/>
      <c r="FC54" s="269"/>
      <c r="FD54" s="269"/>
      <c r="FE54" s="269"/>
      <c r="FF54" s="269"/>
      <c r="FG54" s="269"/>
      <c r="FH54" s="269"/>
      <c r="FI54" s="269"/>
      <c r="FJ54" s="269"/>
      <c r="FK54" s="269"/>
      <c r="FL54" s="269"/>
      <c r="FM54" s="269"/>
      <c r="FN54" s="269"/>
      <c r="FO54" s="269"/>
      <c r="FP54" s="269"/>
      <c r="FQ54" s="269"/>
      <c r="FR54" s="269"/>
      <c r="FS54" s="269"/>
      <c r="FT54" s="269"/>
      <c r="FU54" s="269"/>
      <c r="FV54" s="269"/>
      <c r="FW54" s="269"/>
      <c r="FX54" s="269"/>
      <c r="FY54" s="269"/>
      <c r="FZ54" s="269"/>
      <c r="GA54" s="269"/>
      <c r="GB54" s="269"/>
      <c r="GC54" s="269"/>
      <c r="GD54" s="269"/>
      <c r="GE54" s="269"/>
      <c r="GF54" s="269"/>
      <c r="GG54" s="269"/>
      <c r="GH54" s="269"/>
      <c r="GI54" s="269"/>
      <c r="GJ54" s="269"/>
      <c r="GK54" s="269"/>
      <c r="GL54" s="269"/>
      <c r="GM54" s="269"/>
      <c r="GN54" s="269"/>
      <c r="GO54" s="269"/>
      <c r="GP54" s="269"/>
      <c r="GQ54" s="269"/>
      <c r="GR54" s="269"/>
      <c r="GS54" s="269"/>
      <c r="GT54" s="269"/>
      <c r="GU54" s="269"/>
      <c r="GV54" s="269"/>
      <c r="GW54" s="269"/>
      <c r="GX54" s="269"/>
      <c r="GY54" s="269"/>
      <c r="GZ54" s="269"/>
      <c r="HA54" s="269"/>
      <c r="HB54" s="269"/>
      <c r="HC54" s="269"/>
      <c r="HD54" s="269"/>
      <c r="HE54" s="269"/>
      <c r="HF54" s="269"/>
      <c r="HG54" s="269"/>
      <c r="HH54" s="269"/>
      <c r="HI54" s="269"/>
      <c r="HJ54" s="269"/>
      <c r="HK54" s="269"/>
      <c r="HL54" s="269"/>
      <c r="HM54" s="269"/>
      <c r="HN54" s="269"/>
      <c r="HO54" s="269"/>
      <c r="HP54" s="269"/>
      <c r="HQ54" s="269"/>
      <c r="HR54" s="269"/>
      <c r="HS54" s="269"/>
      <c r="HT54" s="269"/>
      <c r="HU54" s="269"/>
      <c r="HV54" s="269"/>
      <c r="HW54" s="269"/>
      <c r="HX54" s="269"/>
      <c r="HY54" s="269"/>
      <c r="HZ54" s="269"/>
      <c r="IA54" s="269"/>
      <c r="IB54" s="269"/>
      <c r="IC54" s="269"/>
      <c r="ID54" s="269"/>
      <c r="IE54" s="269"/>
      <c r="IF54" s="269"/>
      <c r="IG54" s="269"/>
      <c r="IH54" s="269"/>
      <c r="II54" s="269"/>
      <c r="IJ54" s="269"/>
      <c r="IK54" s="269"/>
      <c r="IL54" s="269"/>
      <c r="IM54" s="269"/>
      <c r="IN54" s="269"/>
      <c r="IO54" s="269"/>
      <c r="IP54" s="269"/>
      <c r="IQ54" s="269"/>
      <c r="IR54" s="269"/>
      <c r="IS54" s="269"/>
      <c r="IT54" s="269"/>
      <c r="IU54" s="269"/>
      <c r="IV54" s="269"/>
      <c r="IW54" s="269"/>
      <c r="IX54" s="269"/>
      <c r="IY54" s="269"/>
      <c r="IZ54" s="269"/>
      <c r="JA54" s="269"/>
      <c r="JB54" s="269"/>
      <c r="JC54" s="269"/>
      <c r="JD54" s="269"/>
      <c r="JE54" s="269"/>
      <c r="JF54" s="269"/>
      <c r="JG54" s="269"/>
      <c r="JH54" s="269"/>
      <c r="JI54" s="269"/>
      <c r="JJ54" s="269"/>
      <c r="JK54" s="269"/>
      <c r="JL54" s="269"/>
      <c r="JM54" s="269"/>
      <c r="JN54" s="269"/>
      <c r="JO54" s="269"/>
      <c r="JP54" s="269"/>
      <c r="JQ54" s="269"/>
      <c r="JR54" s="269"/>
      <c r="JS54" s="269"/>
      <c r="JT54" s="269"/>
      <c r="JU54" s="269"/>
      <c r="JV54" s="269"/>
      <c r="JW54" s="269"/>
      <c r="JX54" s="269"/>
      <c r="JY54" s="269"/>
      <c r="JZ54" s="269"/>
      <c r="KA54" s="269"/>
      <c r="KB54" s="269"/>
      <c r="KC54" s="269"/>
      <c r="KD54" s="269"/>
      <c r="KE54" s="269"/>
      <c r="KF54" s="269"/>
      <c r="KG54" s="269"/>
      <c r="KH54" s="269"/>
      <c r="KI54" s="269"/>
      <c r="KJ54" s="269"/>
      <c r="KK54" s="269"/>
      <c r="KL54" s="269"/>
      <c r="KM54" s="269"/>
      <c r="KN54" s="269"/>
      <c r="KO54" s="269"/>
      <c r="KP54" s="269"/>
      <c r="KQ54" s="269"/>
      <c r="KR54" s="269"/>
      <c r="KS54" s="269"/>
      <c r="KT54" s="269"/>
      <c r="KU54" s="269"/>
      <c r="KV54" s="269"/>
      <c r="KW54" s="269"/>
      <c r="KX54" s="269"/>
      <c r="KY54" s="269"/>
      <c r="KZ54" s="269"/>
      <c r="LA54" s="269"/>
      <c r="LB54" s="269"/>
      <c r="LC54" s="269"/>
      <c r="LD54" s="269"/>
      <c r="LE54" s="269"/>
      <c r="LF54" s="269"/>
      <c r="LG54" s="269"/>
      <c r="LH54" s="269"/>
      <c r="LI54" s="269"/>
      <c r="LJ54" s="269"/>
      <c r="LK54" s="269"/>
      <c r="LL54" s="269"/>
      <c r="LM54" s="269"/>
      <c r="LN54" s="269"/>
      <c r="LO54" s="269"/>
      <c r="LP54" s="269"/>
      <c r="LQ54" s="269"/>
      <c r="LR54" s="269"/>
      <c r="LS54" s="269"/>
      <c r="LT54" s="269"/>
      <c r="LU54" s="269"/>
      <c r="LV54" s="269"/>
      <c r="LW54" s="269"/>
      <c r="LX54" s="269"/>
      <c r="LY54" s="269"/>
      <c r="LZ54" s="269"/>
      <c r="MA54" s="269"/>
      <c r="MB54" s="269"/>
      <c r="MC54" s="269"/>
      <c r="MD54" s="269"/>
      <c r="ME54" s="269"/>
      <c r="MF54" s="269"/>
      <c r="MG54" s="269"/>
      <c r="MH54" s="269"/>
      <c r="MI54" s="269"/>
      <c r="MJ54" s="269"/>
      <c r="MK54" s="269"/>
      <c r="ML54" s="269"/>
      <c r="MM54" s="269"/>
      <c r="MN54" s="269"/>
      <c r="MO54" s="269"/>
      <c r="MP54" s="269"/>
      <c r="MQ54" s="269"/>
      <c r="MR54" s="269"/>
      <c r="MS54" s="269"/>
      <c r="MT54" s="269"/>
      <c r="MU54" s="269"/>
      <c r="MV54" s="269"/>
      <c r="MW54" s="269"/>
      <c r="MX54" s="269"/>
      <c r="MY54" s="269"/>
      <c r="MZ54" s="269"/>
      <c r="NA54" s="269"/>
      <c r="NB54" s="269"/>
      <c r="NC54" s="269"/>
      <c r="ND54" s="269"/>
      <c r="NE54" s="269"/>
      <c r="NF54" s="269"/>
      <c r="NG54" s="269"/>
      <c r="NH54" s="269"/>
      <c r="NI54" s="269"/>
      <c r="NJ54" s="269"/>
      <c r="NK54" s="269"/>
      <c r="NL54" s="269"/>
      <c r="NM54" s="269"/>
      <c r="NN54" s="269"/>
      <c r="NO54" s="269"/>
      <c r="NP54" s="269"/>
      <c r="NQ54" s="269"/>
      <c r="NR54" s="269"/>
      <c r="NS54" s="269"/>
      <c r="NT54" s="269"/>
      <c r="NU54" s="269"/>
      <c r="NV54" s="269"/>
      <c r="NW54" s="269"/>
      <c r="NX54" s="269"/>
      <c r="NY54" s="269"/>
      <c r="NZ54" s="269"/>
      <c r="OA54" s="269"/>
      <c r="OB54" s="269"/>
      <c r="OC54" s="269"/>
      <c r="OD54" s="269"/>
      <c r="OE54" s="269"/>
      <c r="OF54" s="269"/>
      <c r="OG54" s="269"/>
      <c r="OH54" s="269"/>
      <c r="OI54" s="269"/>
      <c r="OJ54" s="269"/>
      <c r="OK54" s="269"/>
      <c r="OL54" s="269"/>
      <c r="OM54" s="269"/>
      <c r="ON54" s="269"/>
      <c r="OO54" s="269"/>
      <c r="OP54" s="269"/>
      <c r="OQ54" s="269"/>
      <c r="OR54" s="269"/>
      <c r="OS54" s="269"/>
      <c r="OT54" s="269"/>
      <c r="OU54" s="269"/>
      <c r="OV54" s="269"/>
      <c r="OW54" s="269"/>
      <c r="OX54" s="269"/>
      <c r="OY54" s="269"/>
      <c r="OZ54" s="269"/>
      <c r="PA54" s="269"/>
      <c r="PB54" s="269"/>
      <c r="PC54" s="269"/>
    </row>
    <row r="55" spans="1:419">
      <c r="A55" s="269"/>
      <c r="B55" s="287" t="s">
        <v>18</v>
      </c>
      <c r="C55" s="269"/>
      <c r="D55" s="269"/>
      <c r="E55" s="269"/>
      <c r="F55" s="269"/>
      <c r="G55" s="273">
        <v>-0.11111111111111105</v>
      </c>
      <c r="H55" s="273">
        <v>-4.3478260869565077E-2</v>
      </c>
      <c r="I55" s="273">
        <v>-0.10526315789473695</v>
      </c>
      <c r="J55" s="273">
        <v>-2.777777777777779E-2</v>
      </c>
      <c r="K55" s="273">
        <v>6.25E-2</v>
      </c>
      <c r="L55" s="274">
        <v>0.13636363636363624</v>
      </c>
      <c r="M55" s="287" t="s">
        <v>18</v>
      </c>
      <c r="N55" s="269"/>
      <c r="O55" s="269"/>
      <c r="P55" s="269"/>
      <c r="Q55" s="269"/>
      <c r="R55" s="273">
        <v>-0.11587982832618027</v>
      </c>
      <c r="S55" s="273">
        <v>-2.8619528619528545E-2</v>
      </c>
      <c r="T55" s="273">
        <v>-0.11197916666666663</v>
      </c>
      <c r="U55" s="273">
        <v>-3.9542143600416191E-2</v>
      </c>
      <c r="V55" s="273">
        <v>8.9805825242718296E-2</v>
      </c>
      <c r="W55" s="274">
        <v>0.17850953206239173</v>
      </c>
      <c r="X55" s="287" t="s">
        <v>18</v>
      </c>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269"/>
      <c r="BU55" s="269"/>
      <c r="BV55" s="269"/>
      <c r="BW55" s="269"/>
      <c r="BX55" s="269"/>
      <c r="BY55" s="269"/>
      <c r="BZ55" s="269"/>
      <c r="CA55" s="269"/>
      <c r="CB55" s="269"/>
      <c r="CC55" s="269"/>
      <c r="CD55" s="269"/>
      <c r="CE55" s="269"/>
      <c r="CF55" s="269"/>
      <c r="CG55" s="269"/>
      <c r="CH55" s="269"/>
      <c r="CI55" s="269"/>
      <c r="CJ55" s="269"/>
      <c r="CK55" s="269"/>
      <c r="CL55" s="269"/>
      <c r="CM55" s="269"/>
      <c r="CN55" s="269"/>
      <c r="CO55" s="269"/>
      <c r="CP55" s="269"/>
      <c r="CQ55" s="269"/>
      <c r="CR55" s="269"/>
      <c r="CS55" s="269"/>
      <c r="CT55" s="269"/>
      <c r="CU55" s="269"/>
      <c r="CV55" s="269"/>
      <c r="CW55" s="269"/>
      <c r="CX55" s="269"/>
      <c r="CY55" s="269"/>
      <c r="CZ55" s="269"/>
      <c r="DA55" s="269"/>
      <c r="DB55" s="269"/>
      <c r="DC55" s="269"/>
      <c r="DD55" s="269"/>
      <c r="DE55" s="269"/>
      <c r="DF55" s="269"/>
      <c r="DG55" s="269"/>
      <c r="DH55" s="269"/>
      <c r="DI55" s="269"/>
      <c r="DJ55" s="269"/>
      <c r="DK55" s="269"/>
      <c r="DL55" s="269"/>
      <c r="DM55" s="269"/>
      <c r="DN55" s="269"/>
      <c r="DO55" s="269"/>
      <c r="DP55" s="269"/>
      <c r="DQ55" s="269"/>
      <c r="DR55" s="269"/>
      <c r="DS55" s="269"/>
      <c r="DT55" s="269"/>
      <c r="DU55" s="269"/>
      <c r="DV55" s="269"/>
      <c r="DW55" s="269"/>
      <c r="DX55" s="269"/>
      <c r="DY55" s="269"/>
      <c r="DZ55" s="269"/>
      <c r="EA55" s="269"/>
      <c r="EB55" s="269"/>
      <c r="EC55" s="269"/>
      <c r="ED55" s="269"/>
      <c r="EE55" s="269"/>
      <c r="EF55" s="269"/>
      <c r="EG55" s="269"/>
      <c r="EH55" s="269"/>
      <c r="EI55" s="269"/>
      <c r="EJ55" s="269"/>
      <c r="EK55" s="269"/>
      <c r="EL55" s="269"/>
      <c r="EM55" s="269"/>
      <c r="EN55" s="269"/>
      <c r="EO55" s="269"/>
      <c r="EP55" s="269"/>
      <c r="EQ55" s="269"/>
      <c r="ER55" s="269"/>
      <c r="ES55" s="269"/>
      <c r="ET55" s="269"/>
      <c r="EU55" s="269"/>
      <c r="EV55" s="269"/>
      <c r="EW55" s="269"/>
      <c r="EX55" s="269"/>
      <c r="EY55" s="269"/>
      <c r="EZ55" s="269"/>
      <c r="FA55" s="269"/>
      <c r="FB55" s="269"/>
      <c r="FC55" s="269"/>
      <c r="FD55" s="269"/>
      <c r="FE55" s="269"/>
      <c r="FF55" s="269"/>
      <c r="FG55" s="269"/>
      <c r="FH55" s="269"/>
      <c r="FI55" s="269"/>
      <c r="FJ55" s="269"/>
      <c r="FK55" s="269"/>
      <c r="FL55" s="269"/>
      <c r="FM55" s="269"/>
      <c r="FN55" s="269"/>
      <c r="FO55" s="269"/>
      <c r="FP55" s="269"/>
      <c r="FQ55" s="269"/>
      <c r="FR55" s="269"/>
      <c r="FS55" s="269"/>
      <c r="FT55" s="269"/>
      <c r="FU55" s="269"/>
      <c r="FV55" s="269"/>
      <c r="FW55" s="269"/>
      <c r="FX55" s="269"/>
      <c r="FY55" s="269"/>
      <c r="FZ55" s="269"/>
      <c r="GA55" s="269"/>
      <c r="GB55" s="269"/>
      <c r="GC55" s="269"/>
      <c r="GD55" s="269"/>
      <c r="GE55" s="269"/>
      <c r="GF55" s="269"/>
      <c r="GG55" s="269"/>
      <c r="GH55" s="269"/>
      <c r="GI55" s="269"/>
      <c r="GJ55" s="269"/>
      <c r="GK55" s="269"/>
      <c r="GL55" s="269"/>
      <c r="GM55" s="269"/>
      <c r="GN55" s="269"/>
      <c r="GO55" s="269"/>
      <c r="GP55" s="269"/>
      <c r="GQ55" s="269"/>
      <c r="GR55" s="269"/>
      <c r="GS55" s="269"/>
      <c r="GT55" s="269"/>
      <c r="GU55" s="269"/>
      <c r="GV55" s="269"/>
      <c r="GW55" s="269"/>
      <c r="GX55" s="269"/>
      <c r="GY55" s="269"/>
      <c r="GZ55" s="269"/>
      <c r="HA55" s="269"/>
      <c r="HB55" s="269"/>
      <c r="HC55" s="269"/>
      <c r="HD55" s="269"/>
      <c r="HE55" s="269"/>
      <c r="HF55" s="269"/>
      <c r="HG55" s="269"/>
      <c r="HH55" s="269"/>
      <c r="HI55" s="269"/>
      <c r="HJ55" s="269"/>
      <c r="HK55" s="269"/>
      <c r="HL55" s="269"/>
      <c r="HM55" s="269"/>
      <c r="HN55" s="269"/>
      <c r="HO55" s="269"/>
      <c r="HP55" s="269"/>
      <c r="HQ55" s="269"/>
      <c r="HR55" s="269"/>
      <c r="HS55" s="269"/>
      <c r="HT55" s="269"/>
      <c r="HU55" s="269"/>
      <c r="HV55" s="269"/>
      <c r="HW55" s="269"/>
      <c r="HX55" s="269"/>
      <c r="HY55" s="269"/>
      <c r="HZ55" s="269"/>
      <c r="IA55" s="269"/>
      <c r="IB55" s="269"/>
      <c r="IC55" s="269"/>
      <c r="ID55" s="269"/>
      <c r="IE55" s="269"/>
      <c r="IF55" s="269"/>
      <c r="IG55" s="269"/>
      <c r="IH55" s="269"/>
      <c r="II55" s="269"/>
      <c r="IJ55" s="269"/>
      <c r="IK55" s="269"/>
      <c r="IL55" s="269"/>
      <c r="IM55" s="269"/>
      <c r="IN55" s="269"/>
      <c r="IO55" s="269"/>
      <c r="IP55" s="269"/>
      <c r="IQ55" s="269"/>
      <c r="IR55" s="269"/>
      <c r="IS55" s="269"/>
      <c r="IT55" s="269"/>
      <c r="IU55" s="269"/>
      <c r="IV55" s="269"/>
      <c r="IW55" s="269"/>
      <c r="IX55" s="269"/>
      <c r="IY55" s="269"/>
      <c r="IZ55" s="269"/>
      <c r="JA55" s="269"/>
      <c r="JB55" s="269"/>
      <c r="JC55" s="269"/>
      <c r="JD55" s="269"/>
      <c r="JE55" s="269"/>
      <c r="JF55" s="269"/>
      <c r="JG55" s="269"/>
      <c r="JH55" s="269"/>
      <c r="JI55" s="269"/>
      <c r="JJ55" s="269"/>
      <c r="JK55" s="269"/>
      <c r="JL55" s="269"/>
      <c r="JM55" s="269"/>
      <c r="JN55" s="269"/>
      <c r="JO55" s="269"/>
      <c r="JP55" s="269"/>
      <c r="JQ55" s="269"/>
      <c r="JR55" s="269"/>
      <c r="JS55" s="269"/>
      <c r="JT55" s="269"/>
      <c r="JU55" s="269"/>
      <c r="JV55" s="269"/>
      <c r="JW55" s="269"/>
      <c r="JX55" s="269"/>
      <c r="JY55" s="269"/>
      <c r="JZ55" s="269"/>
      <c r="KA55" s="269"/>
      <c r="KB55" s="269"/>
      <c r="KC55" s="269"/>
      <c r="KD55" s="269"/>
      <c r="KE55" s="269"/>
      <c r="KF55" s="269"/>
      <c r="KG55" s="269"/>
      <c r="KH55" s="269"/>
      <c r="KI55" s="269"/>
      <c r="KJ55" s="269"/>
      <c r="KK55" s="269"/>
      <c r="KL55" s="269"/>
      <c r="KM55" s="269"/>
      <c r="KN55" s="269"/>
      <c r="KO55" s="269"/>
      <c r="KP55" s="269"/>
      <c r="KQ55" s="269"/>
      <c r="KR55" s="269"/>
      <c r="KS55" s="269"/>
      <c r="KT55" s="269"/>
      <c r="KU55" s="269"/>
      <c r="KV55" s="269"/>
      <c r="KW55" s="269"/>
      <c r="KX55" s="269"/>
      <c r="KY55" s="269"/>
      <c r="KZ55" s="269"/>
      <c r="LA55" s="269"/>
      <c r="LB55" s="269"/>
      <c r="LC55" s="269"/>
      <c r="LD55" s="269"/>
      <c r="LE55" s="269"/>
      <c r="LF55" s="269"/>
      <c r="LG55" s="269"/>
      <c r="LH55" s="269"/>
      <c r="LI55" s="269"/>
      <c r="LJ55" s="269"/>
      <c r="LK55" s="269"/>
      <c r="LL55" s="269"/>
      <c r="LM55" s="269"/>
      <c r="LN55" s="269"/>
      <c r="LO55" s="269"/>
      <c r="LP55" s="269"/>
      <c r="LQ55" s="269"/>
      <c r="LR55" s="269"/>
      <c r="LS55" s="269"/>
      <c r="LT55" s="269"/>
      <c r="LU55" s="269"/>
      <c r="LV55" s="269"/>
      <c r="LW55" s="269"/>
      <c r="LX55" s="269"/>
      <c r="LY55" s="269"/>
      <c r="LZ55" s="269"/>
      <c r="MA55" s="269"/>
      <c r="MB55" s="269"/>
      <c r="MC55" s="269"/>
      <c r="MD55" s="269"/>
      <c r="ME55" s="269"/>
      <c r="MF55" s="269"/>
      <c r="MG55" s="269"/>
      <c r="MH55" s="269"/>
      <c r="MI55" s="269"/>
      <c r="MJ55" s="269"/>
      <c r="MK55" s="269"/>
      <c r="ML55" s="269"/>
      <c r="MM55" s="269"/>
      <c r="MN55" s="269"/>
      <c r="MO55" s="269"/>
      <c r="MP55" s="269"/>
      <c r="MQ55" s="269"/>
      <c r="MR55" s="269"/>
      <c r="MS55" s="269"/>
      <c r="MT55" s="269"/>
      <c r="MU55" s="269"/>
      <c r="MV55" s="269"/>
      <c r="MW55" s="269"/>
      <c r="MX55" s="269"/>
      <c r="MY55" s="269"/>
      <c r="MZ55" s="269"/>
      <c r="NA55" s="269"/>
      <c r="NB55" s="269"/>
      <c r="NC55" s="269"/>
      <c r="ND55" s="269"/>
      <c r="NE55" s="269"/>
      <c r="NF55" s="269"/>
      <c r="NG55" s="269"/>
      <c r="NH55" s="269"/>
      <c r="NI55" s="269"/>
      <c r="NJ55" s="269"/>
      <c r="NK55" s="269"/>
      <c r="NL55" s="269"/>
      <c r="NM55" s="269"/>
      <c r="NN55" s="269"/>
      <c r="NO55" s="269"/>
      <c r="NP55" s="269"/>
      <c r="NQ55" s="269"/>
      <c r="NR55" s="269"/>
      <c r="NS55" s="269"/>
      <c r="NT55" s="269"/>
      <c r="NU55" s="269"/>
      <c r="NV55" s="269"/>
      <c r="NW55" s="269"/>
      <c r="NX55" s="269"/>
      <c r="NY55" s="269"/>
      <c r="NZ55" s="269"/>
      <c r="OA55" s="269"/>
      <c r="OB55" s="269"/>
      <c r="OC55" s="269"/>
      <c r="OD55" s="269"/>
      <c r="OE55" s="269"/>
      <c r="OF55" s="269"/>
      <c r="OG55" s="269"/>
      <c r="OH55" s="269"/>
      <c r="OI55" s="269"/>
      <c r="OJ55" s="269"/>
      <c r="OK55" s="269"/>
      <c r="OL55" s="269"/>
      <c r="OM55" s="269"/>
      <c r="ON55" s="269"/>
      <c r="OO55" s="269"/>
      <c r="OP55" s="269"/>
      <c r="OQ55" s="269"/>
      <c r="OR55" s="269"/>
      <c r="OS55" s="269"/>
      <c r="OT55" s="269"/>
      <c r="OU55" s="269"/>
      <c r="OV55" s="269"/>
      <c r="OW55" s="269"/>
      <c r="OX55" s="269"/>
      <c r="OY55" s="269"/>
      <c r="OZ55" s="269"/>
      <c r="PA55" s="269"/>
      <c r="PB55" s="269"/>
      <c r="PC55" s="269"/>
    </row>
    <row r="56" spans="1:419">
      <c r="A56" s="269"/>
      <c r="B56" s="287" t="s">
        <v>26</v>
      </c>
      <c r="C56" s="269"/>
      <c r="D56" s="269"/>
      <c r="E56" s="269"/>
      <c r="F56" s="269"/>
      <c r="G56" s="273">
        <v>0.13483146067415719</v>
      </c>
      <c r="H56" s="273">
        <v>0.18877551020408156</v>
      </c>
      <c r="I56" s="273">
        <v>9.5022624434389025E-2</v>
      </c>
      <c r="J56" s="273">
        <v>-1.4218009478673022E-2</v>
      </c>
      <c r="K56" s="275">
        <v>-7.4257425742574212E-2</v>
      </c>
      <c r="L56" s="275">
        <v>-7.7253218884120178E-2</v>
      </c>
      <c r="M56" s="287" t="s">
        <v>26</v>
      </c>
      <c r="N56" s="269"/>
      <c r="O56" s="269"/>
      <c r="P56" s="269"/>
      <c r="Q56" s="269"/>
      <c r="R56" s="273">
        <v>0.16064431867653473</v>
      </c>
      <c r="S56" s="273">
        <v>0.22502870264064301</v>
      </c>
      <c r="T56" s="273">
        <v>0.11957601854918853</v>
      </c>
      <c r="U56" s="273">
        <v>2.4893314366998265E-3</v>
      </c>
      <c r="V56" s="275">
        <v>-5.2138034508627307E-2</v>
      </c>
      <c r="W56" s="275">
        <v>-4.6860356138706649E-2</v>
      </c>
      <c r="X56" s="290" t="s">
        <v>26</v>
      </c>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269"/>
      <c r="CC56" s="269"/>
      <c r="CD56" s="269"/>
      <c r="CE56" s="269"/>
      <c r="CF56" s="269"/>
      <c r="CG56" s="269"/>
      <c r="CH56" s="269"/>
      <c r="CI56" s="269"/>
      <c r="CJ56" s="269"/>
      <c r="CK56" s="269"/>
      <c r="CL56" s="269"/>
      <c r="CM56" s="269"/>
      <c r="CN56" s="269"/>
      <c r="CO56" s="269"/>
      <c r="CP56" s="269"/>
      <c r="CQ56" s="269"/>
      <c r="CR56" s="269"/>
      <c r="CS56" s="269"/>
      <c r="CT56" s="269"/>
      <c r="CU56" s="269"/>
      <c r="CV56" s="269"/>
      <c r="CW56" s="269"/>
      <c r="CX56" s="269"/>
      <c r="CY56" s="269"/>
      <c r="CZ56" s="269"/>
      <c r="DA56" s="269"/>
      <c r="DB56" s="269"/>
      <c r="DC56" s="269"/>
      <c r="DD56" s="269"/>
      <c r="DE56" s="269"/>
      <c r="DF56" s="269"/>
      <c r="DG56" s="269"/>
      <c r="DH56" s="269"/>
      <c r="DI56" s="269"/>
      <c r="DJ56" s="269"/>
      <c r="DK56" s="269"/>
      <c r="DL56" s="269"/>
      <c r="DM56" s="269"/>
      <c r="DN56" s="269"/>
      <c r="DO56" s="269"/>
      <c r="DP56" s="269"/>
      <c r="DQ56" s="269"/>
      <c r="DR56" s="269"/>
      <c r="DS56" s="269"/>
      <c r="DT56" s="269"/>
      <c r="DU56" s="269"/>
      <c r="DV56" s="269"/>
      <c r="DW56" s="269"/>
      <c r="DX56" s="269"/>
      <c r="DY56" s="269"/>
      <c r="DZ56" s="269"/>
      <c r="EA56" s="269"/>
      <c r="EB56" s="269"/>
      <c r="EC56" s="269"/>
      <c r="ED56" s="269"/>
      <c r="EE56" s="269"/>
      <c r="EF56" s="269"/>
      <c r="EG56" s="269"/>
      <c r="EH56" s="269"/>
      <c r="EI56" s="269"/>
      <c r="EJ56" s="269"/>
      <c r="EK56" s="269"/>
      <c r="EL56" s="269"/>
      <c r="EM56" s="269"/>
      <c r="EN56" s="269"/>
      <c r="EO56" s="269"/>
      <c r="EP56" s="269"/>
      <c r="EQ56" s="269"/>
      <c r="ER56" s="269"/>
      <c r="ES56" s="269"/>
      <c r="ET56" s="269"/>
      <c r="EU56" s="269"/>
      <c r="EV56" s="269"/>
      <c r="EW56" s="269"/>
      <c r="EX56" s="269"/>
      <c r="EY56" s="269"/>
      <c r="EZ56" s="269"/>
      <c r="FA56" s="269"/>
      <c r="FB56" s="269"/>
      <c r="FC56" s="269"/>
      <c r="FD56" s="269"/>
      <c r="FE56" s="269"/>
      <c r="FF56" s="269"/>
      <c r="FG56" s="269"/>
      <c r="FH56" s="269"/>
      <c r="FI56" s="269"/>
      <c r="FJ56" s="269"/>
      <c r="FK56" s="269"/>
      <c r="FL56" s="269"/>
      <c r="FM56" s="269"/>
      <c r="FN56" s="269"/>
      <c r="FO56" s="269"/>
      <c r="FP56" s="269"/>
      <c r="FQ56" s="269"/>
      <c r="FR56" s="269"/>
      <c r="FS56" s="269"/>
      <c r="FT56" s="269"/>
      <c r="FU56" s="269"/>
      <c r="FV56" s="269"/>
      <c r="FW56" s="269"/>
      <c r="FX56" s="269"/>
      <c r="FY56" s="269"/>
      <c r="FZ56" s="269"/>
      <c r="GA56" s="269"/>
      <c r="GB56" s="269"/>
      <c r="GC56" s="269"/>
      <c r="GD56" s="269"/>
      <c r="GE56" s="269"/>
      <c r="GF56" s="269"/>
      <c r="GG56" s="269"/>
      <c r="GH56" s="269"/>
      <c r="GI56" s="269"/>
      <c r="GJ56" s="269"/>
      <c r="GK56" s="269"/>
      <c r="GL56" s="269"/>
      <c r="GM56" s="269"/>
      <c r="GN56" s="269"/>
      <c r="GO56" s="269"/>
      <c r="GP56" s="269"/>
      <c r="GQ56" s="269"/>
      <c r="GR56" s="269"/>
      <c r="GS56" s="269"/>
      <c r="GT56" s="269"/>
      <c r="GU56" s="269"/>
      <c r="GV56" s="269"/>
      <c r="GW56" s="269"/>
      <c r="GX56" s="269"/>
      <c r="GY56" s="269"/>
      <c r="GZ56" s="269"/>
      <c r="HA56" s="269"/>
      <c r="HB56" s="269"/>
      <c r="HC56" s="269"/>
      <c r="HD56" s="269"/>
      <c r="HE56" s="269"/>
      <c r="HF56" s="269"/>
      <c r="HG56" s="269"/>
      <c r="HH56" s="269"/>
      <c r="HI56" s="269"/>
      <c r="HJ56" s="269"/>
      <c r="HK56" s="269"/>
      <c r="HL56" s="269"/>
      <c r="HM56" s="269"/>
      <c r="HN56" s="269"/>
      <c r="HO56" s="269"/>
      <c r="HP56" s="269"/>
      <c r="HQ56" s="269"/>
      <c r="HR56" s="269"/>
      <c r="HS56" s="269"/>
      <c r="HT56" s="269"/>
      <c r="HU56" s="269"/>
      <c r="HV56" s="269"/>
      <c r="HW56" s="269"/>
      <c r="HX56" s="269"/>
      <c r="HY56" s="269"/>
      <c r="HZ56" s="269"/>
      <c r="IA56" s="269"/>
      <c r="IB56" s="269"/>
      <c r="IC56" s="269"/>
      <c r="ID56" s="269"/>
      <c r="IE56" s="269"/>
      <c r="IF56" s="269"/>
      <c r="IG56" s="269"/>
      <c r="IH56" s="269"/>
      <c r="II56" s="269"/>
      <c r="IJ56" s="269"/>
      <c r="IK56" s="269"/>
      <c r="IL56" s="269"/>
      <c r="IM56" s="269"/>
      <c r="IN56" s="269"/>
      <c r="IO56" s="269"/>
      <c r="IP56" s="269"/>
      <c r="IQ56" s="269"/>
      <c r="IR56" s="269"/>
      <c r="IS56" s="269"/>
      <c r="IT56" s="269"/>
      <c r="IU56" s="269"/>
      <c r="IV56" s="269"/>
      <c r="IW56" s="269"/>
      <c r="IX56" s="269"/>
      <c r="IY56" s="269"/>
      <c r="IZ56" s="269"/>
      <c r="JA56" s="269"/>
      <c r="JB56" s="269"/>
      <c r="JC56" s="269"/>
      <c r="JD56" s="269"/>
      <c r="JE56" s="269"/>
      <c r="JF56" s="269"/>
      <c r="JG56" s="269"/>
      <c r="JH56" s="269"/>
      <c r="JI56" s="269"/>
      <c r="JJ56" s="269"/>
      <c r="JK56" s="269"/>
      <c r="JL56" s="269"/>
      <c r="JM56" s="269"/>
      <c r="JN56" s="269"/>
      <c r="JO56" s="269"/>
      <c r="JP56" s="269"/>
      <c r="JQ56" s="269"/>
      <c r="JR56" s="269"/>
      <c r="JS56" s="269"/>
      <c r="JT56" s="269"/>
      <c r="JU56" s="269"/>
      <c r="JV56" s="269"/>
      <c r="JW56" s="269"/>
      <c r="JX56" s="269"/>
      <c r="JY56" s="269"/>
      <c r="JZ56" s="269"/>
      <c r="KA56" s="269"/>
      <c r="KB56" s="269"/>
      <c r="KC56" s="269"/>
      <c r="KD56" s="269"/>
      <c r="KE56" s="269"/>
      <c r="KF56" s="269"/>
      <c r="KG56" s="269"/>
      <c r="KH56" s="269"/>
      <c r="KI56" s="269"/>
      <c r="KJ56" s="269"/>
      <c r="KK56" s="269"/>
      <c r="KL56" s="269"/>
      <c r="KM56" s="269"/>
      <c r="KN56" s="269"/>
      <c r="KO56" s="269"/>
      <c r="KP56" s="269"/>
      <c r="KQ56" s="269"/>
      <c r="KR56" s="269"/>
      <c r="KS56" s="269"/>
      <c r="KT56" s="269"/>
      <c r="KU56" s="269"/>
      <c r="KV56" s="269"/>
      <c r="KW56" s="269"/>
      <c r="KX56" s="269"/>
      <c r="KY56" s="269"/>
      <c r="KZ56" s="269"/>
      <c r="LA56" s="269"/>
      <c r="LB56" s="269"/>
      <c r="LC56" s="269"/>
      <c r="LD56" s="269"/>
      <c r="LE56" s="269"/>
      <c r="LF56" s="269"/>
      <c r="LG56" s="269"/>
      <c r="LH56" s="269"/>
      <c r="LI56" s="269"/>
      <c r="LJ56" s="269"/>
      <c r="LK56" s="269"/>
      <c r="LL56" s="269"/>
      <c r="LM56" s="269"/>
      <c r="LN56" s="269"/>
      <c r="LO56" s="269"/>
      <c r="LP56" s="269"/>
      <c r="LQ56" s="269"/>
      <c r="LR56" s="269"/>
      <c r="LS56" s="269"/>
      <c r="LT56" s="269"/>
      <c r="LU56" s="269"/>
      <c r="LV56" s="269"/>
      <c r="LW56" s="269"/>
      <c r="LX56" s="269"/>
      <c r="LY56" s="269"/>
      <c r="LZ56" s="269"/>
      <c r="MA56" s="269"/>
      <c r="MB56" s="269"/>
      <c r="MC56" s="269"/>
      <c r="MD56" s="269"/>
      <c r="ME56" s="269"/>
      <c r="MF56" s="269"/>
      <c r="MG56" s="269"/>
      <c r="MH56" s="269"/>
      <c r="MI56" s="269"/>
      <c r="MJ56" s="269"/>
      <c r="MK56" s="269"/>
      <c r="ML56" s="269"/>
      <c r="MM56" s="269"/>
      <c r="MN56" s="269"/>
      <c r="MO56" s="269"/>
      <c r="MP56" s="269"/>
      <c r="MQ56" s="269"/>
      <c r="MR56" s="269"/>
      <c r="MS56" s="269"/>
      <c r="MT56" s="269"/>
      <c r="MU56" s="269"/>
      <c r="MV56" s="269"/>
      <c r="MW56" s="269"/>
      <c r="MX56" s="269"/>
      <c r="MY56" s="269"/>
      <c r="MZ56" s="269"/>
      <c r="NA56" s="269"/>
      <c r="NB56" s="269"/>
      <c r="NC56" s="269"/>
      <c r="ND56" s="269"/>
      <c r="NE56" s="269"/>
      <c r="NF56" s="269"/>
      <c r="NG56" s="269"/>
      <c r="NH56" s="269"/>
      <c r="NI56" s="269"/>
      <c r="NJ56" s="269"/>
      <c r="NK56" s="269"/>
      <c r="NL56" s="269"/>
      <c r="NM56" s="269"/>
      <c r="NN56" s="269"/>
      <c r="NO56" s="269"/>
      <c r="NP56" s="269"/>
      <c r="NQ56" s="269"/>
      <c r="NR56" s="269"/>
      <c r="NS56" s="269"/>
      <c r="NT56" s="269"/>
      <c r="NU56" s="269"/>
      <c r="NV56" s="269"/>
      <c r="NW56" s="269"/>
      <c r="NX56" s="269"/>
      <c r="NY56" s="269"/>
      <c r="NZ56" s="269"/>
      <c r="OA56" s="269"/>
      <c r="OB56" s="269"/>
      <c r="OC56" s="269"/>
      <c r="OD56" s="269"/>
      <c r="OE56" s="269"/>
      <c r="OF56" s="269"/>
      <c r="OG56" s="269"/>
      <c r="OH56" s="269"/>
      <c r="OI56" s="269"/>
      <c r="OJ56" s="269"/>
      <c r="OK56" s="269"/>
      <c r="OL56" s="269"/>
      <c r="OM56" s="269"/>
      <c r="ON56" s="269"/>
      <c r="OO56" s="269"/>
      <c r="OP56" s="269"/>
      <c r="OQ56" s="269"/>
      <c r="OR56" s="269"/>
      <c r="OS56" s="269"/>
      <c r="OT56" s="269"/>
      <c r="OU56" s="269"/>
      <c r="OV56" s="269"/>
      <c r="OW56" s="269"/>
      <c r="OX56" s="269"/>
      <c r="OY56" s="269"/>
      <c r="OZ56" s="269"/>
      <c r="PA56" s="269"/>
      <c r="PB56" s="269"/>
      <c r="PC56" s="269"/>
    </row>
    <row r="57" spans="1:419">
      <c r="A57" s="269"/>
      <c r="B57" s="287" t="s">
        <v>28</v>
      </c>
      <c r="C57" s="269"/>
      <c r="D57" s="269"/>
      <c r="E57" s="269"/>
      <c r="F57" s="269"/>
      <c r="G57" s="273">
        <v>-8.1871345029239873E-2</v>
      </c>
      <c r="H57" s="273">
        <v>-4.1237113402061709E-2</v>
      </c>
      <c r="I57" s="273">
        <v>-8.5106382978723527E-2</v>
      </c>
      <c r="J57" s="273">
        <v>-0.19672131147540994</v>
      </c>
      <c r="K57" s="273">
        <v>-0.14012738853503182</v>
      </c>
      <c r="L57" s="274">
        <v>-0.13440860215053763</v>
      </c>
      <c r="M57" s="287" t="s">
        <v>28</v>
      </c>
      <c r="N57" s="269"/>
      <c r="O57" s="269"/>
      <c r="P57" s="269"/>
      <c r="Q57" s="269"/>
      <c r="R57" s="273">
        <v>-7.4148296593186336E-2</v>
      </c>
      <c r="S57" s="273">
        <v>-2.0442930153321992E-2</v>
      </c>
      <c r="T57" s="273">
        <v>-6.2827225130890008E-2</v>
      </c>
      <c r="U57" s="273">
        <v>-0.17939609236234444</v>
      </c>
      <c r="V57" s="273">
        <v>-9.5238095238095344E-2</v>
      </c>
      <c r="W57" s="274">
        <v>-8.0000000000000071E-2</v>
      </c>
      <c r="X57" s="287" t="s">
        <v>28</v>
      </c>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269"/>
      <c r="BU57" s="269"/>
      <c r="BV57" s="269"/>
      <c r="BW57" s="269"/>
      <c r="BX57" s="269"/>
      <c r="BY57" s="269"/>
      <c r="BZ57" s="269"/>
      <c r="CA57" s="269"/>
      <c r="CB57" s="269"/>
      <c r="CC57" s="269"/>
      <c r="CD57" s="269"/>
      <c r="CE57" s="269"/>
      <c r="CF57" s="269"/>
      <c r="CG57" s="269"/>
      <c r="CH57" s="269"/>
      <c r="CI57" s="269"/>
      <c r="CJ57" s="269"/>
      <c r="CK57" s="269"/>
      <c r="CL57" s="269"/>
      <c r="CM57" s="269"/>
      <c r="CN57" s="269"/>
      <c r="CO57" s="269"/>
      <c r="CP57" s="269"/>
      <c r="CQ57" s="269"/>
      <c r="CR57" s="269"/>
      <c r="CS57" s="269"/>
      <c r="CT57" s="269"/>
      <c r="CU57" s="269"/>
      <c r="CV57" s="269"/>
      <c r="CW57" s="269"/>
      <c r="CX57" s="269"/>
      <c r="CY57" s="269"/>
      <c r="CZ57" s="269"/>
      <c r="DA57" s="269"/>
      <c r="DB57" s="269"/>
      <c r="DC57" s="269"/>
      <c r="DD57" s="269"/>
      <c r="DE57" s="269"/>
      <c r="DF57" s="269"/>
      <c r="DG57" s="269"/>
      <c r="DH57" s="269"/>
      <c r="DI57" s="269"/>
      <c r="DJ57" s="269"/>
      <c r="DK57" s="269"/>
      <c r="DL57" s="269"/>
      <c r="DM57" s="269"/>
      <c r="DN57" s="269"/>
      <c r="DO57" s="269"/>
      <c r="DP57" s="269"/>
      <c r="DQ57" s="269"/>
      <c r="DR57" s="269"/>
      <c r="DS57" s="269"/>
      <c r="DT57" s="269"/>
      <c r="DU57" s="269"/>
      <c r="DV57" s="269"/>
      <c r="DW57" s="269"/>
      <c r="DX57" s="269"/>
      <c r="DY57" s="269"/>
      <c r="DZ57" s="269"/>
      <c r="EA57" s="269"/>
      <c r="EB57" s="269"/>
      <c r="EC57" s="269"/>
      <c r="ED57" s="269"/>
      <c r="EE57" s="269"/>
      <c r="EF57" s="269"/>
      <c r="EG57" s="269"/>
      <c r="EH57" s="269"/>
      <c r="EI57" s="269"/>
      <c r="EJ57" s="269"/>
      <c r="EK57" s="269"/>
      <c r="EL57" s="269"/>
      <c r="EM57" s="269"/>
      <c r="EN57" s="269"/>
      <c r="EO57" s="269"/>
      <c r="EP57" s="269"/>
      <c r="EQ57" s="269"/>
      <c r="ER57" s="269"/>
      <c r="ES57" s="269"/>
      <c r="ET57" s="269"/>
      <c r="EU57" s="269"/>
      <c r="EV57" s="269"/>
      <c r="EW57" s="269"/>
      <c r="EX57" s="269"/>
      <c r="EY57" s="269"/>
      <c r="EZ57" s="269"/>
      <c r="FA57" s="269"/>
      <c r="FB57" s="269"/>
      <c r="FC57" s="269"/>
      <c r="FD57" s="269"/>
      <c r="FE57" s="269"/>
      <c r="FF57" s="269"/>
      <c r="FG57" s="269"/>
      <c r="FH57" s="269"/>
      <c r="FI57" s="269"/>
      <c r="FJ57" s="269"/>
      <c r="FK57" s="269"/>
      <c r="FL57" s="269"/>
      <c r="FM57" s="269"/>
      <c r="FN57" s="269"/>
      <c r="FO57" s="269"/>
      <c r="FP57" s="269"/>
      <c r="FQ57" s="269"/>
      <c r="FR57" s="269"/>
      <c r="FS57" s="269"/>
      <c r="FT57" s="269"/>
      <c r="FU57" s="269"/>
      <c r="FV57" s="269"/>
      <c r="FW57" s="269"/>
      <c r="FX57" s="269"/>
      <c r="FY57" s="269"/>
      <c r="FZ57" s="269"/>
      <c r="GA57" s="269"/>
      <c r="GB57" s="269"/>
      <c r="GC57" s="269"/>
      <c r="GD57" s="269"/>
      <c r="GE57" s="269"/>
      <c r="GF57" s="269"/>
      <c r="GG57" s="269"/>
      <c r="GH57" s="269"/>
      <c r="GI57" s="269"/>
      <c r="GJ57" s="269"/>
      <c r="GK57" s="269"/>
      <c r="GL57" s="269"/>
      <c r="GM57" s="269"/>
      <c r="GN57" s="269"/>
      <c r="GO57" s="269"/>
      <c r="GP57" s="269"/>
      <c r="GQ57" s="269"/>
      <c r="GR57" s="269"/>
      <c r="GS57" s="269"/>
      <c r="GT57" s="269"/>
      <c r="GU57" s="269"/>
      <c r="GV57" s="269"/>
      <c r="GW57" s="269"/>
      <c r="GX57" s="269"/>
      <c r="GY57" s="269"/>
      <c r="GZ57" s="269"/>
      <c r="HA57" s="269"/>
      <c r="HB57" s="269"/>
      <c r="HC57" s="269"/>
      <c r="HD57" s="269"/>
      <c r="HE57" s="269"/>
      <c r="HF57" s="269"/>
      <c r="HG57" s="269"/>
      <c r="HH57" s="269"/>
      <c r="HI57" s="269"/>
      <c r="HJ57" s="269"/>
      <c r="HK57" s="269"/>
      <c r="HL57" s="269"/>
      <c r="HM57" s="269"/>
      <c r="HN57" s="269"/>
      <c r="HO57" s="269"/>
      <c r="HP57" s="269"/>
      <c r="HQ57" s="269"/>
      <c r="HR57" s="269"/>
      <c r="HS57" s="269"/>
      <c r="HT57" s="269"/>
      <c r="HU57" s="269"/>
      <c r="HV57" s="269"/>
      <c r="HW57" s="269"/>
      <c r="HX57" s="269"/>
      <c r="HY57" s="269"/>
      <c r="HZ57" s="269"/>
      <c r="IA57" s="269"/>
      <c r="IB57" s="269"/>
      <c r="IC57" s="269"/>
      <c r="ID57" s="269"/>
      <c r="IE57" s="269"/>
      <c r="IF57" s="269"/>
      <c r="IG57" s="269"/>
      <c r="IH57" s="269"/>
      <c r="II57" s="269"/>
      <c r="IJ57" s="269"/>
      <c r="IK57" s="269"/>
      <c r="IL57" s="269"/>
      <c r="IM57" s="269"/>
      <c r="IN57" s="269"/>
      <c r="IO57" s="269"/>
      <c r="IP57" s="269"/>
      <c r="IQ57" s="269"/>
      <c r="IR57" s="269"/>
      <c r="IS57" s="269"/>
      <c r="IT57" s="269"/>
      <c r="IU57" s="269"/>
      <c r="IV57" s="269"/>
      <c r="IW57" s="269"/>
      <c r="IX57" s="269"/>
      <c r="IY57" s="269"/>
      <c r="IZ57" s="269"/>
      <c r="JA57" s="269"/>
      <c r="JB57" s="269"/>
      <c r="JC57" s="269"/>
      <c r="JD57" s="269"/>
      <c r="JE57" s="269"/>
      <c r="JF57" s="269"/>
      <c r="JG57" s="269"/>
      <c r="JH57" s="269"/>
      <c r="JI57" s="269"/>
      <c r="JJ57" s="269"/>
      <c r="JK57" s="269"/>
      <c r="JL57" s="269"/>
      <c r="JM57" s="269"/>
      <c r="JN57" s="269"/>
      <c r="JO57" s="269"/>
      <c r="JP57" s="269"/>
      <c r="JQ57" s="269"/>
      <c r="JR57" s="269"/>
      <c r="JS57" s="269"/>
      <c r="JT57" s="269"/>
      <c r="JU57" s="269"/>
      <c r="JV57" s="269"/>
      <c r="JW57" s="269"/>
      <c r="JX57" s="269"/>
      <c r="JY57" s="269"/>
      <c r="JZ57" s="269"/>
      <c r="KA57" s="269"/>
      <c r="KB57" s="269"/>
      <c r="KC57" s="269"/>
      <c r="KD57" s="269"/>
      <c r="KE57" s="269"/>
      <c r="KF57" s="269"/>
      <c r="KG57" s="269"/>
      <c r="KH57" s="269"/>
      <c r="KI57" s="269"/>
      <c r="KJ57" s="269"/>
      <c r="KK57" s="269"/>
      <c r="KL57" s="269"/>
      <c r="KM57" s="269"/>
      <c r="KN57" s="269"/>
      <c r="KO57" s="269"/>
      <c r="KP57" s="269"/>
      <c r="KQ57" s="269"/>
      <c r="KR57" s="269"/>
      <c r="KS57" s="269"/>
      <c r="KT57" s="269"/>
      <c r="KU57" s="269"/>
      <c r="KV57" s="269"/>
      <c r="KW57" s="269"/>
      <c r="KX57" s="269"/>
      <c r="KY57" s="269"/>
      <c r="KZ57" s="269"/>
      <c r="LA57" s="269"/>
      <c r="LB57" s="269"/>
      <c r="LC57" s="269"/>
      <c r="LD57" s="269"/>
      <c r="LE57" s="269"/>
      <c r="LF57" s="269"/>
      <c r="LG57" s="269"/>
      <c r="LH57" s="269"/>
      <c r="LI57" s="269"/>
      <c r="LJ57" s="269"/>
      <c r="LK57" s="269"/>
      <c r="LL57" s="269"/>
      <c r="LM57" s="269"/>
      <c r="LN57" s="269"/>
      <c r="LO57" s="269"/>
      <c r="LP57" s="269"/>
      <c r="LQ57" s="269"/>
      <c r="LR57" s="269"/>
      <c r="LS57" s="269"/>
      <c r="LT57" s="269"/>
      <c r="LU57" s="269"/>
      <c r="LV57" s="269"/>
      <c r="LW57" s="269"/>
      <c r="LX57" s="269"/>
      <c r="LY57" s="269"/>
      <c r="LZ57" s="269"/>
      <c r="MA57" s="269"/>
      <c r="MB57" s="269"/>
      <c r="MC57" s="269"/>
      <c r="MD57" s="269"/>
      <c r="ME57" s="269"/>
      <c r="MF57" s="269"/>
      <c r="MG57" s="269"/>
      <c r="MH57" s="269"/>
      <c r="MI57" s="269"/>
      <c r="MJ57" s="269"/>
      <c r="MK57" s="269"/>
      <c r="ML57" s="269"/>
      <c r="MM57" s="269"/>
      <c r="MN57" s="269"/>
      <c r="MO57" s="269"/>
      <c r="MP57" s="269"/>
      <c r="MQ57" s="269"/>
      <c r="MR57" s="269"/>
      <c r="MS57" s="269"/>
      <c r="MT57" s="269"/>
      <c r="MU57" s="269"/>
      <c r="MV57" s="269"/>
      <c r="MW57" s="269"/>
      <c r="MX57" s="269"/>
      <c r="MY57" s="269"/>
      <c r="MZ57" s="269"/>
      <c r="NA57" s="269"/>
      <c r="NB57" s="269"/>
      <c r="NC57" s="269"/>
      <c r="ND57" s="269"/>
      <c r="NE57" s="269"/>
      <c r="NF57" s="269"/>
      <c r="NG57" s="269"/>
      <c r="NH57" s="269"/>
      <c r="NI57" s="269"/>
      <c r="NJ57" s="269"/>
      <c r="NK57" s="269"/>
      <c r="NL57" s="269"/>
      <c r="NM57" s="269"/>
      <c r="NN57" s="269"/>
      <c r="NO57" s="269"/>
      <c r="NP57" s="269"/>
      <c r="NQ57" s="269"/>
      <c r="NR57" s="269"/>
      <c r="NS57" s="269"/>
      <c r="NT57" s="269"/>
      <c r="NU57" s="269"/>
      <c r="NV57" s="269"/>
      <c r="NW57" s="269"/>
      <c r="NX57" s="269"/>
      <c r="NY57" s="269"/>
      <c r="NZ57" s="269"/>
      <c r="OA57" s="269"/>
      <c r="OB57" s="269"/>
      <c r="OC57" s="269"/>
      <c r="OD57" s="269"/>
      <c r="OE57" s="269"/>
      <c r="OF57" s="269"/>
      <c r="OG57" s="269"/>
      <c r="OH57" s="269"/>
      <c r="OI57" s="269"/>
      <c r="OJ57" s="269"/>
      <c r="OK57" s="269"/>
      <c r="OL57" s="269"/>
      <c r="OM57" s="269"/>
      <c r="ON57" s="269"/>
      <c r="OO57" s="269"/>
      <c r="OP57" s="269"/>
      <c r="OQ57" s="269"/>
      <c r="OR57" s="269"/>
      <c r="OS57" s="269"/>
      <c r="OT57" s="269"/>
      <c r="OU57" s="269"/>
      <c r="OV57" s="269"/>
      <c r="OW57" s="269"/>
      <c r="OX57" s="269"/>
      <c r="OY57" s="269"/>
      <c r="OZ57" s="269"/>
      <c r="PA57" s="269"/>
      <c r="PB57" s="269"/>
      <c r="PC57" s="269"/>
    </row>
    <row r="58" spans="1:419">
      <c r="A58" s="269"/>
      <c r="B58" s="287" t="s">
        <v>19</v>
      </c>
      <c r="C58" s="269"/>
      <c r="D58" s="269"/>
      <c r="E58" s="269"/>
      <c r="F58" s="269"/>
      <c r="G58" s="273">
        <v>-3.1578947368421151E-2</v>
      </c>
      <c r="H58" s="273">
        <v>-4.8543689320388328E-2</v>
      </c>
      <c r="I58" s="273">
        <v>-2.9126213592233108E-2</v>
      </c>
      <c r="J58" s="273">
        <v>-1.0000000000000009E-2</v>
      </c>
      <c r="K58" s="273">
        <v>1.0869565217391353E-2</v>
      </c>
      <c r="L58" s="274">
        <v>-2.0408163265306256E-2</v>
      </c>
      <c r="M58" s="287" t="s">
        <v>19</v>
      </c>
      <c r="N58" s="269"/>
      <c r="O58" s="269"/>
      <c r="P58" s="269"/>
      <c r="Q58" s="269"/>
      <c r="R58" s="273">
        <v>-5.9616381544842501E-3</v>
      </c>
      <c r="S58" s="273">
        <v>-3.0989272943980906E-2</v>
      </c>
      <c r="T58" s="273">
        <v>-8.0416272469253647E-3</v>
      </c>
      <c r="U58" s="273">
        <v>1.6875602700097136E-3</v>
      </c>
      <c r="V58" s="273">
        <v>2.3728813559322104E-2</v>
      </c>
      <c r="W58" s="274">
        <v>0</v>
      </c>
      <c r="X58" s="287" t="s">
        <v>19</v>
      </c>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269"/>
      <c r="BU58" s="269"/>
      <c r="BV58" s="269"/>
      <c r="BW58" s="269"/>
      <c r="BX58" s="269"/>
      <c r="BY58" s="269"/>
      <c r="BZ58" s="269"/>
      <c r="CA58" s="269"/>
      <c r="CB58" s="269"/>
      <c r="CC58" s="269"/>
      <c r="CD58" s="269"/>
      <c r="CE58" s="269"/>
      <c r="CF58" s="269"/>
      <c r="CG58" s="269"/>
      <c r="CH58" s="269"/>
      <c r="CI58" s="269"/>
      <c r="CJ58" s="269"/>
      <c r="CK58" s="269"/>
      <c r="CL58" s="269"/>
      <c r="CM58" s="269"/>
      <c r="CN58" s="269"/>
      <c r="CO58" s="269"/>
      <c r="CP58" s="269"/>
      <c r="CQ58" s="269"/>
      <c r="CR58" s="269"/>
      <c r="CS58" s="269"/>
      <c r="CT58" s="269"/>
      <c r="CU58" s="269"/>
      <c r="CV58" s="269"/>
      <c r="CW58" s="269"/>
      <c r="CX58" s="269"/>
      <c r="CY58" s="269"/>
      <c r="CZ58" s="269"/>
      <c r="DA58" s="269"/>
      <c r="DB58" s="269"/>
      <c r="DC58" s="269"/>
      <c r="DD58" s="269"/>
      <c r="DE58" s="269"/>
      <c r="DF58" s="269"/>
      <c r="DG58" s="269"/>
      <c r="DH58" s="269"/>
      <c r="DI58" s="269"/>
      <c r="DJ58" s="269"/>
      <c r="DK58" s="269"/>
      <c r="DL58" s="269"/>
      <c r="DM58" s="269"/>
      <c r="DN58" s="269"/>
      <c r="DO58" s="269"/>
      <c r="DP58" s="269"/>
      <c r="DQ58" s="269"/>
      <c r="DR58" s="269"/>
      <c r="DS58" s="269"/>
      <c r="DT58" s="269"/>
      <c r="DU58" s="269"/>
      <c r="DV58" s="269"/>
      <c r="DW58" s="269"/>
      <c r="DX58" s="269"/>
      <c r="DY58" s="269"/>
      <c r="DZ58" s="269"/>
      <c r="EA58" s="269"/>
      <c r="EB58" s="269"/>
      <c r="EC58" s="269"/>
      <c r="ED58" s="269"/>
      <c r="EE58" s="269"/>
      <c r="EF58" s="269"/>
      <c r="EG58" s="269"/>
      <c r="EH58" s="269"/>
      <c r="EI58" s="269"/>
      <c r="EJ58" s="269"/>
      <c r="EK58" s="269"/>
      <c r="EL58" s="269"/>
      <c r="EM58" s="269"/>
      <c r="EN58" s="269"/>
      <c r="EO58" s="269"/>
      <c r="EP58" s="269"/>
      <c r="EQ58" s="269"/>
      <c r="ER58" s="269"/>
      <c r="ES58" s="269"/>
      <c r="ET58" s="269"/>
      <c r="EU58" s="269"/>
      <c r="EV58" s="269"/>
      <c r="EW58" s="269"/>
      <c r="EX58" s="269"/>
      <c r="EY58" s="269"/>
      <c r="EZ58" s="269"/>
      <c r="FA58" s="269"/>
      <c r="FB58" s="269"/>
      <c r="FC58" s="269"/>
      <c r="FD58" s="269"/>
      <c r="FE58" s="269"/>
      <c r="FF58" s="269"/>
      <c r="FG58" s="269"/>
      <c r="FH58" s="269"/>
      <c r="FI58" s="269"/>
      <c r="FJ58" s="269"/>
      <c r="FK58" s="269"/>
      <c r="FL58" s="269"/>
      <c r="FM58" s="269"/>
      <c r="FN58" s="269"/>
      <c r="FO58" s="269"/>
      <c r="FP58" s="269"/>
      <c r="FQ58" s="269"/>
      <c r="FR58" s="269"/>
      <c r="FS58" s="269"/>
      <c r="FT58" s="269"/>
      <c r="FU58" s="269"/>
      <c r="FV58" s="269"/>
      <c r="FW58" s="269"/>
      <c r="FX58" s="269"/>
      <c r="FY58" s="269"/>
      <c r="FZ58" s="269"/>
      <c r="GA58" s="269"/>
      <c r="GB58" s="269"/>
      <c r="GC58" s="269"/>
      <c r="GD58" s="269"/>
      <c r="GE58" s="269"/>
      <c r="GF58" s="269"/>
      <c r="GG58" s="269"/>
      <c r="GH58" s="269"/>
      <c r="GI58" s="269"/>
      <c r="GJ58" s="269"/>
      <c r="GK58" s="269"/>
      <c r="GL58" s="269"/>
      <c r="GM58" s="269"/>
      <c r="GN58" s="269"/>
      <c r="GO58" s="269"/>
      <c r="GP58" s="269"/>
      <c r="GQ58" s="269"/>
      <c r="GR58" s="269"/>
      <c r="GS58" s="269"/>
      <c r="GT58" s="269"/>
      <c r="GU58" s="269"/>
      <c r="GV58" s="269"/>
      <c r="GW58" s="269"/>
      <c r="GX58" s="269"/>
      <c r="GY58" s="269"/>
      <c r="GZ58" s="269"/>
      <c r="HA58" s="269"/>
      <c r="HB58" s="269"/>
      <c r="HC58" s="269"/>
      <c r="HD58" s="269"/>
      <c r="HE58" s="269"/>
      <c r="HF58" s="269"/>
      <c r="HG58" s="269"/>
      <c r="HH58" s="269"/>
      <c r="HI58" s="269"/>
      <c r="HJ58" s="269"/>
      <c r="HK58" s="269"/>
      <c r="HL58" s="269"/>
      <c r="HM58" s="269"/>
      <c r="HN58" s="269"/>
      <c r="HO58" s="269"/>
      <c r="HP58" s="269"/>
      <c r="HQ58" s="269"/>
      <c r="HR58" s="269"/>
      <c r="HS58" s="269"/>
      <c r="HT58" s="269"/>
      <c r="HU58" s="269"/>
      <c r="HV58" s="269"/>
      <c r="HW58" s="269"/>
      <c r="HX58" s="269"/>
      <c r="HY58" s="269"/>
      <c r="HZ58" s="269"/>
      <c r="IA58" s="269"/>
      <c r="IB58" s="269"/>
      <c r="IC58" s="269"/>
      <c r="ID58" s="269"/>
      <c r="IE58" s="269"/>
      <c r="IF58" s="269"/>
      <c r="IG58" s="269"/>
      <c r="IH58" s="269"/>
      <c r="II58" s="269"/>
      <c r="IJ58" s="269"/>
      <c r="IK58" s="269"/>
      <c r="IL58" s="269"/>
      <c r="IM58" s="269"/>
      <c r="IN58" s="269"/>
      <c r="IO58" s="269"/>
      <c r="IP58" s="269"/>
      <c r="IQ58" s="269"/>
      <c r="IR58" s="269"/>
      <c r="IS58" s="269"/>
      <c r="IT58" s="269"/>
      <c r="IU58" s="269"/>
      <c r="IV58" s="269"/>
      <c r="IW58" s="269"/>
      <c r="IX58" s="269"/>
      <c r="IY58" s="269"/>
      <c r="IZ58" s="269"/>
      <c r="JA58" s="269"/>
      <c r="JB58" s="269"/>
      <c r="JC58" s="269"/>
      <c r="JD58" s="269"/>
      <c r="JE58" s="269"/>
      <c r="JF58" s="269"/>
      <c r="JG58" s="269"/>
      <c r="JH58" s="269"/>
      <c r="JI58" s="269"/>
      <c r="JJ58" s="269"/>
      <c r="JK58" s="269"/>
      <c r="JL58" s="269"/>
      <c r="JM58" s="269"/>
      <c r="JN58" s="269"/>
      <c r="JO58" s="269"/>
      <c r="JP58" s="269"/>
      <c r="JQ58" s="269"/>
      <c r="JR58" s="269"/>
      <c r="JS58" s="269"/>
      <c r="JT58" s="269"/>
      <c r="JU58" s="269"/>
      <c r="JV58" s="269"/>
      <c r="JW58" s="269"/>
      <c r="JX58" s="269"/>
      <c r="JY58" s="269"/>
      <c r="JZ58" s="269"/>
      <c r="KA58" s="269"/>
      <c r="KB58" s="269"/>
      <c r="KC58" s="269"/>
      <c r="KD58" s="269"/>
      <c r="KE58" s="269"/>
      <c r="KF58" s="269"/>
      <c r="KG58" s="269"/>
      <c r="KH58" s="269"/>
      <c r="KI58" s="269"/>
      <c r="KJ58" s="269"/>
      <c r="KK58" s="269"/>
      <c r="KL58" s="269"/>
      <c r="KM58" s="269"/>
      <c r="KN58" s="269"/>
      <c r="KO58" s="269"/>
      <c r="KP58" s="269"/>
      <c r="KQ58" s="269"/>
      <c r="KR58" s="269"/>
      <c r="KS58" s="269"/>
      <c r="KT58" s="269"/>
      <c r="KU58" s="269"/>
      <c r="KV58" s="269"/>
      <c r="KW58" s="269"/>
      <c r="KX58" s="269"/>
      <c r="KY58" s="269"/>
      <c r="KZ58" s="269"/>
      <c r="LA58" s="269"/>
      <c r="LB58" s="269"/>
      <c r="LC58" s="269"/>
      <c r="LD58" s="269"/>
      <c r="LE58" s="269"/>
      <c r="LF58" s="269"/>
      <c r="LG58" s="269"/>
      <c r="LH58" s="269"/>
      <c r="LI58" s="269"/>
      <c r="LJ58" s="269"/>
      <c r="LK58" s="269"/>
      <c r="LL58" s="269"/>
      <c r="LM58" s="269"/>
      <c r="LN58" s="269"/>
      <c r="LO58" s="269"/>
      <c r="LP58" s="269"/>
      <c r="LQ58" s="269"/>
      <c r="LR58" s="269"/>
      <c r="LS58" s="269"/>
      <c r="LT58" s="269"/>
      <c r="LU58" s="269"/>
      <c r="LV58" s="269"/>
      <c r="LW58" s="269"/>
      <c r="LX58" s="269"/>
      <c r="LY58" s="269"/>
      <c r="LZ58" s="269"/>
      <c r="MA58" s="269"/>
      <c r="MB58" s="269"/>
      <c r="MC58" s="269"/>
      <c r="MD58" s="269"/>
      <c r="ME58" s="269"/>
      <c r="MF58" s="269"/>
      <c r="MG58" s="269"/>
      <c r="MH58" s="269"/>
      <c r="MI58" s="269"/>
      <c r="MJ58" s="269"/>
      <c r="MK58" s="269"/>
      <c r="ML58" s="269"/>
      <c r="MM58" s="269"/>
      <c r="MN58" s="269"/>
      <c r="MO58" s="269"/>
      <c r="MP58" s="269"/>
      <c r="MQ58" s="269"/>
      <c r="MR58" s="269"/>
      <c r="MS58" s="269"/>
      <c r="MT58" s="269"/>
      <c r="MU58" s="269"/>
      <c r="MV58" s="269"/>
      <c r="MW58" s="269"/>
      <c r="MX58" s="269"/>
      <c r="MY58" s="269"/>
      <c r="MZ58" s="269"/>
      <c r="NA58" s="269"/>
      <c r="NB58" s="269"/>
      <c r="NC58" s="269"/>
      <c r="ND58" s="269"/>
      <c r="NE58" s="269"/>
      <c r="NF58" s="269"/>
      <c r="NG58" s="269"/>
      <c r="NH58" s="269"/>
      <c r="NI58" s="269"/>
      <c r="NJ58" s="269"/>
      <c r="NK58" s="269"/>
      <c r="NL58" s="269"/>
      <c r="NM58" s="269"/>
      <c r="NN58" s="269"/>
      <c r="NO58" s="269"/>
      <c r="NP58" s="269"/>
      <c r="NQ58" s="269"/>
      <c r="NR58" s="269"/>
      <c r="NS58" s="269"/>
      <c r="NT58" s="269"/>
      <c r="NU58" s="269"/>
      <c r="NV58" s="269"/>
      <c r="NW58" s="269"/>
      <c r="NX58" s="269"/>
      <c r="NY58" s="269"/>
      <c r="NZ58" s="269"/>
      <c r="OA58" s="269"/>
      <c r="OB58" s="269"/>
      <c r="OC58" s="269"/>
      <c r="OD58" s="269"/>
      <c r="OE58" s="269"/>
      <c r="OF58" s="269"/>
      <c r="OG58" s="269"/>
      <c r="OH58" s="269"/>
      <c r="OI58" s="269"/>
      <c r="OJ58" s="269"/>
      <c r="OK58" s="269"/>
      <c r="OL58" s="269"/>
      <c r="OM58" s="269"/>
      <c r="ON58" s="269"/>
      <c r="OO58" s="269"/>
      <c r="OP58" s="269"/>
      <c r="OQ58" s="269"/>
      <c r="OR58" s="269"/>
      <c r="OS58" s="269"/>
      <c r="OT58" s="269"/>
      <c r="OU58" s="269"/>
      <c r="OV58" s="269"/>
      <c r="OW58" s="269"/>
      <c r="OX58" s="269"/>
      <c r="OY58" s="269"/>
      <c r="OZ58" s="269"/>
      <c r="PA58" s="269"/>
      <c r="PB58" s="269"/>
      <c r="PC58" s="269"/>
    </row>
    <row r="59" spans="1:419">
      <c r="A59" s="269"/>
      <c r="B59" s="287" t="s">
        <v>20</v>
      </c>
      <c r="C59" s="269"/>
      <c r="D59" s="269"/>
      <c r="E59" s="269"/>
      <c r="F59" s="269"/>
      <c r="G59" s="273">
        <v>0.76249999999999996</v>
      </c>
      <c r="H59" s="273">
        <v>0.51086956521739135</v>
      </c>
      <c r="I59" s="273">
        <v>0.40860215053763427</v>
      </c>
      <c r="J59" s="273">
        <v>0.57831325301204806</v>
      </c>
      <c r="K59" s="275">
        <v>-2.8368794326241176E-2</v>
      </c>
      <c r="L59" s="275">
        <v>-5.755395683453246E-2</v>
      </c>
      <c r="M59" s="287" t="s">
        <v>20</v>
      </c>
      <c r="N59" s="269"/>
      <c r="O59" s="269"/>
      <c r="P59" s="269"/>
      <c r="Q59" s="269"/>
      <c r="R59" s="273">
        <v>0.81378600823045266</v>
      </c>
      <c r="S59" s="273">
        <v>0.56394316163410307</v>
      </c>
      <c r="T59" s="273">
        <v>0.45354951796669596</v>
      </c>
      <c r="U59" s="273">
        <v>0.59902676399026777</v>
      </c>
      <c r="V59" s="275">
        <v>-2.9778786159954662E-2</v>
      </c>
      <c r="W59" s="275">
        <v>-6.0760931289040254E-2</v>
      </c>
      <c r="X59" s="290" t="s">
        <v>20</v>
      </c>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69"/>
      <c r="BQ59" s="269"/>
      <c r="BR59" s="269"/>
      <c r="BS59" s="269"/>
      <c r="BT59" s="269"/>
      <c r="BU59" s="269"/>
      <c r="BV59" s="269"/>
      <c r="BW59" s="269"/>
      <c r="BX59" s="269"/>
      <c r="BY59" s="269"/>
      <c r="BZ59" s="269"/>
      <c r="CA59" s="269"/>
      <c r="CB59" s="269"/>
      <c r="CC59" s="269"/>
      <c r="CD59" s="269"/>
      <c r="CE59" s="269"/>
      <c r="CF59" s="269"/>
      <c r="CG59" s="269"/>
      <c r="CH59" s="269"/>
      <c r="CI59" s="269"/>
      <c r="CJ59" s="269"/>
      <c r="CK59" s="269"/>
      <c r="CL59" s="269"/>
      <c r="CM59" s="269"/>
      <c r="CN59" s="269"/>
      <c r="CO59" s="269"/>
      <c r="CP59" s="269"/>
      <c r="CQ59" s="269"/>
      <c r="CR59" s="269"/>
      <c r="CS59" s="269"/>
      <c r="CT59" s="269"/>
      <c r="CU59" s="269"/>
      <c r="CV59" s="269"/>
      <c r="CW59" s="269"/>
      <c r="CX59" s="269"/>
      <c r="CY59" s="269"/>
      <c r="CZ59" s="269"/>
      <c r="DA59" s="269"/>
      <c r="DB59" s="269"/>
      <c r="DC59" s="269"/>
      <c r="DD59" s="269"/>
      <c r="DE59" s="269"/>
      <c r="DF59" s="269"/>
      <c r="DG59" s="269"/>
      <c r="DH59" s="269"/>
      <c r="DI59" s="269"/>
      <c r="DJ59" s="269"/>
      <c r="DK59" s="269"/>
      <c r="DL59" s="269"/>
      <c r="DM59" s="269"/>
      <c r="DN59" s="269"/>
      <c r="DO59" s="269"/>
      <c r="DP59" s="269"/>
      <c r="DQ59" s="269"/>
      <c r="DR59" s="269"/>
      <c r="DS59" s="269"/>
      <c r="DT59" s="269"/>
      <c r="DU59" s="269"/>
      <c r="DV59" s="269"/>
      <c r="DW59" s="269"/>
      <c r="DX59" s="269"/>
      <c r="DY59" s="269"/>
      <c r="DZ59" s="269"/>
      <c r="EA59" s="269"/>
      <c r="EB59" s="269"/>
      <c r="EC59" s="269"/>
      <c r="ED59" s="269"/>
      <c r="EE59" s="269"/>
      <c r="EF59" s="269"/>
      <c r="EG59" s="269"/>
      <c r="EH59" s="269"/>
      <c r="EI59" s="269"/>
      <c r="EJ59" s="269"/>
      <c r="EK59" s="269"/>
      <c r="EL59" s="269"/>
      <c r="EM59" s="269"/>
      <c r="EN59" s="269"/>
      <c r="EO59" s="269"/>
      <c r="EP59" s="269"/>
      <c r="EQ59" s="269"/>
      <c r="ER59" s="269"/>
      <c r="ES59" s="269"/>
      <c r="ET59" s="269"/>
      <c r="EU59" s="269"/>
      <c r="EV59" s="269"/>
      <c r="EW59" s="269"/>
      <c r="EX59" s="269"/>
      <c r="EY59" s="269"/>
      <c r="EZ59" s="269"/>
      <c r="FA59" s="269"/>
      <c r="FB59" s="269"/>
      <c r="FC59" s="269"/>
      <c r="FD59" s="269"/>
      <c r="FE59" s="269"/>
      <c r="FF59" s="269"/>
      <c r="FG59" s="269"/>
      <c r="FH59" s="269"/>
      <c r="FI59" s="269"/>
      <c r="FJ59" s="269"/>
      <c r="FK59" s="269"/>
      <c r="FL59" s="269"/>
      <c r="FM59" s="269"/>
      <c r="FN59" s="269"/>
      <c r="FO59" s="269"/>
      <c r="FP59" s="269"/>
      <c r="FQ59" s="269"/>
      <c r="FR59" s="269"/>
      <c r="FS59" s="269"/>
      <c r="FT59" s="269"/>
      <c r="FU59" s="269"/>
      <c r="FV59" s="269"/>
      <c r="FW59" s="269"/>
      <c r="FX59" s="269"/>
      <c r="FY59" s="269"/>
      <c r="FZ59" s="269"/>
      <c r="GA59" s="269"/>
      <c r="GB59" s="269"/>
      <c r="GC59" s="269"/>
      <c r="GD59" s="269"/>
      <c r="GE59" s="269"/>
      <c r="GF59" s="269"/>
      <c r="GG59" s="269"/>
      <c r="GH59" s="269"/>
      <c r="GI59" s="269"/>
      <c r="GJ59" s="269"/>
      <c r="GK59" s="269"/>
      <c r="GL59" s="269"/>
      <c r="GM59" s="269"/>
      <c r="GN59" s="269"/>
      <c r="GO59" s="269"/>
      <c r="GP59" s="269"/>
      <c r="GQ59" s="269"/>
      <c r="GR59" s="269"/>
      <c r="GS59" s="269"/>
      <c r="GT59" s="269"/>
      <c r="GU59" s="269"/>
      <c r="GV59" s="269"/>
      <c r="GW59" s="269"/>
      <c r="GX59" s="269"/>
      <c r="GY59" s="269"/>
      <c r="GZ59" s="269"/>
      <c r="HA59" s="269"/>
      <c r="HB59" s="269"/>
      <c r="HC59" s="269"/>
      <c r="HD59" s="269"/>
      <c r="HE59" s="269"/>
      <c r="HF59" s="269"/>
      <c r="HG59" s="269"/>
      <c r="HH59" s="269"/>
      <c r="HI59" s="269"/>
      <c r="HJ59" s="269"/>
      <c r="HK59" s="269"/>
      <c r="HL59" s="269"/>
      <c r="HM59" s="269"/>
      <c r="HN59" s="269"/>
      <c r="HO59" s="269"/>
      <c r="HP59" s="269"/>
      <c r="HQ59" s="269"/>
      <c r="HR59" s="269"/>
      <c r="HS59" s="269"/>
      <c r="HT59" s="269"/>
      <c r="HU59" s="269"/>
      <c r="HV59" s="269"/>
      <c r="HW59" s="269"/>
      <c r="HX59" s="269"/>
      <c r="HY59" s="269"/>
      <c r="HZ59" s="269"/>
      <c r="IA59" s="269"/>
      <c r="IB59" s="269"/>
      <c r="IC59" s="269"/>
      <c r="ID59" s="269"/>
      <c r="IE59" s="269"/>
      <c r="IF59" s="269"/>
      <c r="IG59" s="269"/>
      <c r="IH59" s="269"/>
      <c r="II59" s="269"/>
      <c r="IJ59" s="269"/>
      <c r="IK59" s="269"/>
      <c r="IL59" s="269"/>
      <c r="IM59" s="269"/>
      <c r="IN59" s="269"/>
      <c r="IO59" s="269"/>
      <c r="IP59" s="269"/>
      <c r="IQ59" s="269"/>
      <c r="IR59" s="269"/>
      <c r="IS59" s="269"/>
      <c r="IT59" s="269"/>
      <c r="IU59" s="269"/>
      <c r="IV59" s="269"/>
      <c r="IW59" s="269"/>
      <c r="IX59" s="269"/>
      <c r="IY59" s="269"/>
      <c r="IZ59" s="269"/>
      <c r="JA59" s="269"/>
      <c r="JB59" s="269"/>
      <c r="JC59" s="269"/>
      <c r="JD59" s="269"/>
      <c r="JE59" s="269"/>
      <c r="JF59" s="269"/>
      <c r="JG59" s="269"/>
      <c r="JH59" s="269"/>
      <c r="JI59" s="269"/>
      <c r="JJ59" s="269"/>
      <c r="JK59" s="269"/>
      <c r="JL59" s="269"/>
      <c r="JM59" s="269"/>
      <c r="JN59" s="269"/>
      <c r="JO59" s="269"/>
      <c r="JP59" s="269"/>
      <c r="JQ59" s="269"/>
      <c r="JR59" s="269"/>
      <c r="JS59" s="269"/>
      <c r="JT59" s="269"/>
      <c r="JU59" s="269"/>
      <c r="JV59" s="269"/>
      <c r="JW59" s="269"/>
      <c r="JX59" s="269"/>
      <c r="JY59" s="269"/>
      <c r="JZ59" s="269"/>
      <c r="KA59" s="269"/>
      <c r="KB59" s="269"/>
      <c r="KC59" s="269"/>
      <c r="KD59" s="269"/>
      <c r="KE59" s="269"/>
      <c r="KF59" s="269"/>
      <c r="KG59" s="269"/>
      <c r="KH59" s="269"/>
      <c r="KI59" s="269"/>
      <c r="KJ59" s="269"/>
      <c r="KK59" s="269"/>
      <c r="KL59" s="269"/>
      <c r="KM59" s="269"/>
      <c r="KN59" s="269"/>
      <c r="KO59" s="269"/>
      <c r="KP59" s="269"/>
      <c r="KQ59" s="269"/>
      <c r="KR59" s="269"/>
      <c r="KS59" s="269"/>
      <c r="KT59" s="269"/>
      <c r="KU59" s="269"/>
      <c r="KV59" s="269"/>
      <c r="KW59" s="269"/>
      <c r="KX59" s="269"/>
      <c r="KY59" s="269"/>
      <c r="KZ59" s="269"/>
      <c r="LA59" s="269"/>
      <c r="LB59" s="269"/>
      <c r="LC59" s="269"/>
      <c r="LD59" s="269"/>
      <c r="LE59" s="269"/>
      <c r="LF59" s="269"/>
      <c r="LG59" s="269"/>
      <c r="LH59" s="269"/>
      <c r="LI59" s="269"/>
      <c r="LJ59" s="269"/>
      <c r="LK59" s="269"/>
      <c r="LL59" s="269"/>
      <c r="LM59" s="269"/>
      <c r="LN59" s="269"/>
      <c r="LO59" s="269"/>
      <c r="LP59" s="269"/>
      <c r="LQ59" s="269"/>
      <c r="LR59" s="269"/>
      <c r="LS59" s="269"/>
      <c r="LT59" s="269"/>
      <c r="LU59" s="269"/>
      <c r="LV59" s="269"/>
      <c r="LW59" s="269"/>
      <c r="LX59" s="269"/>
      <c r="LY59" s="269"/>
      <c r="LZ59" s="269"/>
      <c r="MA59" s="269"/>
      <c r="MB59" s="269"/>
      <c r="MC59" s="269"/>
      <c r="MD59" s="269"/>
      <c r="ME59" s="269"/>
      <c r="MF59" s="269"/>
      <c r="MG59" s="269"/>
      <c r="MH59" s="269"/>
      <c r="MI59" s="269"/>
      <c r="MJ59" s="269"/>
      <c r="MK59" s="269"/>
      <c r="ML59" s="269"/>
      <c r="MM59" s="269"/>
      <c r="MN59" s="269"/>
      <c r="MO59" s="269"/>
      <c r="MP59" s="269"/>
      <c r="MQ59" s="269"/>
      <c r="MR59" s="269"/>
      <c r="MS59" s="269"/>
      <c r="MT59" s="269"/>
      <c r="MU59" s="269"/>
      <c r="MV59" s="269"/>
      <c r="MW59" s="269"/>
      <c r="MX59" s="269"/>
      <c r="MY59" s="269"/>
      <c r="MZ59" s="269"/>
      <c r="NA59" s="269"/>
      <c r="NB59" s="269"/>
      <c r="NC59" s="269"/>
      <c r="ND59" s="269"/>
      <c r="NE59" s="269"/>
      <c r="NF59" s="269"/>
      <c r="NG59" s="269"/>
      <c r="NH59" s="269"/>
      <c r="NI59" s="269"/>
      <c r="NJ59" s="269"/>
      <c r="NK59" s="269"/>
      <c r="NL59" s="269"/>
      <c r="NM59" s="269"/>
      <c r="NN59" s="269"/>
      <c r="NO59" s="269"/>
      <c r="NP59" s="269"/>
      <c r="NQ59" s="269"/>
      <c r="NR59" s="269"/>
      <c r="NS59" s="269"/>
      <c r="NT59" s="269"/>
      <c r="NU59" s="269"/>
      <c r="NV59" s="269"/>
      <c r="NW59" s="269"/>
      <c r="NX59" s="269"/>
      <c r="NY59" s="269"/>
      <c r="NZ59" s="269"/>
      <c r="OA59" s="269"/>
      <c r="OB59" s="269"/>
      <c r="OC59" s="269"/>
      <c r="OD59" s="269"/>
      <c r="OE59" s="269"/>
      <c r="OF59" s="269"/>
      <c r="OG59" s="269"/>
      <c r="OH59" s="269"/>
      <c r="OI59" s="269"/>
      <c r="OJ59" s="269"/>
      <c r="OK59" s="269"/>
      <c r="OL59" s="269"/>
      <c r="OM59" s="269"/>
      <c r="ON59" s="269"/>
      <c r="OO59" s="269"/>
      <c r="OP59" s="269"/>
      <c r="OQ59" s="269"/>
      <c r="OR59" s="269"/>
      <c r="OS59" s="269"/>
      <c r="OT59" s="269"/>
      <c r="OU59" s="269"/>
      <c r="OV59" s="269"/>
      <c r="OW59" s="269"/>
      <c r="OX59" s="269"/>
      <c r="OY59" s="269"/>
      <c r="OZ59" s="269"/>
      <c r="PA59" s="269"/>
      <c r="PB59" s="269"/>
      <c r="PC59" s="269"/>
    </row>
    <row r="60" spans="1:419">
      <c r="A60" s="269"/>
      <c r="B60" s="287" t="s">
        <v>21</v>
      </c>
      <c r="C60" s="269"/>
      <c r="D60" s="269"/>
      <c r="E60" s="269"/>
      <c r="F60" s="269"/>
      <c r="G60" s="273">
        <v>0.30434782608695654</v>
      </c>
      <c r="H60" s="273">
        <v>5.1282051282051322E-2</v>
      </c>
      <c r="I60" s="273">
        <v>0.22500000000000009</v>
      </c>
      <c r="J60" s="273">
        <v>-0.17647058823529416</v>
      </c>
      <c r="K60" s="273">
        <v>-0.1333333333333333</v>
      </c>
      <c r="L60" s="273">
        <v>-0.19512195121951215</v>
      </c>
      <c r="M60" s="287" t="s">
        <v>21</v>
      </c>
      <c r="N60" s="269"/>
      <c r="O60" s="269"/>
      <c r="P60" s="269"/>
      <c r="Q60" s="269"/>
      <c r="R60" s="273">
        <v>0.32786885245901631</v>
      </c>
      <c r="S60" s="273">
        <v>6.4220183486238369E-2</v>
      </c>
      <c r="T60" s="273">
        <v>0.19736842105263164</v>
      </c>
      <c r="U60" s="273">
        <v>-0.18324607329842935</v>
      </c>
      <c r="V60" s="273">
        <v>-0.10493827160493818</v>
      </c>
      <c r="W60" s="273">
        <v>-0.20258620689655171</v>
      </c>
      <c r="X60" s="290" t="s">
        <v>21</v>
      </c>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c r="AY60" s="269"/>
      <c r="AZ60" s="269"/>
      <c r="BA60" s="269"/>
      <c r="BB60" s="269"/>
      <c r="BC60" s="269"/>
      <c r="BD60" s="269"/>
      <c r="BE60" s="269"/>
      <c r="BF60" s="269"/>
      <c r="BG60" s="269"/>
      <c r="BH60" s="269"/>
      <c r="BI60" s="269"/>
      <c r="BJ60" s="269"/>
      <c r="BK60" s="269"/>
      <c r="BL60" s="269"/>
      <c r="BM60" s="269"/>
      <c r="BN60" s="269"/>
      <c r="BO60" s="269"/>
      <c r="BP60" s="269"/>
      <c r="BQ60" s="269"/>
      <c r="BR60" s="269"/>
      <c r="BS60" s="269"/>
      <c r="BT60" s="269"/>
      <c r="BU60" s="269"/>
      <c r="BV60" s="269"/>
      <c r="BW60" s="269"/>
      <c r="BX60" s="269"/>
      <c r="BY60" s="269"/>
      <c r="BZ60" s="269"/>
      <c r="CA60" s="269"/>
      <c r="CB60" s="269"/>
      <c r="CC60" s="269"/>
      <c r="CD60" s="269"/>
      <c r="CE60" s="269"/>
      <c r="CF60" s="269"/>
      <c r="CG60" s="269"/>
      <c r="CH60" s="269"/>
      <c r="CI60" s="269"/>
      <c r="CJ60" s="269"/>
      <c r="CK60" s="269"/>
      <c r="CL60" s="269"/>
      <c r="CM60" s="269"/>
      <c r="CN60" s="269"/>
      <c r="CO60" s="269"/>
      <c r="CP60" s="269"/>
      <c r="CQ60" s="269"/>
      <c r="CR60" s="269"/>
      <c r="CS60" s="269"/>
      <c r="CT60" s="269"/>
      <c r="CU60" s="269"/>
      <c r="CV60" s="269"/>
      <c r="CW60" s="269"/>
      <c r="CX60" s="269"/>
      <c r="CY60" s="269"/>
      <c r="CZ60" s="269"/>
      <c r="DA60" s="269"/>
      <c r="DB60" s="269"/>
      <c r="DC60" s="269"/>
      <c r="DD60" s="269"/>
      <c r="DE60" s="269"/>
      <c r="DF60" s="269"/>
      <c r="DG60" s="269"/>
      <c r="DH60" s="269"/>
      <c r="DI60" s="269"/>
      <c r="DJ60" s="269"/>
      <c r="DK60" s="269"/>
      <c r="DL60" s="269"/>
      <c r="DM60" s="269"/>
      <c r="DN60" s="269"/>
      <c r="DO60" s="269"/>
      <c r="DP60" s="269"/>
      <c r="DQ60" s="269"/>
      <c r="DR60" s="269"/>
      <c r="DS60" s="269"/>
      <c r="DT60" s="269"/>
      <c r="DU60" s="269"/>
      <c r="DV60" s="269"/>
      <c r="DW60" s="269"/>
      <c r="DX60" s="269"/>
      <c r="DY60" s="269"/>
      <c r="DZ60" s="269"/>
      <c r="EA60" s="269"/>
      <c r="EB60" s="269"/>
      <c r="EC60" s="269"/>
      <c r="ED60" s="269"/>
      <c r="EE60" s="269"/>
      <c r="EF60" s="269"/>
      <c r="EG60" s="269"/>
      <c r="EH60" s="269"/>
      <c r="EI60" s="269"/>
      <c r="EJ60" s="269"/>
      <c r="EK60" s="269"/>
      <c r="EL60" s="269"/>
      <c r="EM60" s="269"/>
      <c r="EN60" s="269"/>
      <c r="EO60" s="269"/>
      <c r="EP60" s="269"/>
      <c r="EQ60" s="269"/>
      <c r="ER60" s="269"/>
      <c r="ES60" s="269"/>
      <c r="ET60" s="269"/>
      <c r="EU60" s="269"/>
      <c r="EV60" s="269"/>
      <c r="EW60" s="269"/>
      <c r="EX60" s="269"/>
      <c r="EY60" s="269"/>
      <c r="EZ60" s="269"/>
      <c r="FA60" s="269"/>
      <c r="FB60" s="269"/>
      <c r="FC60" s="269"/>
      <c r="FD60" s="269"/>
      <c r="FE60" s="269"/>
      <c r="FF60" s="269"/>
      <c r="FG60" s="269"/>
      <c r="FH60" s="269"/>
      <c r="FI60" s="269"/>
      <c r="FJ60" s="269"/>
      <c r="FK60" s="269"/>
      <c r="FL60" s="269"/>
      <c r="FM60" s="269"/>
      <c r="FN60" s="269"/>
      <c r="FO60" s="269"/>
      <c r="FP60" s="269"/>
      <c r="FQ60" s="269"/>
      <c r="FR60" s="269"/>
      <c r="FS60" s="269"/>
      <c r="FT60" s="269"/>
      <c r="FU60" s="269"/>
      <c r="FV60" s="269"/>
      <c r="FW60" s="269"/>
      <c r="FX60" s="269"/>
      <c r="FY60" s="269"/>
      <c r="FZ60" s="269"/>
      <c r="GA60" s="269"/>
      <c r="GB60" s="269"/>
      <c r="GC60" s="269"/>
      <c r="GD60" s="269"/>
      <c r="GE60" s="269"/>
      <c r="GF60" s="269"/>
      <c r="GG60" s="269"/>
      <c r="GH60" s="269"/>
      <c r="GI60" s="269"/>
      <c r="GJ60" s="269"/>
      <c r="GK60" s="269"/>
      <c r="GL60" s="269"/>
      <c r="GM60" s="269"/>
      <c r="GN60" s="269"/>
      <c r="GO60" s="269"/>
      <c r="GP60" s="269"/>
      <c r="GQ60" s="269"/>
      <c r="GR60" s="269"/>
      <c r="GS60" s="269"/>
      <c r="GT60" s="269"/>
      <c r="GU60" s="269"/>
      <c r="GV60" s="269"/>
      <c r="GW60" s="269"/>
      <c r="GX60" s="269"/>
      <c r="GY60" s="269"/>
      <c r="GZ60" s="269"/>
      <c r="HA60" s="269"/>
      <c r="HB60" s="269"/>
      <c r="HC60" s="269"/>
      <c r="HD60" s="269"/>
      <c r="HE60" s="269"/>
      <c r="HF60" s="269"/>
      <c r="HG60" s="269"/>
      <c r="HH60" s="269"/>
      <c r="HI60" s="269"/>
      <c r="HJ60" s="269"/>
      <c r="HK60" s="269"/>
      <c r="HL60" s="269"/>
      <c r="HM60" s="269"/>
      <c r="HN60" s="269"/>
      <c r="HO60" s="269"/>
      <c r="HP60" s="269"/>
      <c r="HQ60" s="269"/>
      <c r="HR60" s="269"/>
      <c r="HS60" s="269"/>
      <c r="HT60" s="269"/>
      <c r="HU60" s="269"/>
      <c r="HV60" s="269"/>
      <c r="HW60" s="269"/>
      <c r="HX60" s="269"/>
      <c r="HY60" s="269"/>
      <c r="HZ60" s="269"/>
      <c r="IA60" s="269"/>
      <c r="IB60" s="269"/>
      <c r="IC60" s="269"/>
      <c r="ID60" s="269"/>
      <c r="IE60" s="269"/>
      <c r="IF60" s="269"/>
      <c r="IG60" s="269"/>
      <c r="IH60" s="269"/>
      <c r="II60" s="269"/>
      <c r="IJ60" s="269"/>
      <c r="IK60" s="269"/>
      <c r="IL60" s="269"/>
      <c r="IM60" s="269"/>
      <c r="IN60" s="269"/>
      <c r="IO60" s="269"/>
      <c r="IP60" s="269"/>
      <c r="IQ60" s="269"/>
      <c r="IR60" s="269"/>
      <c r="IS60" s="269"/>
      <c r="IT60" s="269"/>
      <c r="IU60" s="269"/>
      <c r="IV60" s="269"/>
      <c r="IW60" s="269"/>
      <c r="IX60" s="269"/>
      <c r="IY60" s="269"/>
      <c r="IZ60" s="269"/>
      <c r="JA60" s="269"/>
      <c r="JB60" s="269"/>
      <c r="JC60" s="269"/>
      <c r="JD60" s="269"/>
      <c r="JE60" s="269"/>
      <c r="JF60" s="269"/>
      <c r="JG60" s="269"/>
      <c r="JH60" s="269"/>
      <c r="JI60" s="269"/>
      <c r="JJ60" s="269"/>
      <c r="JK60" s="269"/>
      <c r="JL60" s="269"/>
      <c r="JM60" s="269"/>
      <c r="JN60" s="269"/>
      <c r="JO60" s="269"/>
      <c r="JP60" s="269"/>
      <c r="JQ60" s="269"/>
      <c r="JR60" s="269"/>
      <c r="JS60" s="269"/>
      <c r="JT60" s="269"/>
      <c r="JU60" s="269"/>
      <c r="JV60" s="269"/>
      <c r="JW60" s="269"/>
      <c r="JX60" s="269"/>
      <c r="JY60" s="269"/>
      <c r="JZ60" s="269"/>
      <c r="KA60" s="269"/>
      <c r="KB60" s="269"/>
      <c r="KC60" s="269"/>
      <c r="KD60" s="269"/>
      <c r="KE60" s="269"/>
      <c r="KF60" s="269"/>
      <c r="KG60" s="269"/>
      <c r="KH60" s="269"/>
      <c r="KI60" s="269"/>
      <c r="KJ60" s="269"/>
      <c r="KK60" s="269"/>
      <c r="KL60" s="269"/>
      <c r="KM60" s="269"/>
      <c r="KN60" s="269"/>
      <c r="KO60" s="269"/>
      <c r="KP60" s="269"/>
      <c r="KQ60" s="269"/>
      <c r="KR60" s="269"/>
      <c r="KS60" s="269"/>
      <c r="KT60" s="269"/>
      <c r="KU60" s="269"/>
      <c r="KV60" s="269"/>
      <c r="KW60" s="269"/>
      <c r="KX60" s="269"/>
      <c r="KY60" s="269"/>
      <c r="KZ60" s="269"/>
      <c r="LA60" s="269"/>
      <c r="LB60" s="269"/>
      <c r="LC60" s="269"/>
      <c r="LD60" s="269"/>
      <c r="LE60" s="269"/>
      <c r="LF60" s="269"/>
      <c r="LG60" s="269"/>
      <c r="LH60" s="269"/>
      <c r="LI60" s="269"/>
      <c r="LJ60" s="269"/>
      <c r="LK60" s="269"/>
      <c r="LL60" s="269"/>
      <c r="LM60" s="269"/>
      <c r="LN60" s="269"/>
      <c r="LO60" s="269"/>
      <c r="LP60" s="269"/>
      <c r="LQ60" s="269"/>
      <c r="LR60" s="269"/>
      <c r="LS60" s="269"/>
      <c r="LT60" s="269"/>
      <c r="LU60" s="269"/>
      <c r="LV60" s="269"/>
      <c r="LW60" s="269"/>
      <c r="LX60" s="269"/>
      <c r="LY60" s="269"/>
      <c r="LZ60" s="269"/>
      <c r="MA60" s="269"/>
      <c r="MB60" s="269"/>
      <c r="MC60" s="269"/>
      <c r="MD60" s="269"/>
      <c r="ME60" s="269"/>
      <c r="MF60" s="269"/>
      <c r="MG60" s="269"/>
      <c r="MH60" s="269"/>
      <c r="MI60" s="269"/>
      <c r="MJ60" s="269"/>
      <c r="MK60" s="269"/>
      <c r="ML60" s="269"/>
      <c r="MM60" s="269"/>
      <c r="MN60" s="269"/>
      <c r="MO60" s="269"/>
      <c r="MP60" s="269"/>
      <c r="MQ60" s="269"/>
      <c r="MR60" s="269"/>
      <c r="MS60" s="269"/>
      <c r="MT60" s="269"/>
      <c r="MU60" s="269"/>
      <c r="MV60" s="269"/>
      <c r="MW60" s="269"/>
      <c r="MX60" s="269"/>
      <c r="MY60" s="269"/>
      <c r="MZ60" s="269"/>
      <c r="NA60" s="269"/>
      <c r="NB60" s="269"/>
      <c r="NC60" s="269"/>
      <c r="ND60" s="269"/>
      <c r="NE60" s="269"/>
      <c r="NF60" s="269"/>
      <c r="NG60" s="269"/>
      <c r="NH60" s="269"/>
      <c r="NI60" s="269"/>
      <c r="NJ60" s="269"/>
      <c r="NK60" s="269"/>
      <c r="NL60" s="269"/>
      <c r="NM60" s="269"/>
      <c r="NN60" s="269"/>
      <c r="NO60" s="269"/>
      <c r="NP60" s="269"/>
      <c r="NQ60" s="269"/>
      <c r="NR60" s="269"/>
      <c r="NS60" s="269"/>
      <c r="NT60" s="269"/>
      <c r="NU60" s="269"/>
      <c r="NV60" s="269"/>
      <c r="NW60" s="269"/>
      <c r="NX60" s="269"/>
      <c r="NY60" s="269"/>
      <c r="NZ60" s="269"/>
      <c r="OA60" s="269"/>
      <c r="OB60" s="269"/>
      <c r="OC60" s="269"/>
      <c r="OD60" s="269"/>
      <c r="OE60" s="269"/>
      <c r="OF60" s="269"/>
      <c r="OG60" s="269"/>
      <c r="OH60" s="269"/>
      <c r="OI60" s="269"/>
      <c r="OJ60" s="269"/>
      <c r="OK60" s="269"/>
      <c r="OL60" s="269"/>
      <c r="OM60" s="269"/>
      <c r="ON60" s="269"/>
      <c r="OO60" s="269"/>
      <c r="OP60" s="269"/>
      <c r="OQ60" s="269"/>
      <c r="OR60" s="269"/>
      <c r="OS60" s="269"/>
      <c r="OT60" s="269"/>
      <c r="OU60" s="269"/>
      <c r="OV60" s="269"/>
      <c r="OW60" s="269"/>
      <c r="OX60" s="269"/>
      <c r="OY60" s="269"/>
      <c r="OZ60" s="269"/>
      <c r="PA60" s="269"/>
      <c r="PB60" s="269"/>
      <c r="PC60" s="269"/>
    </row>
    <row r="61" spans="1:419">
      <c r="A61" s="269"/>
      <c r="B61" s="287" t="s">
        <v>41</v>
      </c>
      <c r="C61" s="269"/>
      <c r="D61" s="269"/>
      <c r="E61" s="269"/>
      <c r="F61" s="269"/>
      <c r="G61" s="273">
        <v>-1.4814814814814725E-2</v>
      </c>
      <c r="H61" s="273">
        <v>1.2048192771084265E-2</v>
      </c>
      <c r="I61" s="273">
        <v>5.9880239520958112E-2</v>
      </c>
      <c r="J61" s="273">
        <v>5.8823529411764719E-2</v>
      </c>
      <c r="K61" s="273">
        <v>3.007518796992481E-2</v>
      </c>
      <c r="L61" s="273">
        <v>4.1666666666666519E-2</v>
      </c>
      <c r="M61" s="287" t="s">
        <v>41</v>
      </c>
      <c r="N61" s="269"/>
      <c r="O61" s="269"/>
      <c r="P61" s="269"/>
      <c r="Q61" s="269"/>
      <c r="R61" s="273">
        <v>-1.2163656468853756E-2</v>
      </c>
      <c r="S61" s="273">
        <v>1.9630484988452768E-2</v>
      </c>
      <c r="T61" s="273">
        <v>6.7636986301369939E-2</v>
      </c>
      <c r="U61" s="273">
        <v>7.3550724637681197E-2</v>
      </c>
      <c r="V61" s="273">
        <v>4.9626865671641873E-2</v>
      </c>
      <c r="W61" s="273">
        <v>5.5775764439411013E-2</v>
      </c>
      <c r="X61" s="290" t="s">
        <v>41</v>
      </c>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c r="AU61" s="269"/>
      <c r="AV61" s="269"/>
      <c r="AW61" s="269"/>
      <c r="AX61" s="269"/>
      <c r="AY61" s="269"/>
      <c r="AZ61" s="269"/>
      <c r="BA61" s="269"/>
      <c r="BB61" s="269"/>
      <c r="BC61" s="269"/>
      <c r="BD61" s="269"/>
      <c r="BE61" s="269"/>
      <c r="BF61" s="269"/>
      <c r="BG61" s="269"/>
      <c r="BH61" s="269"/>
      <c r="BI61" s="269"/>
      <c r="BJ61" s="269"/>
      <c r="BK61" s="269"/>
      <c r="BL61" s="269"/>
      <c r="BM61" s="269"/>
      <c r="BN61" s="269"/>
      <c r="BO61" s="269"/>
      <c r="BP61" s="269"/>
      <c r="BQ61" s="269"/>
      <c r="BR61" s="269"/>
      <c r="BS61" s="269"/>
      <c r="BT61" s="269"/>
      <c r="BU61" s="269"/>
      <c r="BV61" s="269"/>
      <c r="BW61" s="269"/>
      <c r="BX61" s="269"/>
      <c r="BY61" s="269"/>
      <c r="BZ61" s="269"/>
      <c r="CA61" s="269"/>
      <c r="CB61" s="269"/>
      <c r="CC61" s="269"/>
      <c r="CD61" s="269"/>
      <c r="CE61" s="269"/>
      <c r="CF61" s="269"/>
      <c r="CG61" s="269"/>
      <c r="CH61" s="269"/>
      <c r="CI61" s="269"/>
      <c r="CJ61" s="269"/>
      <c r="CK61" s="269"/>
      <c r="CL61" s="269"/>
      <c r="CM61" s="269"/>
      <c r="CN61" s="269"/>
      <c r="CO61" s="269"/>
      <c r="CP61" s="269"/>
      <c r="CQ61" s="269"/>
      <c r="CR61" s="269"/>
      <c r="CS61" s="269"/>
      <c r="CT61" s="269"/>
      <c r="CU61" s="269"/>
      <c r="CV61" s="269"/>
      <c r="CW61" s="269"/>
      <c r="CX61" s="269"/>
      <c r="CY61" s="269"/>
      <c r="CZ61" s="269"/>
      <c r="DA61" s="269"/>
      <c r="DB61" s="269"/>
      <c r="DC61" s="269"/>
      <c r="DD61" s="269"/>
      <c r="DE61" s="269"/>
      <c r="DF61" s="269"/>
      <c r="DG61" s="269"/>
      <c r="DH61" s="269"/>
      <c r="DI61" s="269"/>
      <c r="DJ61" s="269"/>
      <c r="DK61" s="269"/>
      <c r="DL61" s="269"/>
      <c r="DM61" s="269"/>
      <c r="DN61" s="269"/>
      <c r="DO61" s="269"/>
      <c r="DP61" s="269"/>
      <c r="DQ61" s="269"/>
      <c r="DR61" s="269"/>
      <c r="DS61" s="269"/>
      <c r="DT61" s="269"/>
      <c r="DU61" s="269"/>
      <c r="DV61" s="269"/>
      <c r="DW61" s="269"/>
      <c r="DX61" s="269"/>
      <c r="DY61" s="269"/>
      <c r="DZ61" s="269"/>
      <c r="EA61" s="269"/>
      <c r="EB61" s="269"/>
      <c r="EC61" s="269"/>
      <c r="ED61" s="269"/>
      <c r="EE61" s="269"/>
      <c r="EF61" s="269"/>
      <c r="EG61" s="269"/>
      <c r="EH61" s="269"/>
      <c r="EI61" s="269"/>
      <c r="EJ61" s="269"/>
      <c r="EK61" s="269"/>
      <c r="EL61" s="269"/>
      <c r="EM61" s="269"/>
      <c r="EN61" s="269"/>
      <c r="EO61" s="269"/>
      <c r="EP61" s="269"/>
      <c r="EQ61" s="269"/>
      <c r="ER61" s="269"/>
      <c r="ES61" s="269"/>
      <c r="ET61" s="269"/>
      <c r="EU61" s="269"/>
      <c r="EV61" s="269"/>
      <c r="EW61" s="269"/>
      <c r="EX61" s="269"/>
      <c r="EY61" s="269"/>
      <c r="EZ61" s="269"/>
      <c r="FA61" s="269"/>
      <c r="FB61" s="269"/>
      <c r="FC61" s="269"/>
      <c r="FD61" s="269"/>
      <c r="FE61" s="269"/>
      <c r="FF61" s="269"/>
      <c r="FG61" s="269"/>
      <c r="FH61" s="269"/>
      <c r="FI61" s="269"/>
      <c r="FJ61" s="269"/>
      <c r="FK61" s="269"/>
      <c r="FL61" s="269"/>
      <c r="FM61" s="269"/>
      <c r="FN61" s="269"/>
      <c r="FO61" s="269"/>
      <c r="FP61" s="269"/>
      <c r="FQ61" s="269"/>
      <c r="FR61" s="269"/>
      <c r="FS61" s="269"/>
      <c r="FT61" s="269"/>
      <c r="FU61" s="269"/>
      <c r="FV61" s="269"/>
      <c r="FW61" s="269"/>
      <c r="FX61" s="269"/>
      <c r="FY61" s="269"/>
      <c r="FZ61" s="269"/>
      <c r="GA61" s="269"/>
      <c r="GB61" s="269"/>
      <c r="GC61" s="269"/>
      <c r="GD61" s="269"/>
      <c r="GE61" s="269"/>
      <c r="GF61" s="269"/>
      <c r="GG61" s="269"/>
      <c r="GH61" s="269"/>
      <c r="GI61" s="269"/>
      <c r="GJ61" s="269"/>
      <c r="GK61" s="269"/>
      <c r="GL61" s="269"/>
      <c r="GM61" s="269"/>
      <c r="GN61" s="269"/>
      <c r="GO61" s="269"/>
      <c r="GP61" s="269"/>
      <c r="GQ61" s="269"/>
      <c r="GR61" s="269"/>
      <c r="GS61" s="269"/>
      <c r="GT61" s="269"/>
      <c r="GU61" s="269"/>
      <c r="GV61" s="269"/>
      <c r="GW61" s="269"/>
      <c r="GX61" s="269"/>
      <c r="GY61" s="269"/>
      <c r="GZ61" s="269"/>
      <c r="HA61" s="269"/>
      <c r="HB61" s="269"/>
      <c r="HC61" s="269"/>
      <c r="HD61" s="269"/>
      <c r="HE61" s="269"/>
      <c r="HF61" s="269"/>
      <c r="HG61" s="269"/>
      <c r="HH61" s="269"/>
      <c r="HI61" s="269"/>
      <c r="HJ61" s="269"/>
      <c r="HK61" s="269"/>
      <c r="HL61" s="269"/>
      <c r="HM61" s="269"/>
      <c r="HN61" s="269"/>
      <c r="HO61" s="269"/>
      <c r="HP61" s="269"/>
      <c r="HQ61" s="269"/>
      <c r="HR61" s="269"/>
      <c r="HS61" s="269"/>
      <c r="HT61" s="269"/>
      <c r="HU61" s="269"/>
      <c r="HV61" s="269"/>
      <c r="HW61" s="269"/>
      <c r="HX61" s="269"/>
      <c r="HY61" s="269"/>
      <c r="HZ61" s="269"/>
      <c r="IA61" s="269"/>
      <c r="IB61" s="269"/>
      <c r="IC61" s="269"/>
      <c r="ID61" s="269"/>
      <c r="IE61" s="269"/>
      <c r="IF61" s="269"/>
      <c r="IG61" s="269"/>
      <c r="IH61" s="269"/>
      <c r="II61" s="269"/>
      <c r="IJ61" s="269"/>
      <c r="IK61" s="269"/>
      <c r="IL61" s="269"/>
      <c r="IM61" s="269"/>
      <c r="IN61" s="269"/>
      <c r="IO61" s="269"/>
      <c r="IP61" s="269"/>
      <c r="IQ61" s="269"/>
      <c r="IR61" s="269"/>
      <c r="IS61" s="269"/>
      <c r="IT61" s="269"/>
      <c r="IU61" s="269"/>
      <c r="IV61" s="269"/>
      <c r="IW61" s="269"/>
      <c r="IX61" s="269"/>
      <c r="IY61" s="269"/>
      <c r="IZ61" s="269"/>
      <c r="JA61" s="269"/>
      <c r="JB61" s="269"/>
      <c r="JC61" s="269"/>
      <c r="JD61" s="269"/>
      <c r="JE61" s="269"/>
      <c r="JF61" s="269"/>
      <c r="JG61" s="269"/>
      <c r="JH61" s="269"/>
      <c r="JI61" s="269"/>
      <c r="JJ61" s="269"/>
      <c r="JK61" s="269"/>
      <c r="JL61" s="269"/>
      <c r="JM61" s="269"/>
      <c r="JN61" s="269"/>
      <c r="JO61" s="269"/>
      <c r="JP61" s="269"/>
      <c r="JQ61" s="269"/>
      <c r="JR61" s="269"/>
      <c r="JS61" s="269"/>
      <c r="JT61" s="269"/>
      <c r="JU61" s="269"/>
      <c r="JV61" s="269"/>
      <c r="JW61" s="269"/>
      <c r="JX61" s="269"/>
      <c r="JY61" s="269"/>
      <c r="JZ61" s="269"/>
      <c r="KA61" s="269"/>
      <c r="KB61" s="269"/>
      <c r="KC61" s="269"/>
      <c r="KD61" s="269"/>
      <c r="KE61" s="269"/>
      <c r="KF61" s="269"/>
      <c r="KG61" s="269"/>
      <c r="KH61" s="269"/>
      <c r="KI61" s="269"/>
      <c r="KJ61" s="269"/>
      <c r="KK61" s="269"/>
      <c r="KL61" s="269"/>
      <c r="KM61" s="269"/>
      <c r="KN61" s="269"/>
      <c r="KO61" s="269"/>
      <c r="KP61" s="269"/>
      <c r="KQ61" s="269"/>
      <c r="KR61" s="269"/>
      <c r="KS61" s="269"/>
      <c r="KT61" s="269"/>
      <c r="KU61" s="269"/>
      <c r="KV61" s="269"/>
      <c r="KW61" s="269"/>
      <c r="KX61" s="269"/>
      <c r="KY61" s="269"/>
      <c r="KZ61" s="269"/>
      <c r="LA61" s="269"/>
      <c r="LB61" s="269"/>
      <c r="LC61" s="269"/>
      <c r="LD61" s="269"/>
      <c r="LE61" s="269"/>
      <c r="LF61" s="269"/>
      <c r="LG61" s="269"/>
      <c r="LH61" s="269"/>
      <c r="LI61" s="269"/>
      <c r="LJ61" s="269"/>
      <c r="LK61" s="269"/>
      <c r="LL61" s="269"/>
      <c r="LM61" s="269"/>
      <c r="LN61" s="269"/>
      <c r="LO61" s="269"/>
      <c r="LP61" s="269"/>
      <c r="LQ61" s="269"/>
      <c r="LR61" s="269"/>
      <c r="LS61" s="269"/>
      <c r="LT61" s="269"/>
      <c r="LU61" s="269"/>
      <c r="LV61" s="269"/>
      <c r="LW61" s="269"/>
      <c r="LX61" s="269"/>
      <c r="LY61" s="269"/>
      <c r="LZ61" s="269"/>
      <c r="MA61" s="269"/>
      <c r="MB61" s="269"/>
      <c r="MC61" s="269"/>
      <c r="MD61" s="269"/>
      <c r="ME61" s="269"/>
      <c r="MF61" s="269"/>
      <c r="MG61" s="269"/>
      <c r="MH61" s="269"/>
      <c r="MI61" s="269"/>
      <c r="MJ61" s="269"/>
      <c r="MK61" s="269"/>
      <c r="ML61" s="269"/>
      <c r="MM61" s="269"/>
      <c r="MN61" s="269"/>
      <c r="MO61" s="269"/>
      <c r="MP61" s="269"/>
      <c r="MQ61" s="269"/>
      <c r="MR61" s="269"/>
      <c r="MS61" s="269"/>
      <c r="MT61" s="269"/>
      <c r="MU61" s="269"/>
      <c r="MV61" s="269"/>
      <c r="MW61" s="269"/>
      <c r="MX61" s="269"/>
      <c r="MY61" s="269"/>
      <c r="MZ61" s="269"/>
      <c r="NA61" s="269"/>
      <c r="NB61" s="269"/>
      <c r="NC61" s="269"/>
      <c r="ND61" s="269"/>
      <c r="NE61" s="269"/>
      <c r="NF61" s="269"/>
      <c r="NG61" s="269"/>
      <c r="NH61" s="269"/>
      <c r="NI61" s="269"/>
      <c r="NJ61" s="269"/>
      <c r="NK61" s="269"/>
      <c r="NL61" s="269"/>
      <c r="NM61" s="269"/>
      <c r="NN61" s="269"/>
      <c r="NO61" s="269"/>
      <c r="NP61" s="269"/>
      <c r="NQ61" s="269"/>
      <c r="NR61" s="269"/>
      <c r="NS61" s="269"/>
      <c r="NT61" s="269"/>
      <c r="NU61" s="269"/>
      <c r="NV61" s="269"/>
      <c r="NW61" s="269"/>
      <c r="NX61" s="269"/>
      <c r="NY61" s="269"/>
      <c r="NZ61" s="269"/>
      <c r="OA61" s="269"/>
      <c r="OB61" s="269"/>
      <c r="OC61" s="269"/>
      <c r="OD61" s="269"/>
      <c r="OE61" s="269"/>
      <c r="OF61" s="269"/>
      <c r="OG61" s="269"/>
      <c r="OH61" s="269"/>
      <c r="OI61" s="269"/>
      <c r="OJ61" s="269"/>
      <c r="OK61" s="269"/>
      <c r="OL61" s="269"/>
      <c r="OM61" s="269"/>
      <c r="ON61" s="269"/>
      <c r="OO61" s="269"/>
      <c r="OP61" s="269"/>
      <c r="OQ61" s="269"/>
      <c r="OR61" s="269"/>
      <c r="OS61" s="269"/>
      <c r="OT61" s="269"/>
      <c r="OU61" s="269"/>
      <c r="OV61" s="269"/>
      <c r="OW61" s="269"/>
      <c r="OX61" s="269"/>
      <c r="OY61" s="269"/>
      <c r="OZ61" s="269"/>
      <c r="PA61" s="269"/>
      <c r="PB61" s="269"/>
      <c r="PC61" s="269"/>
    </row>
    <row r="62" spans="1:419">
      <c r="A62" s="269"/>
      <c r="B62" s="287" t="s">
        <v>25</v>
      </c>
      <c r="C62" s="269"/>
      <c r="D62" s="269"/>
      <c r="E62" s="269"/>
      <c r="F62" s="269"/>
      <c r="G62" s="273">
        <v>2.0000000000000018E-2</v>
      </c>
      <c r="H62" s="273">
        <v>0</v>
      </c>
      <c r="I62" s="273">
        <v>5.9880239520959666E-3</v>
      </c>
      <c r="J62" s="273">
        <v>6.2893081761006275E-3</v>
      </c>
      <c r="K62" s="273">
        <v>4.5751633986928164E-2</v>
      </c>
      <c r="L62" s="273">
        <v>3.0487804878048808E-2</v>
      </c>
      <c r="M62" s="287" t="s">
        <v>25</v>
      </c>
      <c r="N62" s="269"/>
      <c r="O62" s="269"/>
      <c r="P62" s="269"/>
      <c r="Q62" s="269"/>
      <c r="R62" s="273">
        <v>2.6578650221488642E-2</v>
      </c>
      <c r="S62" s="273">
        <v>8.4667771028898997E-3</v>
      </c>
      <c r="T62" s="273">
        <v>3.2427739761005103E-3</v>
      </c>
      <c r="U62" s="273">
        <v>8.4150326797385322E-3</v>
      </c>
      <c r="V62" s="273">
        <v>5.0173449530417136E-2</v>
      </c>
      <c r="W62" s="273">
        <v>4.3751466638854764E-2</v>
      </c>
      <c r="X62" s="290" t="s">
        <v>25</v>
      </c>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69"/>
      <c r="AY62" s="269"/>
      <c r="AZ62" s="269"/>
      <c r="BA62" s="269"/>
      <c r="BB62" s="269"/>
      <c r="BC62" s="269"/>
      <c r="BD62" s="269"/>
      <c r="BE62" s="269"/>
      <c r="BF62" s="269"/>
      <c r="BG62" s="269"/>
      <c r="BH62" s="269"/>
      <c r="BI62" s="269"/>
      <c r="BJ62" s="269"/>
      <c r="BK62" s="269"/>
      <c r="BL62" s="269"/>
      <c r="BM62" s="269"/>
      <c r="BN62" s="269"/>
      <c r="BO62" s="269"/>
      <c r="BP62" s="269"/>
      <c r="BQ62" s="269"/>
      <c r="BR62" s="269"/>
      <c r="BS62" s="269"/>
      <c r="BT62" s="269"/>
      <c r="BU62" s="269"/>
      <c r="BV62" s="269"/>
      <c r="BW62" s="269"/>
      <c r="BX62" s="269"/>
      <c r="BY62" s="269"/>
      <c r="BZ62" s="269"/>
      <c r="CA62" s="269"/>
      <c r="CB62" s="269"/>
      <c r="CC62" s="269"/>
      <c r="CD62" s="269"/>
      <c r="CE62" s="269"/>
      <c r="CF62" s="269"/>
      <c r="CG62" s="269"/>
      <c r="CH62" s="269"/>
      <c r="CI62" s="269"/>
      <c r="CJ62" s="269"/>
      <c r="CK62" s="269"/>
      <c r="CL62" s="269"/>
      <c r="CM62" s="269"/>
      <c r="CN62" s="269"/>
      <c r="CO62" s="269"/>
      <c r="CP62" s="269"/>
      <c r="CQ62" s="269"/>
      <c r="CR62" s="269"/>
      <c r="CS62" s="269"/>
      <c r="CT62" s="269"/>
      <c r="CU62" s="269"/>
      <c r="CV62" s="269"/>
      <c r="CW62" s="269"/>
      <c r="CX62" s="269"/>
      <c r="CY62" s="269"/>
      <c r="CZ62" s="269"/>
      <c r="DA62" s="269"/>
      <c r="DB62" s="269"/>
      <c r="DC62" s="269"/>
      <c r="DD62" s="269"/>
      <c r="DE62" s="269"/>
      <c r="DF62" s="269"/>
      <c r="DG62" s="269"/>
      <c r="DH62" s="269"/>
      <c r="DI62" s="269"/>
      <c r="DJ62" s="269"/>
      <c r="DK62" s="269"/>
      <c r="DL62" s="269"/>
      <c r="DM62" s="269"/>
      <c r="DN62" s="269"/>
      <c r="DO62" s="269"/>
      <c r="DP62" s="269"/>
      <c r="DQ62" s="269"/>
      <c r="DR62" s="269"/>
      <c r="DS62" s="269"/>
      <c r="DT62" s="269"/>
      <c r="DU62" s="269"/>
      <c r="DV62" s="269"/>
      <c r="DW62" s="269"/>
      <c r="DX62" s="269"/>
      <c r="DY62" s="269"/>
      <c r="DZ62" s="269"/>
      <c r="EA62" s="269"/>
      <c r="EB62" s="269"/>
      <c r="EC62" s="269"/>
      <c r="ED62" s="269"/>
      <c r="EE62" s="269"/>
      <c r="EF62" s="269"/>
      <c r="EG62" s="269"/>
      <c r="EH62" s="269"/>
      <c r="EI62" s="269"/>
      <c r="EJ62" s="269"/>
      <c r="EK62" s="269"/>
      <c r="EL62" s="269"/>
      <c r="EM62" s="269"/>
      <c r="EN62" s="269"/>
      <c r="EO62" s="269"/>
      <c r="EP62" s="269"/>
      <c r="EQ62" s="269"/>
      <c r="ER62" s="269"/>
      <c r="ES62" s="269"/>
      <c r="ET62" s="269"/>
      <c r="EU62" s="269"/>
      <c r="EV62" s="269"/>
      <c r="EW62" s="269"/>
      <c r="EX62" s="269"/>
      <c r="EY62" s="269"/>
      <c r="EZ62" s="269"/>
      <c r="FA62" s="269"/>
      <c r="FB62" s="269"/>
      <c r="FC62" s="269"/>
      <c r="FD62" s="269"/>
      <c r="FE62" s="269"/>
      <c r="FF62" s="269"/>
      <c r="FG62" s="269"/>
      <c r="FH62" s="269"/>
      <c r="FI62" s="269"/>
      <c r="FJ62" s="269"/>
      <c r="FK62" s="269"/>
      <c r="FL62" s="269"/>
      <c r="FM62" s="269"/>
      <c r="FN62" s="269"/>
      <c r="FO62" s="269"/>
      <c r="FP62" s="269"/>
      <c r="FQ62" s="269"/>
      <c r="FR62" s="269"/>
      <c r="FS62" s="269"/>
      <c r="FT62" s="269"/>
      <c r="FU62" s="269"/>
      <c r="FV62" s="269"/>
      <c r="FW62" s="269"/>
      <c r="FX62" s="269"/>
      <c r="FY62" s="269"/>
      <c r="FZ62" s="269"/>
      <c r="GA62" s="269"/>
      <c r="GB62" s="269"/>
      <c r="GC62" s="269"/>
      <c r="GD62" s="269"/>
      <c r="GE62" s="269"/>
      <c r="GF62" s="269"/>
      <c r="GG62" s="269"/>
      <c r="GH62" s="269"/>
      <c r="GI62" s="269"/>
      <c r="GJ62" s="269"/>
      <c r="GK62" s="269"/>
      <c r="GL62" s="269"/>
      <c r="GM62" s="269"/>
      <c r="GN62" s="269"/>
      <c r="GO62" s="269"/>
      <c r="GP62" s="269"/>
      <c r="GQ62" s="269"/>
      <c r="GR62" s="269"/>
      <c r="GS62" s="269"/>
      <c r="GT62" s="269"/>
      <c r="GU62" s="269"/>
      <c r="GV62" s="269"/>
      <c r="GW62" s="269"/>
      <c r="GX62" s="269"/>
      <c r="GY62" s="269"/>
      <c r="GZ62" s="269"/>
      <c r="HA62" s="269"/>
      <c r="HB62" s="269"/>
      <c r="HC62" s="269"/>
      <c r="HD62" s="269"/>
      <c r="HE62" s="269"/>
      <c r="HF62" s="269"/>
      <c r="HG62" s="269"/>
      <c r="HH62" s="269"/>
      <c r="HI62" s="269"/>
      <c r="HJ62" s="269"/>
      <c r="HK62" s="269"/>
      <c r="HL62" s="269"/>
      <c r="HM62" s="269"/>
      <c r="HN62" s="269"/>
      <c r="HO62" s="269"/>
      <c r="HP62" s="269"/>
      <c r="HQ62" s="269"/>
      <c r="HR62" s="269"/>
      <c r="HS62" s="269"/>
      <c r="HT62" s="269"/>
      <c r="HU62" s="269"/>
      <c r="HV62" s="269"/>
      <c r="HW62" s="269"/>
      <c r="HX62" s="269"/>
      <c r="HY62" s="269"/>
      <c r="HZ62" s="269"/>
      <c r="IA62" s="269"/>
      <c r="IB62" s="269"/>
      <c r="IC62" s="269"/>
      <c r="ID62" s="269"/>
      <c r="IE62" s="269"/>
      <c r="IF62" s="269"/>
      <c r="IG62" s="269"/>
      <c r="IH62" s="269"/>
      <c r="II62" s="269"/>
      <c r="IJ62" s="269"/>
      <c r="IK62" s="269"/>
      <c r="IL62" s="269"/>
      <c r="IM62" s="269"/>
      <c r="IN62" s="269"/>
      <c r="IO62" s="269"/>
      <c r="IP62" s="269"/>
      <c r="IQ62" s="269"/>
      <c r="IR62" s="269"/>
      <c r="IS62" s="269"/>
      <c r="IT62" s="269"/>
      <c r="IU62" s="269"/>
      <c r="IV62" s="269"/>
      <c r="IW62" s="269"/>
      <c r="IX62" s="269"/>
      <c r="IY62" s="269"/>
      <c r="IZ62" s="269"/>
      <c r="JA62" s="269"/>
      <c r="JB62" s="269"/>
      <c r="JC62" s="269"/>
      <c r="JD62" s="269"/>
      <c r="JE62" s="269"/>
      <c r="JF62" s="269"/>
      <c r="JG62" s="269"/>
      <c r="JH62" s="269"/>
      <c r="JI62" s="269"/>
      <c r="JJ62" s="269"/>
      <c r="JK62" s="269"/>
      <c r="JL62" s="269"/>
      <c r="JM62" s="269"/>
      <c r="JN62" s="269"/>
      <c r="JO62" s="269"/>
      <c r="JP62" s="269"/>
      <c r="JQ62" s="269"/>
      <c r="JR62" s="269"/>
      <c r="JS62" s="269"/>
      <c r="JT62" s="269"/>
      <c r="JU62" s="269"/>
      <c r="JV62" s="269"/>
      <c r="JW62" s="269"/>
      <c r="JX62" s="269"/>
      <c r="JY62" s="269"/>
      <c r="JZ62" s="269"/>
      <c r="KA62" s="269"/>
      <c r="KB62" s="269"/>
      <c r="KC62" s="269"/>
      <c r="KD62" s="269"/>
      <c r="KE62" s="269"/>
      <c r="KF62" s="269"/>
      <c r="KG62" s="269"/>
      <c r="KH62" s="269"/>
      <c r="KI62" s="269"/>
      <c r="KJ62" s="269"/>
      <c r="KK62" s="269"/>
      <c r="KL62" s="269"/>
      <c r="KM62" s="269"/>
      <c r="KN62" s="269"/>
      <c r="KO62" s="269"/>
      <c r="KP62" s="269"/>
      <c r="KQ62" s="269"/>
      <c r="KR62" s="269"/>
      <c r="KS62" s="269"/>
      <c r="KT62" s="269"/>
      <c r="KU62" s="269"/>
      <c r="KV62" s="269"/>
      <c r="KW62" s="269"/>
      <c r="KX62" s="269"/>
      <c r="KY62" s="269"/>
      <c r="KZ62" s="269"/>
      <c r="LA62" s="269"/>
      <c r="LB62" s="269"/>
      <c r="LC62" s="269"/>
      <c r="LD62" s="269"/>
      <c r="LE62" s="269"/>
      <c r="LF62" s="269"/>
      <c r="LG62" s="269"/>
      <c r="LH62" s="269"/>
      <c r="LI62" s="269"/>
      <c r="LJ62" s="269"/>
      <c r="LK62" s="269"/>
      <c r="LL62" s="269"/>
      <c r="LM62" s="269"/>
      <c r="LN62" s="269"/>
      <c r="LO62" s="269"/>
      <c r="LP62" s="269"/>
      <c r="LQ62" s="269"/>
      <c r="LR62" s="269"/>
      <c r="LS62" s="269"/>
      <c r="LT62" s="269"/>
      <c r="LU62" s="269"/>
      <c r="LV62" s="269"/>
      <c r="LW62" s="269"/>
      <c r="LX62" s="269"/>
      <c r="LY62" s="269"/>
      <c r="LZ62" s="269"/>
      <c r="MA62" s="269"/>
      <c r="MB62" s="269"/>
      <c r="MC62" s="269"/>
      <c r="MD62" s="269"/>
      <c r="ME62" s="269"/>
      <c r="MF62" s="269"/>
      <c r="MG62" s="269"/>
      <c r="MH62" s="269"/>
      <c r="MI62" s="269"/>
      <c r="MJ62" s="269"/>
      <c r="MK62" s="269"/>
      <c r="ML62" s="269"/>
      <c r="MM62" s="269"/>
      <c r="MN62" s="269"/>
      <c r="MO62" s="269"/>
      <c r="MP62" s="269"/>
      <c r="MQ62" s="269"/>
      <c r="MR62" s="269"/>
      <c r="MS62" s="269"/>
      <c r="MT62" s="269"/>
      <c r="MU62" s="269"/>
      <c r="MV62" s="269"/>
      <c r="MW62" s="269"/>
      <c r="MX62" s="269"/>
      <c r="MY62" s="269"/>
      <c r="MZ62" s="269"/>
      <c r="NA62" s="269"/>
      <c r="NB62" s="269"/>
      <c r="NC62" s="269"/>
      <c r="ND62" s="269"/>
      <c r="NE62" s="269"/>
      <c r="NF62" s="269"/>
      <c r="NG62" s="269"/>
      <c r="NH62" s="269"/>
      <c r="NI62" s="269"/>
      <c r="NJ62" s="269"/>
      <c r="NK62" s="269"/>
      <c r="NL62" s="269"/>
      <c r="NM62" s="269"/>
      <c r="NN62" s="269"/>
      <c r="NO62" s="269"/>
      <c r="NP62" s="269"/>
      <c r="NQ62" s="269"/>
      <c r="NR62" s="269"/>
      <c r="NS62" s="269"/>
      <c r="NT62" s="269"/>
      <c r="NU62" s="269"/>
      <c r="NV62" s="269"/>
      <c r="NW62" s="269"/>
      <c r="NX62" s="269"/>
      <c r="NY62" s="269"/>
      <c r="NZ62" s="269"/>
      <c r="OA62" s="269"/>
      <c r="OB62" s="269"/>
      <c r="OC62" s="269"/>
      <c r="OD62" s="269"/>
      <c r="OE62" s="269"/>
      <c r="OF62" s="269"/>
      <c r="OG62" s="269"/>
      <c r="OH62" s="269"/>
      <c r="OI62" s="269"/>
      <c r="OJ62" s="269"/>
      <c r="OK62" s="269"/>
      <c r="OL62" s="269"/>
      <c r="OM62" s="269"/>
      <c r="ON62" s="269"/>
      <c r="OO62" s="269"/>
      <c r="OP62" s="269"/>
      <c r="OQ62" s="269"/>
      <c r="OR62" s="269"/>
      <c r="OS62" s="269"/>
      <c r="OT62" s="269"/>
      <c r="OU62" s="269"/>
      <c r="OV62" s="269"/>
      <c r="OW62" s="269"/>
      <c r="OX62" s="269"/>
      <c r="OY62" s="269"/>
      <c r="OZ62" s="269"/>
      <c r="PA62" s="269"/>
      <c r="PB62" s="269"/>
      <c r="PC62" s="269"/>
    </row>
    <row r="63" spans="1:419">
      <c r="A63" s="269"/>
      <c r="B63" s="287" t="s">
        <v>49</v>
      </c>
      <c r="C63" s="269"/>
      <c r="D63" s="269"/>
      <c r="E63" s="269"/>
      <c r="F63" s="269"/>
      <c r="G63" s="273">
        <v>-7.6335877862595547E-3</v>
      </c>
      <c r="H63" s="273">
        <v>1.5503875968992276E-2</v>
      </c>
      <c r="I63" s="273">
        <v>0</v>
      </c>
      <c r="J63" s="273">
        <v>2.2388059701492491E-2</v>
      </c>
      <c r="K63" s="273">
        <v>-1.538461538461533E-2</v>
      </c>
      <c r="L63" s="273">
        <v>-2.2900763358778553E-2</v>
      </c>
      <c r="M63" s="287" t="s">
        <v>49</v>
      </c>
      <c r="N63" s="269"/>
      <c r="O63" s="269"/>
      <c r="P63" s="269"/>
      <c r="Q63" s="269"/>
      <c r="R63" s="273">
        <v>2.0496083550913813E-2</v>
      </c>
      <c r="S63" s="273">
        <v>4.0311892560523033E-2</v>
      </c>
      <c r="T63" s="273">
        <v>2.962437072415125E-2</v>
      </c>
      <c r="U63" s="273">
        <v>5.0682343061095869E-2</v>
      </c>
      <c r="V63" s="273">
        <v>-7.249157818429941E-3</v>
      </c>
      <c r="W63" s="273">
        <v>-1.2187612799116621E-2</v>
      </c>
      <c r="X63" s="290" t="s">
        <v>49</v>
      </c>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269"/>
      <c r="BU63" s="269"/>
      <c r="BV63" s="269"/>
      <c r="BW63" s="269"/>
      <c r="BX63" s="269"/>
      <c r="BY63" s="269"/>
      <c r="BZ63" s="269"/>
      <c r="CA63" s="269"/>
      <c r="CB63" s="269"/>
      <c r="CC63" s="269"/>
      <c r="CD63" s="269"/>
      <c r="CE63" s="269"/>
      <c r="CF63" s="269"/>
      <c r="CG63" s="269"/>
      <c r="CH63" s="269"/>
      <c r="CI63" s="269"/>
      <c r="CJ63" s="269"/>
      <c r="CK63" s="269"/>
      <c r="CL63" s="269"/>
      <c r="CM63" s="269"/>
      <c r="CN63" s="269"/>
      <c r="CO63" s="269"/>
      <c r="CP63" s="269"/>
      <c r="CQ63" s="269"/>
      <c r="CR63" s="269"/>
      <c r="CS63" s="269"/>
      <c r="CT63" s="269"/>
      <c r="CU63" s="269"/>
      <c r="CV63" s="269"/>
      <c r="CW63" s="269"/>
      <c r="CX63" s="269"/>
      <c r="CY63" s="269"/>
      <c r="CZ63" s="269"/>
      <c r="DA63" s="269"/>
      <c r="DB63" s="269"/>
      <c r="DC63" s="269"/>
      <c r="DD63" s="269"/>
      <c r="DE63" s="269"/>
      <c r="DF63" s="269"/>
      <c r="DG63" s="269"/>
      <c r="DH63" s="269"/>
      <c r="DI63" s="269"/>
      <c r="DJ63" s="269"/>
      <c r="DK63" s="269"/>
      <c r="DL63" s="269"/>
      <c r="DM63" s="269"/>
      <c r="DN63" s="269"/>
      <c r="DO63" s="269"/>
      <c r="DP63" s="269"/>
      <c r="DQ63" s="269"/>
      <c r="DR63" s="269"/>
      <c r="DS63" s="269"/>
      <c r="DT63" s="269"/>
      <c r="DU63" s="269"/>
      <c r="DV63" s="269"/>
      <c r="DW63" s="269"/>
      <c r="DX63" s="269"/>
      <c r="DY63" s="269"/>
      <c r="DZ63" s="269"/>
      <c r="EA63" s="269"/>
      <c r="EB63" s="269"/>
      <c r="EC63" s="269"/>
      <c r="ED63" s="269"/>
      <c r="EE63" s="269"/>
      <c r="EF63" s="269"/>
      <c r="EG63" s="269"/>
      <c r="EH63" s="269"/>
      <c r="EI63" s="269"/>
      <c r="EJ63" s="269"/>
      <c r="EK63" s="269"/>
      <c r="EL63" s="269"/>
      <c r="EM63" s="269"/>
      <c r="EN63" s="269"/>
      <c r="EO63" s="269"/>
      <c r="EP63" s="269"/>
      <c r="EQ63" s="269"/>
      <c r="ER63" s="269"/>
      <c r="ES63" s="269"/>
      <c r="ET63" s="269"/>
      <c r="EU63" s="269"/>
      <c r="EV63" s="269"/>
      <c r="EW63" s="269"/>
      <c r="EX63" s="269"/>
      <c r="EY63" s="269"/>
      <c r="EZ63" s="269"/>
      <c r="FA63" s="269"/>
      <c r="FB63" s="269"/>
      <c r="FC63" s="269"/>
      <c r="FD63" s="269"/>
      <c r="FE63" s="269"/>
      <c r="FF63" s="269"/>
      <c r="FG63" s="269"/>
      <c r="FH63" s="269"/>
      <c r="FI63" s="269"/>
      <c r="FJ63" s="269"/>
      <c r="FK63" s="269"/>
      <c r="FL63" s="269"/>
      <c r="FM63" s="269"/>
      <c r="FN63" s="269"/>
      <c r="FO63" s="269"/>
      <c r="FP63" s="269"/>
      <c r="FQ63" s="269"/>
      <c r="FR63" s="269"/>
      <c r="FS63" s="269"/>
      <c r="FT63" s="269"/>
      <c r="FU63" s="269"/>
      <c r="FV63" s="269"/>
      <c r="FW63" s="269"/>
      <c r="FX63" s="269"/>
      <c r="FY63" s="269"/>
      <c r="FZ63" s="269"/>
      <c r="GA63" s="269"/>
      <c r="GB63" s="269"/>
      <c r="GC63" s="269"/>
      <c r="GD63" s="269"/>
      <c r="GE63" s="269"/>
      <c r="GF63" s="269"/>
      <c r="GG63" s="269"/>
      <c r="GH63" s="269"/>
      <c r="GI63" s="269"/>
      <c r="GJ63" s="269"/>
      <c r="GK63" s="269"/>
      <c r="GL63" s="269"/>
      <c r="GM63" s="269"/>
      <c r="GN63" s="269"/>
      <c r="GO63" s="269"/>
      <c r="GP63" s="269"/>
      <c r="GQ63" s="269"/>
      <c r="GR63" s="269"/>
      <c r="GS63" s="269"/>
      <c r="GT63" s="269"/>
      <c r="GU63" s="269"/>
      <c r="GV63" s="269"/>
      <c r="GW63" s="269"/>
      <c r="GX63" s="269"/>
      <c r="GY63" s="269"/>
      <c r="GZ63" s="269"/>
      <c r="HA63" s="269"/>
      <c r="HB63" s="269"/>
      <c r="HC63" s="269"/>
      <c r="HD63" s="269"/>
      <c r="HE63" s="269"/>
      <c r="HF63" s="269"/>
      <c r="HG63" s="269"/>
      <c r="HH63" s="269"/>
      <c r="HI63" s="269"/>
      <c r="HJ63" s="269"/>
      <c r="HK63" s="269"/>
      <c r="HL63" s="269"/>
      <c r="HM63" s="269"/>
      <c r="HN63" s="269"/>
      <c r="HO63" s="269"/>
      <c r="HP63" s="269"/>
      <c r="HQ63" s="269"/>
      <c r="HR63" s="269"/>
      <c r="HS63" s="269"/>
      <c r="HT63" s="269"/>
      <c r="HU63" s="269"/>
      <c r="HV63" s="269"/>
      <c r="HW63" s="269"/>
      <c r="HX63" s="269"/>
      <c r="HY63" s="269"/>
      <c r="HZ63" s="269"/>
      <c r="IA63" s="269"/>
      <c r="IB63" s="269"/>
      <c r="IC63" s="269"/>
      <c r="ID63" s="269"/>
      <c r="IE63" s="269"/>
      <c r="IF63" s="269"/>
      <c r="IG63" s="269"/>
      <c r="IH63" s="269"/>
      <c r="II63" s="269"/>
      <c r="IJ63" s="269"/>
      <c r="IK63" s="269"/>
      <c r="IL63" s="269"/>
      <c r="IM63" s="269"/>
      <c r="IN63" s="269"/>
      <c r="IO63" s="269"/>
      <c r="IP63" s="269"/>
      <c r="IQ63" s="269"/>
      <c r="IR63" s="269"/>
      <c r="IS63" s="269"/>
      <c r="IT63" s="269"/>
      <c r="IU63" s="269"/>
      <c r="IV63" s="269"/>
      <c r="IW63" s="269"/>
      <c r="IX63" s="269"/>
      <c r="IY63" s="269"/>
      <c r="IZ63" s="269"/>
      <c r="JA63" s="269"/>
      <c r="JB63" s="269"/>
      <c r="JC63" s="269"/>
      <c r="JD63" s="269"/>
      <c r="JE63" s="269"/>
      <c r="JF63" s="269"/>
      <c r="JG63" s="269"/>
      <c r="JH63" s="269"/>
      <c r="JI63" s="269"/>
      <c r="JJ63" s="269"/>
      <c r="JK63" s="269"/>
      <c r="JL63" s="269"/>
      <c r="JM63" s="269"/>
      <c r="JN63" s="269"/>
      <c r="JO63" s="269"/>
      <c r="JP63" s="269"/>
      <c r="JQ63" s="269"/>
      <c r="JR63" s="269"/>
      <c r="JS63" s="269"/>
      <c r="JT63" s="269"/>
      <c r="JU63" s="269"/>
      <c r="JV63" s="269"/>
      <c r="JW63" s="269"/>
      <c r="JX63" s="269"/>
      <c r="JY63" s="269"/>
      <c r="JZ63" s="269"/>
      <c r="KA63" s="269"/>
      <c r="KB63" s="269"/>
      <c r="KC63" s="269"/>
      <c r="KD63" s="269"/>
      <c r="KE63" s="269"/>
      <c r="KF63" s="269"/>
      <c r="KG63" s="269"/>
      <c r="KH63" s="269"/>
      <c r="KI63" s="269"/>
      <c r="KJ63" s="269"/>
      <c r="KK63" s="269"/>
      <c r="KL63" s="269"/>
      <c r="KM63" s="269"/>
      <c r="KN63" s="269"/>
      <c r="KO63" s="269"/>
      <c r="KP63" s="269"/>
      <c r="KQ63" s="269"/>
      <c r="KR63" s="269"/>
      <c r="KS63" s="269"/>
      <c r="KT63" s="269"/>
      <c r="KU63" s="269"/>
      <c r="KV63" s="269"/>
      <c r="KW63" s="269"/>
      <c r="KX63" s="269"/>
      <c r="KY63" s="269"/>
      <c r="KZ63" s="269"/>
      <c r="LA63" s="269"/>
      <c r="LB63" s="269"/>
      <c r="LC63" s="269"/>
      <c r="LD63" s="269"/>
      <c r="LE63" s="269"/>
      <c r="LF63" s="269"/>
      <c r="LG63" s="269"/>
      <c r="LH63" s="269"/>
      <c r="LI63" s="269"/>
      <c r="LJ63" s="269"/>
      <c r="LK63" s="269"/>
      <c r="LL63" s="269"/>
      <c r="LM63" s="269"/>
      <c r="LN63" s="269"/>
      <c r="LO63" s="269"/>
      <c r="LP63" s="269"/>
      <c r="LQ63" s="269"/>
      <c r="LR63" s="269"/>
      <c r="LS63" s="269"/>
      <c r="LT63" s="269"/>
      <c r="LU63" s="269"/>
      <c r="LV63" s="269"/>
      <c r="LW63" s="269"/>
      <c r="LX63" s="269"/>
      <c r="LY63" s="269"/>
      <c r="LZ63" s="269"/>
      <c r="MA63" s="269"/>
      <c r="MB63" s="269"/>
      <c r="MC63" s="269"/>
      <c r="MD63" s="269"/>
      <c r="ME63" s="269"/>
      <c r="MF63" s="269"/>
      <c r="MG63" s="269"/>
      <c r="MH63" s="269"/>
      <c r="MI63" s="269"/>
      <c r="MJ63" s="269"/>
      <c r="MK63" s="269"/>
      <c r="ML63" s="269"/>
      <c r="MM63" s="269"/>
      <c r="MN63" s="269"/>
      <c r="MO63" s="269"/>
      <c r="MP63" s="269"/>
      <c r="MQ63" s="269"/>
      <c r="MR63" s="269"/>
      <c r="MS63" s="269"/>
      <c r="MT63" s="269"/>
      <c r="MU63" s="269"/>
      <c r="MV63" s="269"/>
      <c r="MW63" s="269"/>
      <c r="MX63" s="269"/>
      <c r="MY63" s="269"/>
      <c r="MZ63" s="269"/>
      <c r="NA63" s="269"/>
      <c r="NB63" s="269"/>
      <c r="NC63" s="269"/>
      <c r="ND63" s="269"/>
      <c r="NE63" s="269"/>
      <c r="NF63" s="269"/>
      <c r="NG63" s="269"/>
      <c r="NH63" s="269"/>
      <c r="NI63" s="269"/>
      <c r="NJ63" s="269"/>
      <c r="NK63" s="269"/>
      <c r="NL63" s="269"/>
      <c r="NM63" s="269"/>
      <c r="NN63" s="269"/>
      <c r="NO63" s="269"/>
      <c r="NP63" s="269"/>
      <c r="NQ63" s="269"/>
      <c r="NR63" s="269"/>
      <c r="NS63" s="269"/>
      <c r="NT63" s="269"/>
      <c r="NU63" s="269"/>
      <c r="NV63" s="269"/>
      <c r="NW63" s="269"/>
      <c r="NX63" s="269"/>
      <c r="NY63" s="269"/>
      <c r="NZ63" s="269"/>
      <c r="OA63" s="269"/>
      <c r="OB63" s="269"/>
      <c r="OC63" s="269"/>
      <c r="OD63" s="269"/>
      <c r="OE63" s="269"/>
      <c r="OF63" s="269"/>
      <c r="OG63" s="269"/>
      <c r="OH63" s="269"/>
      <c r="OI63" s="269"/>
      <c r="OJ63" s="269"/>
      <c r="OK63" s="269"/>
      <c r="OL63" s="269"/>
      <c r="OM63" s="269"/>
      <c r="ON63" s="269"/>
      <c r="OO63" s="269"/>
      <c r="OP63" s="269"/>
      <c r="OQ63" s="269"/>
      <c r="OR63" s="269"/>
      <c r="OS63" s="269"/>
      <c r="OT63" s="269"/>
      <c r="OU63" s="269"/>
      <c r="OV63" s="269"/>
      <c r="OW63" s="269"/>
      <c r="OX63" s="269"/>
      <c r="OY63" s="269"/>
      <c r="OZ63" s="269"/>
      <c r="PA63" s="269"/>
      <c r="PB63" s="269"/>
      <c r="PC63" s="269"/>
    </row>
    <row r="64" spans="1:419">
      <c r="A64" s="269"/>
      <c r="B64" s="287" t="s">
        <v>23</v>
      </c>
      <c r="C64" s="269"/>
      <c r="D64" s="269"/>
      <c r="E64" s="269"/>
      <c r="F64" s="269"/>
      <c r="G64" s="273">
        <v>-9.3457943925233655E-3</v>
      </c>
      <c r="H64" s="273">
        <v>-1.6260162601626105E-2</v>
      </c>
      <c r="I64" s="273">
        <v>-6.9230769230769207E-2</v>
      </c>
      <c r="J64" s="273">
        <v>-0.13793103448275856</v>
      </c>
      <c r="K64" s="273">
        <v>-0.10377358490566035</v>
      </c>
      <c r="L64" s="274">
        <v>4.1322314049586861E-2</v>
      </c>
      <c r="M64" s="287" t="s">
        <v>23</v>
      </c>
      <c r="N64" s="269"/>
      <c r="O64" s="269"/>
      <c r="P64" s="269"/>
      <c r="Q64" s="269"/>
      <c r="R64" s="273">
        <v>4.2970379641218193E-2</v>
      </c>
      <c r="S64" s="273">
        <v>2.0898641588296796E-2</v>
      </c>
      <c r="T64" s="273">
        <v>-3.9588027035725837E-2</v>
      </c>
      <c r="U64" s="273">
        <v>-0.13888888888888884</v>
      </c>
      <c r="V64" s="273">
        <v>-9.8399999999999932E-2</v>
      </c>
      <c r="W64" s="274">
        <v>6.9259638348686314E-2</v>
      </c>
      <c r="X64" s="287" t="s">
        <v>23</v>
      </c>
      <c r="Y64" s="269"/>
      <c r="Z64" s="269"/>
      <c r="AA64" s="269"/>
      <c r="AB64" s="269"/>
      <c r="AC64" s="269"/>
      <c r="AD64" s="269"/>
      <c r="AE64" s="269"/>
      <c r="AF64" s="269"/>
      <c r="AG64" s="269"/>
      <c r="AH64" s="269"/>
      <c r="AI64" s="269"/>
      <c r="AJ64" s="269"/>
      <c r="AK64" s="269"/>
      <c r="AL64" s="269"/>
      <c r="AM64" s="269"/>
      <c r="AN64" s="269"/>
      <c r="AO64" s="269"/>
      <c r="AP64" s="269"/>
      <c r="AQ64" s="269"/>
      <c r="AR64" s="269"/>
      <c r="AS64" s="269"/>
      <c r="AT64" s="269"/>
      <c r="AU64" s="269"/>
      <c r="AV64" s="269"/>
      <c r="AW64" s="269"/>
      <c r="AX64" s="269"/>
      <c r="AY64" s="269"/>
      <c r="AZ64" s="269"/>
      <c r="BA64" s="269"/>
      <c r="BB64" s="269"/>
      <c r="BC64" s="269"/>
      <c r="BD64" s="269"/>
      <c r="BE64" s="269"/>
      <c r="BF64" s="269"/>
      <c r="BG64" s="269"/>
      <c r="BH64" s="269"/>
      <c r="BI64" s="269"/>
      <c r="BJ64" s="269"/>
      <c r="BK64" s="269"/>
      <c r="BL64" s="269"/>
      <c r="BM64" s="269"/>
      <c r="BN64" s="269"/>
      <c r="BO64" s="269"/>
      <c r="BP64" s="269"/>
      <c r="BQ64" s="269"/>
      <c r="BR64" s="269"/>
      <c r="BS64" s="269"/>
      <c r="BT64" s="269"/>
      <c r="BU64" s="269"/>
      <c r="BV64" s="269"/>
      <c r="BW64" s="269"/>
      <c r="BX64" s="269"/>
      <c r="BY64" s="269"/>
      <c r="BZ64" s="269"/>
      <c r="CA64" s="269"/>
      <c r="CB64" s="269"/>
      <c r="CC64" s="269"/>
      <c r="CD64" s="269"/>
      <c r="CE64" s="269"/>
      <c r="CF64" s="269"/>
      <c r="CG64" s="269"/>
      <c r="CH64" s="269"/>
      <c r="CI64" s="269"/>
      <c r="CJ64" s="269"/>
      <c r="CK64" s="269"/>
      <c r="CL64" s="269"/>
      <c r="CM64" s="269"/>
      <c r="CN64" s="269"/>
      <c r="CO64" s="269"/>
      <c r="CP64" s="269"/>
      <c r="CQ64" s="269"/>
      <c r="CR64" s="269"/>
      <c r="CS64" s="269"/>
      <c r="CT64" s="269"/>
      <c r="CU64" s="269"/>
      <c r="CV64" s="269"/>
      <c r="CW64" s="269"/>
      <c r="CX64" s="269"/>
      <c r="CY64" s="269"/>
      <c r="CZ64" s="269"/>
      <c r="DA64" s="269"/>
      <c r="DB64" s="269"/>
      <c r="DC64" s="269"/>
      <c r="DD64" s="269"/>
      <c r="DE64" s="269"/>
      <c r="DF64" s="269"/>
      <c r="DG64" s="269"/>
      <c r="DH64" s="269"/>
      <c r="DI64" s="269"/>
      <c r="DJ64" s="269"/>
      <c r="DK64" s="269"/>
      <c r="DL64" s="269"/>
      <c r="DM64" s="269"/>
      <c r="DN64" s="269"/>
      <c r="DO64" s="269"/>
      <c r="DP64" s="269"/>
      <c r="DQ64" s="269"/>
      <c r="DR64" s="269"/>
      <c r="DS64" s="269"/>
      <c r="DT64" s="269"/>
      <c r="DU64" s="269"/>
      <c r="DV64" s="269"/>
      <c r="DW64" s="269"/>
      <c r="DX64" s="269"/>
      <c r="DY64" s="269"/>
      <c r="DZ64" s="269"/>
      <c r="EA64" s="269"/>
      <c r="EB64" s="269"/>
      <c r="EC64" s="269"/>
      <c r="ED64" s="269"/>
      <c r="EE64" s="269"/>
      <c r="EF64" s="269"/>
      <c r="EG64" s="269"/>
      <c r="EH64" s="269"/>
      <c r="EI64" s="269"/>
      <c r="EJ64" s="269"/>
      <c r="EK64" s="269"/>
      <c r="EL64" s="269"/>
      <c r="EM64" s="269"/>
      <c r="EN64" s="269"/>
      <c r="EO64" s="269"/>
      <c r="EP64" s="269"/>
      <c r="EQ64" s="269"/>
      <c r="ER64" s="269"/>
      <c r="ES64" s="269"/>
      <c r="ET64" s="269"/>
      <c r="EU64" s="269"/>
      <c r="EV64" s="269"/>
      <c r="EW64" s="269"/>
      <c r="EX64" s="269"/>
      <c r="EY64" s="269"/>
      <c r="EZ64" s="269"/>
      <c r="FA64" s="269"/>
      <c r="FB64" s="269"/>
      <c r="FC64" s="269"/>
      <c r="FD64" s="269"/>
      <c r="FE64" s="269"/>
      <c r="FF64" s="269"/>
      <c r="FG64" s="269"/>
      <c r="FH64" s="269"/>
      <c r="FI64" s="269"/>
      <c r="FJ64" s="269"/>
      <c r="FK64" s="269"/>
      <c r="FL64" s="269"/>
      <c r="FM64" s="269"/>
      <c r="FN64" s="269"/>
      <c r="FO64" s="269"/>
      <c r="FP64" s="269"/>
      <c r="FQ64" s="269"/>
      <c r="FR64" s="269"/>
      <c r="FS64" s="269"/>
      <c r="FT64" s="269"/>
      <c r="FU64" s="269"/>
      <c r="FV64" s="269"/>
      <c r="FW64" s="269"/>
      <c r="FX64" s="269"/>
      <c r="FY64" s="269"/>
      <c r="FZ64" s="269"/>
      <c r="GA64" s="269"/>
      <c r="GB64" s="269"/>
      <c r="GC64" s="269"/>
      <c r="GD64" s="269"/>
      <c r="GE64" s="269"/>
      <c r="GF64" s="269"/>
      <c r="GG64" s="269"/>
      <c r="GH64" s="269"/>
      <c r="GI64" s="269"/>
      <c r="GJ64" s="269"/>
      <c r="GK64" s="269"/>
      <c r="GL64" s="269"/>
      <c r="GM64" s="269"/>
      <c r="GN64" s="269"/>
      <c r="GO64" s="269"/>
      <c r="GP64" s="269"/>
      <c r="GQ64" s="269"/>
      <c r="GR64" s="269"/>
      <c r="GS64" s="269"/>
      <c r="GT64" s="269"/>
      <c r="GU64" s="269"/>
      <c r="GV64" s="269"/>
      <c r="GW64" s="269"/>
      <c r="GX64" s="269"/>
      <c r="GY64" s="269"/>
      <c r="GZ64" s="269"/>
      <c r="HA64" s="269"/>
      <c r="HB64" s="269"/>
      <c r="HC64" s="269"/>
      <c r="HD64" s="269"/>
      <c r="HE64" s="269"/>
      <c r="HF64" s="269"/>
      <c r="HG64" s="269"/>
      <c r="HH64" s="269"/>
      <c r="HI64" s="269"/>
      <c r="HJ64" s="269"/>
      <c r="HK64" s="269"/>
      <c r="HL64" s="269"/>
      <c r="HM64" s="269"/>
      <c r="HN64" s="269"/>
      <c r="HO64" s="269"/>
      <c r="HP64" s="269"/>
      <c r="HQ64" s="269"/>
      <c r="HR64" s="269"/>
      <c r="HS64" s="269"/>
      <c r="HT64" s="269"/>
      <c r="HU64" s="269"/>
      <c r="HV64" s="269"/>
      <c r="HW64" s="269"/>
      <c r="HX64" s="269"/>
      <c r="HY64" s="269"/>
      <c r="HZ64" s="269"/>
      <c r="IA64" s="269"/>
      <c r="IB64" s="269"/>
      <c r="IC64" s="269"/>
      <c r="ID64" s="269"/>
      <c r="IE64" s="269"/>
      <c r="IF64" s="269"/>
      <c r="IG64" s="269"/>
      <c r="IH64" s="269"/>
      <c r="II64" s="269"/>
      <c r="IJ64" s="269"/>
      <c r="IK64" s="269"/>
      <c r="IL64" s="269"/>
      <c r="IM64" s="269"/>
      <c r="IN64" s="269"/>
      <c r="IO64" s="269"/>
      <c r="IP64" s="269"/>
      <c r="IQ64" s="269"/>
      <c r="IR64" s="269"/>
      <c r="IS64" s="269"/>
      <c r="IT64" s="269"/>
      <c r="IU64" s="269"/>
      <c r="IV64" s="269"/>
      <c r="IW64" s="269"/>
      <c r="IX64" s="269"/>
      <c r="IY64" s="269"/>
      <c r="IZ64" s="269"/>
      <c r="JA64" s="269"/>
      <c r="JB64" s="269"/>
      <c r="JC64" s="269"/>
      <c r="JD64" s="269"/>
      <c r="JE64" s="269"/>
      <c r="JF64" s="269"/>
      <c r="JG64" s="269"/>
      <c r="JH64" s="269"/>
      <c r="JI64" s="269"/>
      <c r="JJ64" s="269"/>
      <c r="JK64" s="269"/>
      <c r="JL64" s="269"/>
      <c r="JM64" s="269"/>
      <c r="JN64" s="269"/>
      <c r="JO64" s="269"/>
      <c r="JP64" s="269"/>
      <c r="JQ64" s="269"/>
      <c r="JR64" s="269"/>
      <c r="JS64" s="269"/>
      <c r="JT64" s="269"/>
      <c r="JU64" s="269"/>
      <c r="JV64" s="269"/>
      <c r="JW64" s="269"/>
      <c r="JX64" s="269"/>
      <c r="JY64" s="269"/>
      <c r="JZ64" s="269"/>
      <c r="KA64" s="269"/>
      <c r="KB64" s="269"/>
      <c r="KC64" s="269"/>
      <c r="KD64" s="269"/>
      <c r="KE64" s="269"/>
      <c r="KF64" s="269"/>
      <c r="KG64" s="269"/>
      <c r="KH64" s="269"/>
      <c r="KI64" s="269"/>
      <c r="KJ64" s="269"/>
      <c r="KK64" s="269"/>
      <c r="KL64" s="269"/>
      <c r="KM64" s="269"/>
      <c r="KN64" s="269"/>
      <c r="KO64" s="269"/>
      <c r="KP64" s="269"/>
      <c r="KQ64" s="269"/>
      <c r="KR64" s="269"/>
      <c r="KS64" s="269"/>
      <c r="KT64" s="269"/>
      <c r="KU64" s="269"/>
      <c r="KV64" s="269"/>
      <c r="KW64" s="269"/>
      <c r="KX64" s="269"/>
      <c r="KY64" s="269"/>
      <c r="KZ64" s="269"/>
      <c r="LA64" s="269"/>
      <c r="LB64" s="269"/>
      <c r="LC64" s="269"/>
      <c r="LD64" s="269"/>
      <c r="LE64" s="269"/>
      <c r="LF64" s="269"/>
      <c r="LG64" s="269"/>
      <c r="LH64" s="269"/>
      <c r="LI64" s="269"/>
      <c r="LJ64" s="269"/>
      <c r="LK64" s="269"/>
      <c r="LL64" s="269"/>
      <c r="LM64" s="269"/>
      <c r="LN64" s="269"/>
      <c r="LO64" s="269"/>
      <c r="LP64" s="269"/>
      <c r="LQ64" s="269"/>
      <c r="LR64" s="269"/>
      <c r="LS64" s="269"/>
      <c r="LT64" s="269"/>
      <c r="LU64" s="269"/>
      <c r="LV64" s="269"/>
      <c r="LW64" s="269"/>
      <c r="LX64" s="269"/>
      <c r="LY64" s="269"/>
      <c r="LZ64" s="269"/>
      <c r="MA64" s="269"/>
      <c r="MB64" s="269"/>
      <c r="MC64" s="269"/>
      <c r="MD64" s="269"/>
      <c r="ME64" s="269"/>
      <c r="MF64" s="269"/>
      <c r="MG64" s="269"/>
      <c r="MH64" s="269"/>
      <c r="MI64" s="269"/>
      <c r="MJ64" s="269"/>
      <c r="MK64" s="269"/>
      <c r="ML64" s="269"/>
      <c r="MM64" s="269"/>
      <c r="MN64" s="269"/>
      <c r="MO64" s="269"/>
      <c r="MP64" s="269"/>
      <c r="MQ64" s="269"/>
      <c r="MR64" s="269"/>
      <c r="MS64" s="269"/>
      <c r="MT64" s="269"/>
      <c r="MU64" s="269"/>
      <c r="MV64" s="269"/>
      <c r="MW64" s="269"/>
      <c r="MX64" s="269"/>
      <c r="MY64" s="269"/>
      <c r="MZ64" s="269"/>
      <c r="NA64" s="269"/>
      <c r="NB64" s="269"/>
      <c r="NC64" s="269"/>
      <c r="ND64" s="269"/>
      <c r="NE64" s="269"/>
      <c r="NF64" s="269"/>
      <c r="NG64" s="269"/>
      <c r="NH64" s="269"/>
      <c r="NI64" s="269"/>
      <c r="NJ64" s="269"/>
      <c r="NK64" s="269"/>
      <c r="NL64" s="269"/>
      <c r="NM64" s="269"/>
      <c r="NN64" s="269"/>
      <c r="NO64" s="269"/>
      <c r="NP64" s="269"/>
      <c r="NQ64" s="269"/>
      <c r="NR64" s="269"/>
      <c r="NS64" s="269"/>
      <c r="NT64" s="269"/>
      <c r="NU64" s="269"/>
      <c r="NV64" s="269"/>
      <c r="NW64" s="269"/>
      <c r="NX64" s="269"/>
      <c r="NY64" s="269"/>
      <c r="NZ64" s="269"/>
      <c r="OA64" s="269"/>
      <c r="OB64" s="269"/>
      <c r="OC64" s="269"/>
      <c r="OD64" s="269"/>
      <c r="OE64" s="269"/>
      <c r="OF64" s="269"/>
      <c r="OG64" s="269"/>
      <c r="OH64" s="269"/>
      <c r="OI64" s="269"/>
      <c r="OJ64" s="269"/>
      <c r="OK64" s="269"/>
      <c r="OL64" s="269"/>
      <c r="OM64" s="269"/>
      <c r="ON64" s="269"/>
      <c r="OO64" s="269"/>
      <c r="OP64" s="269"/>
      <c r="OQ64" s="269"/>
      <c r="OR64" s="269"/>
      <c r="OS64" s="269"/>
      <c r="OT64" s="269"/>
      <c r="OU64" s="269"/>
      <c r="OV64" s="269"/>
      <c r="OW64" s="269"/>
      <c r="OX64" s="269"/>
      <c r="OY64" s="269"/>
      <c r="OZ64" s="269"/>
      <c r="PA64" s="269"/>
      <c r="PB64" s="269"/>
      <c r="PC64" s="269"/>
    </row>
    <row r="65" spans="1:419">
      <c r="A65" s="269"/>
      <c r="B65" s="287" t="s">
        <v>32</v>
      </c>
      <c r="C65" s="269"/>
      <c r="D65" s="269"/>
      <c r="E65" s="269"/>
      <c r="F65" s="269"/>
      <c r="G65" s="273">
        <v>-5.9999999999999942E-2</v>
      </c>
      <c r="H65" s="273">
        <v>-0.10619469026548678</v>
      </c>
      <c r="I65" s="273">
        <v>-0.16528925619834711</v>
      </c>
      <c r="J65" s="273">
        <v>-0.22499999999999998</v>
      </c>
      <c r="K65" s="273">
        <v>-8.5106382978723527E-2</v>
      </c>
      <c r="L65" s="274">
        <v>-8.9108910891089188E-2</v>
      </c>
      <c r="M65" s="287" t="s">
        <v>32</v>
      </c>
      <c r="N65" s="269"/>
      <c r="O65" s="269"/>
      <c r="P65" s="269"/>
      <c r="Q65" s="269"/>
      <c r="R65" s="273">
        <v>-2.3377337733773373E-2</v>
      </c>
      <c r="S65" s="273">
        <v>-8.1061863000711054E-2</v>
      </c>
      <c r="T65" s="273">
        <v>-0.13742626174350003</v>
      </c>
      <c r="U65" s="273">
        <v>-0.1901174385109683</v>
      </c>
      <c r="V65" s="273">
        <v>-5.7166995212616145E-2</v>
      </c>
      <c r="W65" s="274">
        <v>-5.9582151147794638E-2</v>
      </c>
      <c r="X65" s="287" t="s">
        <v>32</v>
      </c>
      <c r="Y65" s="269"/>
      <c r="Z65" s="269"/>
      <c r="AA65" s="269"/>
      <c r="AB65" s="269"/>
      <c r="AC65" s="269"/>
      <c r="AD65" s="269"/>
      <c r="AE65" s="269"/>
      <c r="AF65" s="269"/>
      <c r="AG65" s="269"/>
      <c r="AH65" s="269"/>
      <c r="AI65" s="269"/>
      <c r="AJ65" s="269"/>
      <c r="AK65" s="269"/>
      <c r="AL65" s="269"/>
      <c r="AM65" s="269"/>
      <c r="AN65" s="269"/>
      <c r="AO65" s="269"/>
      <c r="AP65" s="269"/>
      <c r="AQ65" s="269"/>
      <c r="AR65" s="269"/>
      <c r="AS65" s="269"/>
      <c r="AT65" s="269"/>
      <c r="AU65" s="269"/>
      <c r="AV65" s="269"/>
      <c r="AW65" s="269"/>
      <c r="AX65" s="269"/>
      <c r="AY65" s="269"/>
      <c r="AZ65" s="269"/>
      <c r="BA65" s="269"/>
      <c r="BB65" s="269"/>
      <c r="BC65" s="269"/>
      <c r="BD65" s="269"/>
      <c r="BE65" s="269"/>
      <c r="BF65" s="269"/>
      <c r="BG65" s="269"/>
      <c r="BH65" s="269"/>
      <c r="BI65" s="269"/>
      <c r="BJ65" s="269"/>
      <c r="BK65" s="269"/>
      <c r="BL65" s="269"/>
      <c r="BM65" s="269"/>
      <c r="BN65" s="269"/>
      <c r="BO65" s="269"/>
      <c r="BP65" s="269"/>
      <c r="BQ65" s="269"/>
      <c r="BR65" s="269"/>
      <c r="BS65" s="269"/>
      <c r="BT65" s="269"/>
      <c r="BU65" s="269"/>
      <c r="BV65" s="269"/>
      <c r="BW65" s="269"/>
      <c r="BX65" s="269"/>
      <c r="BY65" s="269"/>
      <c r="BZ65" s="269"/>
      <c r="CA65" s="269"/>
      <c r="CB65" s="269"/>
      <c r="CC65" s="269"/>
      <c r="CD65" s="269"/>
      <c r="CE65" s="269"/>
      <c r="CF65" s="269"/>
      <c r="CG65" s="269"/>
      <c r="CH65" s="269"/>
      <c r="CI65" s="269"/>
      <c r="CJ65" s="269"/>
      <c r="CK65" s="269"/>
      <c r="CL65" s="269"/>
      <c r="CM65" s="269"/>
      <c r="CN65" s="269"/>
      <c r="CO65" s="269"/>
      <c r="CP65" s="269"/>
      <c r="CQ65" s="269"/>
      <c r="CR65" s="269"/>
      <c r="CS65" s="269"/>
      <c r="CT65" s="269"/>
      <c r="CU65" s="269"/>
      <c r="CV65" s="269"/>
      <c r="CW65" s="269"/>
      <c r="CX65" s="269"/>
      <c r="CY65" s="269"/>
      <c r="CZ65" s="269"/>
      <c r="DA65" s="269"/>
      <c r="DB65" s="269"/>
      <c r="DC65" s="269"/>
      <c r="DD65" s="269"/>
      <c r="DE65" s="269"/>
      <c r="DF65" s="269"/>
      <c r="DG65" s="269"/>
      <c r="DH65" s="269"/>
      <c r="DI65" s="269"/>
      <c r="DJ65" s="269"/>
      <c r="DK65" s="269"/>
      <c r="DL65" s="269"/>
      <c r="DM65" s="269"/>
      <c r="DN65" s="269"/>
      <c r="DO65" s="269"/>
      <c r="DP65" s="269"/>
      <c r="DQ65" s="269"/>
      <c r="DR65" s="269"/>
      <c r="DS65" s="269"/>
      <c r="DT65" s="269"/>
      <c r="DU65" s="269"/>
      <c r="DV65" s="269"/>
      <c r="DW65" s="269"/>
      <c r="DX65" s="269"/>
      <c r="DY65" s="269"/>
      <c r="DZ65" s="269"/>
      <c r="EA65" s="269"/>
      <c r="EB65" s="269"/>
      <c r="EC65" s="269"/>
      <c r="ED65" s="269"/>
      <c r="EE65" s="269"/>
      <c r="EF65" s="269"/>
      <c r="EG65" s="269"/>
      <c r="EH65" s="269"/>
      <c r="EI65" s="269"/>
      <c r="EJ65" s="269"/>
      <c r="EK65" s="269"/>
      <c r="EL65" s="269"/>
      <c r="EM65" s="269"/>
      <c r="EN65" s="269"/>
      <c r="EO65" s="269"/>
      <c r="EP65" s="269"/>
      <c r="EQ65" s="269"/>
      <c r="ER65" s="269"/>
      <c r="ES65" s="269"/>
      <c r="ET65" s="269"/>
      <c r="EU65" s="269"/>
      <c r="EV65" s="269"/>
      <c r="EW65" s="269"/>
      <c r="EX65" s="269"/>
      <c r="EY65" s="269"/>
      <c r="EZ65" s="269"/>
      <c r="FA65" s="269"/>
      <c r="FB65" s="269"/>
      <c r="FC65" s="269"/>
      <c r="FD65" s="269"/>
      <c r="FE65" s="269"/>
      <c r="FF65" s="269"/>
      <c r="FG65" s="269"/>
      <c r="FH65" s="269"/>
      <c r="FI65" s="269"/>
      <c r="FJ65" s="269"/>
      <c r="FK65" s="269"/>
      <c r="FL65" s="269"/>
      <c r="FM65" s="269"/>
      <c r="FN65" s="269"/>
      <c r="FO65" s="269"/>
      <c r="FP65" s="269"/>
      <c r="FQ65" s="269"/>
      <c r="FR65" s="269"/>
      <c r="FS65" s="269"/>
      <c r="FT65" s="269"/>
      <c r="FU65" s="269"/>
      <c r="FV65" s="269"/>
      <c r="FW65" s="269"/>
      <c r="FX65" s="269"/>
      <c r="FY65" s="269"/>
      <c r="FZ65" s="269"/>
      <c r="GA65" s="269"/>
      <c r="GB65" s="269"/>
      <c r="GC65" s="269"/>
      <c r="GD65" s="269"/>
      <c r="GE65" s="269"/>
      <c r="GF65" s="269"/>
      <c r="GG65" s="269"/>
      <c r="GH65" s="269"/>
      <c r="GI65" s="269"/>
      <c r="GJ65" s="269"/>
      <c r="GK65" s="269"/>
      <c r="GL65" s="269"/>
      <c r="GM65" s="269"/>
      <c r="GN65" s="269"/>
      <c r="GO65" s="269"/>
      <c r="GP65" s="269"/>
      <c r="GQ65" s="269"/>
      <c r="GR65" s="269"/>
      <c r="GS65" s="269"/>
      <c r="GT65" s="269"/>
      <c r="GU65" s="269"/>
      <c r="GV65" s="269"/>
      <c r="GW65" s="269"/>
      <c r="GX65" s="269"/>
      <c r="GY65" s="269"/>
      <c r="GZ65" s="269"/>
      <c r="HA65" s="269"/>
      <c r="HB65" s="269"/>
      <c r="HC65" s="269"/>
      <c r="HD65" s="269"/>
      <c r="HE65" s="269"/>
      <c r="HF65" s="269"/>
      <c r="HG65" s="269"/>
      <c r="HH65" s="269"/>
      <c r="HI65" s="269"/>
      <c r="HJ65" s="269"/>
      <c r="HK65" s="269"/>
      <c r="HL65" s="269"/>
      <c r="HM65" s="269"/>
      <c r="HN65" s="269"/>
      <c r="HO65" s="269"/>
      <c r="HP65" s="269"/>
      <c r="HQ65" s="269"/>
      <c r="HR65" s="269"/>
      <c r="HS65" s="269"/>
      <c r="HT65" s="269"/>
      <c r="HU65" s="269"/>
      <c r="HV65" s="269"/>
      <c r="HW65" s="269"/>
      <c r="HX65" s="269"/>
      <c r="HY65" s="269"/>
      <c r="HZ65" s="269"/>
      <c r="IA65" s="269"/>
      <c r="IB65" s="269"/>
      <c r="IC65" s="269"/>
      <c r="ID65" s="269"/>
      <c r="IE65" s="269"/>
      <c r="IF65" s="269"/>
      <c r="IG65" s="269"/>
      <c r="IH65" s="269"/>
      <c r="II65" s="269"/>
      <c r="IJ65" s="269"/>
      <c r="IK65" s="269"/>
      <c r="IL65" s="269"/>
      <c r="IM65" s="269"/>
      <c r="IN65" s="269"/>
      <c r="IO65" s="269"/>
      <c r="IP65" s="269"/>
      <c r="IQ65" s="269"/>
      <c r="IR65" s="269"/>
      <c r="IS65" s="269"/>
      <c r="IT65" s="269"/>
      <c r="IU65" s="269"/>
      <c r="IV65" s="269"/>
      <c r="IW65" s="269"/>
      <c r="IX65" s="269"/>
      <c r="IY65" s="269"/>
      <c r="IZ65" s="269"/>
      <c r="JA65" s="269"/>
      <c r="JB65" s="269"/>
      <c r="JC65" s="269"/>
      <c r="JD65" s="269"/>
      <c r="JE65" s="269"/>
      <c r="JF65" s="269"/>
      <c r="JG65" s="269"/>
      <c r="JH65" s="269"/>
      <c r="JI65" s="269"/>
      <c r="JJ65" s="269"/>
      <c r="JK65" s="269"/>
      <c r="JL65" s="269"/>
      <c r="JM65" s="269"/>
      <c r="JN65" s="269"/>
      <c r="JO65" s="269"/>
      <c r="JP65" s="269"/>
      <c r="JQ65" s="269"/>
      <c r="JR65" s="269"/>
      <c r="JS65" s="269"/>
      <c r="JT65" s="269"/>
      <c r="JU65" s="269"/>
      <c r="JV65" s="269"/>
      <c r="JW65" s="269"/>
      <c r="JX65" s="269"/>
      <c r="JY65" s="269"/>
      <c r="JZ65" s="269"/>
      <c r="KA65" s="269"/>
      <c r="KB65" s="269"/>
      <c r="KC65" s="269"/>
      <c r="KD65" s="269"/>
      <c r="KE65" s="269"/>
      <c r="KF65" s="269"/>
      <c r="KG65" s="269"/>
      <c r="KH65" s="269"/>
      <c r="KI65" s="269"/>
      <c r="KJ65" s="269"/>
      <c r="KK65" s="269"/>
      <c r="KL65" s="269"/>
      <c r="KM65" s="269"/>
      <c r="KN65" s="269"/>
      <c r="KO65" s="269"/>
      <c r="KP65" s="269"/>
      <c r="KQ65" s="269"/>
      <c r="KR65" s="269"/>
      <c r="KS65" s="269"/>
      <c r="KT65" s="269"/>
      <c r="KU65" s="269"/>
      <c r="KV65" s="269"/>
      <c r="KW65" s="269"/>
      <c r="KX65" s="269"/>
      <c r="KY65" s="269"/>
      <c r="KZ65" s="269"/>
      <c r="LA65" s="269"/>
      <c r="LB65" s="269"/>
      <c r="LC65" s="269"/>
      <c r="LD65" s="269"/>
      <c r="LE65" s="269"/>
      <c r="LF65" s="269"/>
      <c r="LG65" s="269"/>
      <c r="LH65" s="269"/>
      <c r="LI65" s="269"/>
      <c r="LJ65" s="269"/>
      <c r="LK65" s="269"/>
      <c r="LL65" s="269"/>
      <c r="LM65" s="269"/>
      <c r="LN65" s="269"/>
      <c r="LO65" s="269"/>
      <c r="LP65" s="269"/>
      <c r="LQ65" s="269"/>
      <c r="LR65" s="269"/>
      <c r="LS65" s="269"/>
      <c r="LT65" s="269"/>
      <c r="LU65" s="269"/>
      <c r="LV65" s="269"/>
      <c r="LW65" s="269"/>
      <c r="LX65" s="269"/>
      <c r="LY65" s="269"/>
      <c r="LZ65" s="269"/>
      <c r="MA65" s="269"/>
      <c r="MB65" s="269"/>
      <c r="MC65" s="269"/>
      <c r="MD65" s="269"/>
      <c r="ME65" s="269"/>
      <c r="MF65" s="269"/>
      <c r="MG65" s="269"/>
      <c r="MH65" s="269"/>
      <c r="MI65" s="269"/>
      <c r="MJ65" s="269"/>
      <c r="MK65" s="269"/>
      <c r="ML65" s="269"/>
      <c r="MM65" s="269"/>
      <c r="MN65" s="269"/>
      <c r="MO65" s="269"/>
      <c r="MP65" s="269"/>
      <c r="MQ65" s="269"/>
      <c r="MR65" s="269"/>
      <c r="MS65" s="269"/>
      <c r="MT65" s="269"/>
      <c r="MU65" s="269"/>
      <c r="MV65" s="269"/>
      <c r="MW65" s="269"/>
      <c r="MX65" s="269"/>
      <c r="MY65" s="269"/>
      <c r="MZ65" s="269"/>
      <c r="NA65" s="269"/>
      <c r="NB65" s="269"/>
      <c r="NC65" s="269"/>
      <c r="ND65" s="269"/>
      <c r="NE65" s="269"/>
      <c r="NF65" s="269"/>
      <c r="NG65" s="269"/>
      <c r="NH65" s="269"/>
      <c r="NI65" s="269"/>
      <c r="NJ65" s="269"/>
      <c r="NK65" s="269"/>
      <c r="NL65" s="269"/>
      <c r="NM65" s="269"/>
      <c r="NN65" s="269"/>
      <c r="NO65" s="269"/>
      <c r="NP65" s="269"/>
      <c r="NQ65" s="269"/>
      <c r="NR65" s="269"/>
      <c r="NS65" s="269"/>
      <c r="NT65" s="269"/>
      <c r="NU65" s="269"/>
      <c r="NV65" s="269"/>
      <c r="NW65" s="269"/>
      <c r="NX65" s="269"/>
      <c r="NY65" s="269"/>
      <c r="NZ65" s="269"/>
      <c r="OA65" s="269"/>
      <c r="OB65" s="269"/>
      <c r="OC65" s="269"/>
      <c r="OD65" s="269"/>
      <c r="OE65" s="269"/>
      <c r="OF65" s="269"/>
      <c r="OG65" s="269"/>
      <c r="OH65" s="269"/>
      <c r="OI65" s="269"/>
      <c r="OJ65" s="269"/>
      <c r="OK65" s="269"/>
      <c r="OL65" s="269"/>
      <c r="OM65" s="269"/>
      <c r="ON65" s="269"/>
      <c r="OO65" s="269"/>
      <c r="OP65" s="269"/>
      <c r="OQ65" s="269"/>
      <c r="OR65" s="269"/>
      <c r="OS65" s="269"/>
      <c r="OT65" s="269"/>
      <c r="OU65" s="269"/>
      <c r="OV65" s="269"/>
      <c r="OW65" s="269"/>
      <c r="OX65" s="269"/>
      <c r="OY65" s="269"/>
      <c r="OZ65" s="269"/>
      <c r="PA65" s="269"/>
      <c r="PB65" s="269"/>
      <c r="PC65" s="269"/>
    </row>
    <row r="66" spans="1:419">
      <c r="A66" s="269"/>
      <c r="B66" s="287" t="s">
        <v>44</v>
      </c>
      <c r="C66" s="269"/>
      <c r="D66" s="269"/>
      <c r="E66" s="269"/>
      <c r="F66" s="269"/>
      <c r="G66" s="273">
        <v>-9.8039215686274495E-2</v>
      </c>
      <c r="H66" s="273">
        <v>-5.8823529411764719E-2</v>
      </c>
      <c r="I66" s="273">
        <v>-0.11949685534591192</v>
      </c>
      <c r="J66" s="273">
        <v>-1.8867924528301772E-2</v>
      </c>
      <c r="K66" s="273">
        <v>-6.5217391304347783E-2</v>
      </c>
      <c r="L66" s="274">
        <v>-0.125</v>
      </c>
      <c r="M66" s="287" t="s">
        <v>44</v>
      </c>
      <c r="N66" s="269"/>
      <c r="O66" s="269"/>
      <c r="P66" s="269"/>
      <c r="Q66" s="269"/>
      <c r="R66" s="273">
        <v>-8.5526315789473673E-2</v>
      </c>
      <c r="S66" s="273">
        <v>-4.6610169491525522E-2</v>
      </c>
      <c r="T66" s="273">
        <v>-7.3770491803278548E-2</v>
      </c>
      <c r="U66" s="273">
        <v>3.7267080745341463E-2</v>
      </c>
      <c r="V66" s="273">
        <v>-2.877697841726623E-2</v>
      </c>
      <c r="W66" s="274">
        <v>-7.5555555555555487E-2</v>
      </c>
      <c r="X66" s="287" t="s">
        <v>44</v>
      </c>
      <c r="Y66" s="269"/>
      <c r="Z66" s="269"/>
      <c r="AA66" s="269"/>
      <c r="AB66" s="269"/>
      <c r="AC66" s="269"/>
      <c r="AD66" s="269"/>
      <c r="AE66" s="269"/>
      <c r="AF66" s="269"/>
      <c r="AG66" s="269"/>
      <c r="AH66" s="269"/>
      <c r="AI66" s="269"/>
      <c r="AJ66" s="269"/>
      <c r="AK66" s="269"/>
      <c r="AL66" s="269"/>
      <c r="AM66" s="269"/>
      <c r="AN66" s="269"/>
      <c r="AO66" s="269"/>
      <c r="AP66" s="269"/>
      <c r="AQ66" s="269"/>
      <c r="AR66" s="269"/>
      <c r="AS66" s="269"/>
      <c r="AT66" s="269"/>
      <c r="AU66" s="269"/>
      <c r="AV66" s="269"/>
      <c r="AW66" s="269"/>
      <c r="AX66" s="269"/>
      <c r="AY66" s="269"/>
      <c r="AZ66" s="269"/>
      <c r="BA66" s="269"/>
      <c r="BB66" s="269"/>
      <c r="BC66" s="269"/>
      <c r="BD66" s="269"/>
      <c r="BE66" s="269"/>
      <c r="BF66" s="269"/>
      <c r="BG66" s="269"/>
      <c r="BH66" s="269"/>
      <c r="BI66" s="269"/>
      <c r="BJ66" s="269"/>
      <c r="BK66" s="269"/>
      <c r="BL66" s="269"/>
      <c r="BM66" s="269"/>
      <c r="BN66" s="269"/>
      <c r="BO66" s="269"/>
      <c r="BP66" s="269"/>
      <c r="BQ66" s="269"/>
      <c r="BR66" s="269"/>
      <c r="BS66" s="269"/>
      <c r="BT66" s="269"/>
      <c r="BU66" s="269"/>
      <c r="BV66" s="269"/>
      <c r="BW66" s="269"/>
      <c r="BX66" s="269"/>
      <c r="BY66" s="269"/>
      <c r="BZ66" s="269"/>
      <c r="CA66" s="269"/>
      <c r="CB66" s="269"/>
      <c r="CC66" s="269"/>
      <c r="CD66" s="269"/>
      <c r="CE66" s="269"/>
      <c r="CF66" s="269"/>
      <c r="CG66" s="269"/>
      <c r="CH66" s="269"/>
      <c r="CI66" s="269"/>
      <c r="CJ66" s="269"/>
      <c r="CK66" s="269"/>
      <c r="CL66" s="269"/>
      <c r="CM66" s="269"/>
      <c r="CN66" s="269"/>
      <c r="CO66" s="269"/>
      <c r="CP66" s="269"/>
      <c r="CQ66" s="269"/>
      <c r="CR66" s="269"/>
      <c r="CS66" s="269"/>
      <c r="CT66" s="269"/>
      <c r="CU66" s="269"/>
      <c r="CV66" s="269"/>
      <c r="CW66" s="269"/>
      <c r="CX66" s="269"/>
      <c r="CY66" s="269"/>
      <c r="CZ66" s="269"/>
      <c r="DA66" s="269"/>
      <c r="DB66" s="269"/>
      <c r="DC66" s="269"/>
      <c r="DD66" s="269"/>
      <c r="DE66" s="269"/>
      <c r="DF66" s="269"/>
      <c r="DG66" s="269"/>
      <c r="DH66" s="269"/>
      <c r="DI66" s="269"/>
      <c r="DJ66" s="269"/>
      <c r="DK66" s="269"/>
      <c r="DL66" s="269"/>
      <c r="DM66" s="269"/>
      <c r="DN66" s="269"/>
      <c r="DO66" s="269"/>
      <c r="DP66" s="269"/>
      <c r="DQ66" s="269"/>
      <c r="DR66" s="269"/>
      <c r="DS66" s="269"/>
      <c r="DT66" s="269"/>
      <c r="DU66" s="269"/>
      <c r="DV66" s="269"/>
      <c r="DW66" s="269"/>
      <c r="DX66" s="269"/>
      <c r="DY66" s="269"/>
      <c r="DZ66" s="269"/>
      <c r="EA66" s="269"/>
      <c r="EB66" s="269"/>
      <c r="EC66" s="269"/>
      <c r="ED66" s="269"/>
      <c r="EE66" s="269"/>
      <c r="EF66" s="269"/>
      <c r="EG66" s="269"/>
      <c r="EH66" s="269"/>
      <c r="EI66" s="269"/>
      <c r="EJ66" s="269"/>
      <c r="EK66" s="269"/>
      <c r="EL66" s="269"/>
      <c r="EM66" s="269"/>
      <c r="EN66" s="269"/>
      <c r="EO66" s="269"/>
      <c r="EP66" s="269"/>
      <c r="EQ66" s="269"/>
      <c r="ER66" s="269"/>
      <c r="ES66" s="269"/>
      <c r="ET66" s="269"/>
      <c r="EU66" s="269"/>
      <c r="EV66" s="269"/>
      <c r="EW66" s="269"/>
      <c r="EX66" s="269"/>
      <c r="EY66" s="269"/>
      <c r="EZ66" s="269"/>
      <c r="FA66" s="269"/>
      <c r="FB66" s="269"/>
      <c r="FC66" s="269"/>
      <c r="FD66" s="269"/>
      <c r="FE66" s="269"/>
      <c r="FF66" s="269"/>
      <c r="FG66" s="269"/>
      <c r="FH66" s="269"/>
      <c r="FI66" s="269"/>
      <c r="FJ66" s="269"/>
      <c r="FK66" s="269"/>
      <c r="FL66" s="269"/>
      <c r="FM66" s="269"/>
      <c r="FN66" s="269"/>
      <c r="FO66" s="269"/>
      <c r="FP66" s="269"/>
      <c r="FQ66" s="269"/>
      <c r="FR66" s="269"/>
      <c r="FS66" s="269"/>
      <c r="FT66" s="269"/>
      <c r="FU66" s="269"/>
      <c r="FV66" s="269"/>
      <c r="FW66" s="269"/>
      <c r="FX66" s="269"/>
      <c r="FY66" s="269"/>
      <c r="FZ66" s="269"/>
      <c r="GA66" s="269"/>
      <c r="GB66" s="269"/>
      <c r="GC66" s="269"/>
      <c r="GD66" s="269"/>
      <c r="GE66" s="269"/>
      <c r="GF66" s="269"/>
      <c r="GG66" s="269"/>
      <c r="GH66" s="269"/>
      <c r="GI66" s="269"/>
      <c r="GJ66" s="269"/>
      <c r="GK66" s="269"/>
      <c r="GL66" s="269"/>
      <c r="GM66" s="269"/>
      <c r="GN66" s="269"/>
      <c r="GO66" s="269"/>
      <c r="GP66" s="269"/>
      <c r="GQ66" s="269"/>
      <c r="GR66" s="269"/>
      <c r="GS66" s="269"/>
      <c r="GT66" s="269"/>
      <c r="GU66" s="269"/>
      <c r="GV66" s="269"/>
      <c r="GW66" s="269"/>
      <c r="GX66" s="269"/>
      <c r="GY66" s="269"/>
      <c r="GZ66" s="269"/>
      <c r="HA66" s="269"/>
      <c r="HB66" s="269"/>
      <c r="HC66" s="269"/>
      <c r="HD66" s="269"/>
      <c r="HE66" s="269"/>
      <c r="HF66" s="269"/>
      <c r="HG66" s="269"/>
      <c r="HH66" s="269"/>
      <c r="HI66" s="269"/>
      <c r="HJ66" s="269"/>
      <c r="HK66" s="269"/>
      <c r="HL66" s="269"/>
      <c r="HM66" s="269"/>
      <c r="HN66" s="269"/>
      <c r="HO66" s="269"/>
      <c r="HP66" s="269"/>
      <c r="HQ66" s="269"/>
      <c r="HR66" s="269"/>
      <c r="HS66" s="269"/>
      <c r="HT66" s="269"/>
      <c r="HU66" s="269"/>
      <c r="HV66" s="269"/>
      <c r="HW66" s="269"/>
      <c r="HX66" s="269"/>
      <c r="HY66" s="269"/>
      <c r="HZ66" s="269"/>
      <c r="IA66" s="269"/>
      <c r="IB66" s="269"/>
      <c r="IC66" s="269"/>
      <c r="ID66" s="269"/>
      <c r="IE66" s="269"/>
      <c r="IF66" s="269"/>
      <c r="IG66" s="269"/>
      <c r="IH66" s="269"/>
      <c r="II66" s="269"/>
      <c r="IJ66" s="269"/>
      <c r="IK66" s="269"/>
      <c r="IL66" s="269"/>
      <c r="IM66" s="269"/>
      <c r="IN66" s="269"/>
      <c r="IO66" s="269"/>
      <c r="IP66" s="269"/>
      <c r="IQ66" s="269"/>
      <c r="IR66" s="269"/>
      <c r="IS66" s="269"/>
      <c r="IT66" s="269"/>
      <c r="IU66" s="269"/>
      <c r="IV66" s="269"/>
      <c r="IW66" s="269"/>
      <c r="IX66" s="269"/>
      <c r="IY66" s="269"/>
      <c r="IZ66" s="269"/>
      <c r="JA66" s="269"/>
      <c r="JB66" s="269"/>
      <c r="JC66" s="269"/>
      <c r="JD66" s="269"/>
      <c r="JE66" s="269"/>
      <c r="JF66" s="269"/>
      <c r="JG66" s="269"/>
      <c r="JH66" s="269"/>
      <c r="JI66" s="269"/>
      <c r="JJ66" s="269"/>
      <c r="JK66" s="269"/>
      <c r="JL66" s="269"/>
      <c r="JM66" s="269"/>
      <c r="JN66" s="269"/>
      <c r="JO66" s="269"/>
      <c r="JP66" s="269"/>
      <c r="JQ66" s="269"/>
      <c r="JR66" s="269"/>
      <c r="JS66" s="269"/>
      <c r="JT66" s="269"/>
      <c r="JU66" s="269"/>
      <c r="JV66" s="269"/>
      <c r="JW66" s="269"/>
      <c r="JX66" s="269"/>
      <c r="JY66" s="269"/>
      <c r="JZ66" s="269"/>
      <c r="KA66" s="269"/>
      <c r="KB66" s="269"/>
      <c r="KC66" s="269"/>
      <c r="KD66" s="269"/>
      <c r="KE66" s="269"/>
      <c r="KF66" s="269"/>
      <c r="KG66" s="269"/>
      <c r="KH66" s="269"/>
      <c r="KI66" s="269"/>
      <c r="KJ66" s="269"/>
      <c r="KK66" s="269"/>
      <c r="KL66" s="269"/>
      <c r="KM66" s="269"/>
      <c r="KN66" s="269"/>
      <c r="KO66" s="269"/>
      <c r="KP66" s="269"/>
      <c r="KQ66" s="269"/>
      <c r="KR66" s="269"/>
      <c r="KS66" s="269"/>
      <c r="KT66" s="269"/>
      <c r="KU66" s="269"/>
      <c r="KV66" s="269"/>
      <c r="KW66" s="269"/>
      <c r="KX66" s="269"/>
      <c r="KY66" s="269"/>
      <c r="KZ66" s="269"/>
      <c r="LA66" s="269"/>
      <c r="LB66" s="269"/>
      <c r="LC66" s="269"/>
      <c r="LD66" s="269"/>
      <c r="LE66" s="269"/>
      <c r="LF66" s="269"/>
      <c r="LG66" s="269"/>
      <c r="LH66" s="269"/>
      <c r="LI66" s="269"/>
      <c r="LJ66" s="269"/>
      <c r="LK66" s="269"/>
      <c r="LL66" s="269"/>
      <c r="LM66" s="269"/>
      <c r="LN66" s="269"/>
      <c r="LO66" s="269"/>
      <c r="LP66" s="269"/>
      <c r="LQ66" s="269"/>
      <c r="LR66" s="269"/>
      <c r="LS66" s="269"/>
      <c r="LT66" s="269"/>
      <c r="LU66" s="269"/>
      <c r="LV66" s="269"/>
      <c r="LW66" s="269"/>
      <c r="LX66" s="269"/>
      <c r="LY66" s="269"/>
      <c r="LZ66" s="269"/>
      <c r="MA66" s="269"/>
      <c r="MB66" s="269"/>
      <c r="MC66" s="269"/>
      <c r="MD66" s="269"/>
      <c r="ME66" s="269"/>
      <c r="MF66" s="269"/>
      <c r="MG66" s="269"/>
      <c r="MH66" s="269"/>
      <c r="MI66" s="269"/>
      <c r="MJ66" s="269"/>
      <c r="MK66" s="269"/>
      <c r="ML66" s="269"/>
      <c r="MM66" s="269"/>
      <c r="MN66" s="269"/>
      <c r="MO66" s="269"/>
      <c r="MP66" s="269"/>
      <c r="MQ66" s="269"/>
      <c r="MR66" s="269"/>
      <c r="MS66" s="269"/>
      <c r="MT66" s="269"/>
      <c r="MU66" s="269"/>
      <c r="MV66" s="269"/>
      <c r="MW66" s="269"/>
      <c r="MX66" s="269"/>
      <c r="MY66" s="269"/>
      <c r="MZ66" s="269"/>
      <c r="NA66" s="269"/>
      <c r="NB66" s="269"/>
      <c r="NC66" s="269"/>
      <c r="ND66" s="269"/>
      <c r="NE66" s="269"/>
      <c r="NF66" s="269"/>
      <c r="NG66" s="269"/>
      <c r="NH66" s="269"/>
      <c r="NI66" s="269"/>
      <c r="NJ66" s="269"/>
      <c r="NK66" s="269"/>
      <c r="NL66" s="269"/>
      <c r="NM66" s="269"/>
      <c r="NN66" s="269"/>
      <c r="NO66" s="269"/>
      <c r="NP66" s="269"/>
      <c r="NQ66" s="269"/>
      <c r="NR66" s="269"/>
      <c r="NS66" s="269"/>
      <c r="NT66" s="269"/>
      <c r="NU66" s="269"/>
      <c r="NV66" s="269"/>
      <c r="NW66" s="269"/>
      <c r="NX66" s="269"/>
      <c r="NY66" s="269"/>
      <c r="NZ66" s="269"/>
      <c r="OA66" s="269"/>
      <c r="OB66" s="269"/>
      <c r="OC66" s="269"/>
      <c r="OD66" s="269"/>
      <c r="OE66" s="269"/>
      <c r="OF66" s="269"/>
      <c r="OG66" s="269"/>
      <c r="OH66" s="269"/>
      <c r="OI66" s="269"/>
      <c r="OJ66" s="269"/>
      <c r="OK66" s="269"/>
      <c r="OL66" s="269"/>
      <c r="OM66" s="269"/>
      <c r="ON66" s="269"/>
      <c r="OO66" s="269"/>
      <c r="OP66" s="269"/>
      <c r="OQ66" s="269"/>
      <c r="OR66" s="269"/>
      <c r="OS66" s="269"/>
      <c r="OT66" s="269"/>
      <c r="OU66" s="269"/>
      <c r="OV66" s="269"/>
      <c r="OW66" s="269"/>
      <c r="OX66" s="269"/>
      <c r="OY66" s="269"/>
      <c r="OZ66" s="269"/>
      <c r="PA66" s="269"/>
      <c r="PB66" s="269"/>
      <c r="PC66" s="269"/>
    </row>
    <row r="67" spans="1:419">
      <c r="A67" s="269"/>
      <c r="B67" s="287" t="s">
        <v>22</v>
      </c>
      <c r="C67" s="269"/>
      <c r="D67" s="269"/>
      <c r="E67" s="269"/>
      <c r="F67" s="269"/>
      <c r="G67" s="273">
        <v>-7.0588235294117618E-2</v>
      </c>
      <c r="H67" s="273">
        <v>-3.3707865168539408E-2</v>
      </c>
      <c r="I67" s="273">
        <v>-5.4347826086956541E-2</v>
      </c>
      <c r="J67" s="273">
        <v>-3.7037037037036979E-2</v>
      </c>
      <c r="K67" s="273">
        <v>-0.10126582278481022</v>
      </c>
      <c r="L67" s="274">
        <v>-0.17441860465116277</v>
      </c>
      <c r="M67" s="287" t="s">
        <v>22</v>
      </c>
      <c r="N67" s="269"/>
      <c r="O67" s="269"/>
      <c r="P67" s="269"/>
      <c r="Q67" s="269"/>
      <c r="R67" s="273">
        <v>-5.2910052910053018E-2</v>
      </c>
      <c r="S67" s="273">
        <v>-7.1174377224199059E-3</v>
      </c>
      <c r="T67" s="273">
        <v>-3.1799729364005547E-2</v>
      </c>
      <c r="U67" s="273">
        <v>9.2879256965945345E-3</v>
      </c>
      <c r="V67" s="273">
        <v>-4.9481245011971264E-2</v>
      </c>
      <c r="W67" s="274">
        <v>-0.14623655913978495</v>
      </c>
      <c r="X67" s="287" t="s">
        <v>22</v>
      </c>
      <c r="Y67" s="269"/>
      <c r="Z67" s="269"/>
      <c r="AA67" s="269"/>
      <c r="AB67" s="269"/>
      <c r="AC67" s="269"/>
      <c r="AD67" s="269"/>
      <c r="AE67" s="269"/>
      <c r="AF67" s="269"/>
      <c r="AG67" s="269"/>
      <c r="AH67" s="269"/>
      <c r="AI67" s="269"/>
      <c r="AJ67" s="269"/>
      <c r="AK67" s="269"/>
      <c r="AL67" s="269"/>
      <c r="AM67" s="269"/>
      <c r="AN67" s="269"/>
      <c r="AO67" s="269"/>
      <c r="AP67" s="269"/>
      <c r="AQ67" s="269"/>
      <c r="AR67" s="269"/>
      <c r="AS67" s="269"/>
      <c r="AT67" s="269"/>
      <c r="AU67" s="269"/>
      <c r="AV67" s="269"/>
      <c r="AW67" s="269"/>
      <c r="AX67" s="269"/>
      <c r="AY67" s="269"/>
      <c r="AZ67" s="269"/>
      <c r="BA67" s="269"/>
      <c r="BB67" s="269"/>
      <c r="BC67" s="269"/>
      <c r="BD67" s="269"/>
      <c r="BE67" s="269"/>
      <c r="BF67" s="269"/>
      <c r="BG67" s="269"/>
      <c r="BH67" s="269"/>
      <c r="BI67" s="269"/>
      <c r="BJ67" s="269"/>
      <c r="BK67" s="269"/>
      <c r="BL67" s="269"/>
      <c r="BM67" s="269"/>
      <c r="BN67" s="269"/>
      <c r="BO67" s="269"/>
      <c r="BP67" s="269"/>
      <c r="BQ67" s="269"/>
      <c r="BR67" s="269"/>
      <c r="BS67" s="269"/>
      <c r="BT67" s="269"/>
      <c r="BU67" s="269"/>
      <c r="BV67" s="269"/>
      <c r="BW67" s="269"/>
      <c r="BX67" s="269"/>
      <c r="BY67" s="269"/>
      <c r="BZ67" s="269"/>
      <c r="CA67" s="269"/>
      <c r="CB67" s="269"/>
      <c r="CC67" s="269"/>
      <c r="CD67" s="269"/>
      <c r="CE67" s="269"/>
      <c r="CF67" s="269"/>
      <c r="CG67" s="269"/>
      <c r="CH67" s="269"/>
      <c r="CI67" s="269"/>
      <c r="CJ67" s="269"/>
      <c r="CK67" s="269"/>
      <c r="CL67" s="269"/>
      <c r="CM67" s="269"/>
      <c r="CN67" s="269"/>
      <c r="CO67" s="269"/>
      <c r="CP67" s="269"/>
      <c r="CQ67" s="269"/>
      <c r="CR67" s="269"/>
      <c r="CS67" s="269"/>
      <c r="CT67" s="269"/>
      <c r="CU67" s="269"/>
      <c r="CV67" s="269"/>
      <c r="CW67" s="269"/>
      <c r="CX67" s="269"/>
      <c r="CY67" s="269"/>
      <c r="CZ67" s="269"/>
      <c r="DA67" s="269"/>
      <c r="DB67" s="269"/>
      <c r="DC67" s="269"/>
      <c r="DD67" s="269"/>
      <c r="DE67" s="269"/>
      <c r="DF67" s="269"/>
      <c r="DG67" s="269"/>
      <c r="DH67" s="269"/>
      <c r="DI67" s="269"/>
      <c r="DJ67" s="269"/>
      <c r="DK67" s="269"/>
      <c r="DL67" s="269"/>
      <c r="DM67" s="269"/>
      <c r="DN67" s="269"/>
      <c r="DO67" s="269"/>
      <c r="DP67" s="269"/>
      <c r="DQ67" s="269"/>
      <c r="DR67" s="269"/>
      <c r="DS67" s="269"/>
      <c r="DT67" s="269"/>
      <c r="DU67" s="269"/>
      <c r="DV67" s="269"/>
      <c r="DW67" s="269"/>
      <c r="DX67" s="269"/>
      <c r="DY67" s="269"/>
      <c r="DZ67" s="269"/>
      <c r="EA67" s="269"/>
      <c r="EB67" s="269"/>
      <c r="EC67" s="269"/>
      <c r="ED67" s="269"/>
      <c r="EE67" s="269"/>
      <c r="EF67" s="269"/>
      <c r="EG67" s="269"/>
      <c r="EH67" s="269"/>
      <c r="EI67" s="269"/>
      <c r="EJ67" s="269"/>
      <c r="EK67" s="269"/>
      <c r="EL67" s="269"/>
      <c r="EM67" s="269"/>
      <c r="EN67" s="269"/>
      <c r="EO67" s="269"/>
      <c r="EP67" s="269"/>
      <c r="EQ67" s="269"/>
      <c r="ER67" s="269"/>
      <c r="ES67" s="269"/>
      <c r="ET67" s="269"/>
      <c r="EU67" s="269"/>
      <c r="EV67" s="269"/>
      <c r="EW67" s="269"/>
      <c r="EX67" s="269"/>
      <c r="EY67" s="269"/>
      <c r="EZ67" s="269"/>
      <c r="FA67" s="269"/>
      <c r="FB67" s="269"/>
      <c r="FC67" s="269"/>
      <c r="FD67" s="269"/>
      <c r="FE67" s="269"/>
      <c r="FF67" s="269"/>
      <c r="FG67" s="269"/>
      <c r="FH67" s="269"/>
      <c r="FI67" s="269"/>
      <c r="FJ67" s="269"/>
      <c r="FK67" s="269"/>
      <c r="FL67" s="269"/>
      <c r="FM67" s="269"/>
      <c r="FN67" s="269"/>
      <c r="FO67" s="269"/>
      <c r="FP67" s="269"/>
      <c r="FQ67" s="269"/>
      <c r="FR67" s="269"/>
      <c r="FS67" s="269"/>
      <c r="FT67" s="269"/>
      <c r="FU67" s="269"/>
      <c r="FV67" s="269"/>
      <c r="FW67" s="269"/>
      <c r="FX67" s="269"/>
      <c r="FY67" s="269"/>
      <c r="FZ67" s="269"/>
      <c r="GA67" s="269"/>
      <c r="GB67" s="269"/>
      <c r="GC67" s="269"/>
      <c r="GD67" s="269"/>
      <c r="GE67" s="269"/>
      <c r="GF67" s="269"/>
      <c r="GG67" s="269"/>
      <c r="GH67" s="269"/>
      <c r="GI67" s="269"/>
      <c r="GJ67" s="269"/>
      <c r="GK67" s="269"/>
      <c r="GL67" s="269"/>
      <c r="GM67" s="269"/>
      <c r="GN67" s="269"/>
      <c r="GO67" s="269"/>
      <c r="GP67" s="269"/>
      <c r="GQ67" s="269"/>
      <c r="GR67" s="269"/>
      <c r="GS67" s="269"/>
      <c r="GT67" s="269"/>
      <c r="GU67" s="269"/>
      <c r="GV67" s="269"/>
      <c r="GW67" s="269"/>
      <c r="GX67" s="269"/>
      <c r="GY67" s="269"/>
      <c r="GZ67" s="269"/>
      <c r="HA67" s="269"/>
      <c r="HB67" s="269"/>
      <c r="HC67" s="269"/>
      <c r="HD67" s="269"/>
      <c r="HE67" s="269"/>
      <c r="HF67" s="269"/>
      <c r="HG67" s="269"/>
      <c r="HH67" s="269"/>
      <c r="HI67" s="269"/>
      <c r="HJ67" s="269"/>
      <c r="HK67" s="269"/>
      <c r="HL67" s="269"/>
      <c r="HM67" s="269"/>
      <c r="HN67" s="269"/>
      <c r="HO67" s="269"/>
      <c r="HP67" s="269"/>
      <c r="HQ67" s="269"/>
      <c r="HR67" s="269"/>
      <c r="HS67" s="269"/>
      <c r="HT67" s="269"/>
      <c r="HU67" s="269"/>
      <c r="HV67" s="269"/>
      <c r="HW67" s="269"/>
      <c r="HX67" s="269"/>
      <c r="HY67" s="269"/>
      <c r="HZ67" s="269"/>
      <c r="IA67" s="269"/>
      <c r="IB67" s="269"/>
      <c r="IC67" s="269"/>
      <c r="ID67" s="269"/>
      <c r="IE67" s="269"/>
      <c r="IF67" s="269"/>
      <c r="IG67" s="269"/>
      <c r="IH67" s="269"/>
      <c r="II67" s="269"/>
      <c r="IJ67" s="269"/>
      <c r="IK67" s="269"/>
      <c r="IL67" s="269"/>
      <c r="IM67" s="269"/>
      <c r="IN67" s="269"/>
      <c r="IO67" s="269"/>
      <c r="IP67" s="269"/>
      <c r="IQ67" s="269"/>
      <c r="IR67" s="269"/>
      <c r="IS67" s="269"/>
      <c r="IT67" s="269"/>
      <c r="IU67" s="269"/>
      <c r="IV67" s="269"/>
      <c r="IW67" s="269"/>
      <c r="IX67" s="269"/>
      <c r="IY67" s="269"/>
      <c r="IZ67" s="269"/>
      <c r="JA67" s="269"/>
      <c r="JB67" s="269"/>
      <c r="JC67" s="269"/>
      <c r="JD67" s="269"/>
      <c r="JE67" s="269"/>
      <c r="JF67" s="269"/>
      <c r="JG67" s="269"/>
      <c r="JH67" s="269"/>
      <c r="JI67" s="269"/>
      <c r="JJ67" s="269"/>
      <c r="JK67" s="269"/>
      <c r="JL67" s="269"/>
      <c r="JM67" s="269"/>
      <c r="JN67" s="269"/>
      <c r="JO67" s="269"/>
      <c r="JP67" s="269"/>
      <c r="JQ67" s="269"/>
      <c r="JR67" s="269"/>
      <c r="JS67" s="269"/>
      <c r="JT67" s="269"/>
      <c r="JU67" s="269"/>
      <c r="JV67" s="269"/>
      <c r="JW67" s="269"/>
      <c r="JX67" s="269"/>
      <c r="JY67" s="269"/>
      <c r="JZ67" s="269"/>
      <c r="KA67" s="269"/>
      <c r="KB67" s="269"/>
      <c r="KC67" s="269"/>
      <c r="KD67" s="269"/>
      <c r="KE67" s="269"/>
      <c r="KF67" s="269"/>
      <c r="KG67" s="269"/>
      <c r="KH67" s="269"/>
      <c r="KI67" s="269"/>
      <c r="KJ67" s="269"/>
      <c r="KK67" s="269"/>
      <c r="KL67" s="269"/>
      <c r="KM67" s="269"/>
      <c r="KN67" s="269"/>
      <c r="KO67" s="269"/>
      <c r="KP67" s="269"/>
      <c r="KQ67" s="269"/>
      <c r="KR67" s="269"/>
      <c r="KS67" s="269"/>
      <c r="KT67" s="269"/>
      <c r="KU67" s="269"/>
      <c r="KV67" s="269"/>
      <c r="KW67" s="269"/>
      <c r="KX67" s="269"/>
      <c r="KY67" s="269"/>
      <c r="KZ67" s="269"/>
      <c r="LA67" s="269"/>
      <c r="LB67" s="269"/>
      <c r="LC67" s="269"/>
      <c r="LD67" s="269"/>
      <c r="LE67" s="269"/>
      <c r="LF67" s="269"/>
      <c r="LG67" s="269"/>
      <c r="LH67" s="269"/>
      <c r="LI67" s="269"/>
      <c r="LJ67" s="269"/>
      <c r="LK67" s="269"/>
      <c r="LL67" s="269"/>
      <c r="LM67" s="269"/>
      <c r="LN67" s="269"/>
      <c r="LO67" s="269"/>
      <c r="LP67" s="269"/>
      <c r="LQ67" s="269"/>
      <c r="LR67" s="269"/>
      <c r="LS67" s="269"/>
      <c r="LT67" s="269"/>
      <c r="LU67" s="269"/>
      <c r="LV67" s="269"/>
      <c r="LW67" s="269"/>
      <c r="LX67" s="269"/>
      <c r="LY67" s="269"/>
      <c r="LZ67" s="269"/>
      <c r="MA67" s="269"/>
      <c r="MB67" s="269"/>
      <c r="MC67" s="269"/>
      <c r="MD67" s="269"/>
      <c r="ME67" s="269"/>
      <c r="MF67" s="269"/>
      <c r="MG67" s="269"/>
      <c r="MH67" s="269"/>
      <c r="MI67" s="269"/>
      <c r="MJ67" s="269"/>
      <c r="MK67" s="269"/>
      <c r="ML67" s="269"/>
      <c r="MM67" s="269"/>
      <c r="MN67" s="269"/>
      <c r="MO67" s="269"/>
      <c r="MP67" s="269"/>
      <c r="MQ67" s="269"/>
      <c r="MR67" s="269"/>
      <c r="MS67" s="269"/>
      <c r="MT67" s="269"/>
      <c r="MU67" s="269"/>
      <c r="MV67" s="269"/>
      <c r="MW67" s="269"/>
      <c r="MX67" s="269"/>
      <c r="MY67" s="269"/>
      <c r="MZ67" s="269"/>
      <c r="NA67" s="269"/>
      <c r="NB67" s="269"/>
      <c r="NC67" s="269"/>
      <c r="ND67" s="269"/>
      <c r="NE67" s="269"/>
      <c r="NF67" s="269"/>
      <c r="NG67" s="269"/>
      <c r="NH67" s="269"/>
      <c r="NI67" s="269"/>
      <c r="NJ67" s="269"/>
      <c r="NK67" s="269"/>
      <c r="NL67" s="269"/>
      <c r="NM67" s="269"/>
      <c r="NN67" s="269"/>
      <c r="NO67" s="269"/>
      <c r="NP67" s="269"/>
      <c r="NQ67" s="269"/>
      <c r="NR67" s="269"/>
      <c r="NS67" s="269"/>
      <c r="NT67" s="269"/>
      <c r="NU67" s="269"/>
      <c r="NV67" s="269"/>
      <c r="NW67" s="269"/>
      <c r="NX67" s="269"/>
      <c r="NY67" s="269"/>
      <c r="NZ67" s="269"/>
      <c r="OA67" s="269"/>
      <c r="OB67" s="269"/>
      <c r="OC67" s="269"/>
      <c r="OD67" s="269"/>
      <c r="OE67" s="269"/>
      <c r="OF67" s="269"/>
      <c r="OG67" s="269"/>
      <c r="OH67" s="269"/>
      <c r="OI67" s="269"/>
      <c r="OJ67" s="269"/>
      <c r="OK67" s="269"/>
      <c r="OL67" s="269"/>
      <c r="OM67" s="269"/>
      <c r="ON67" s="269"/>
      <c r="OO67" s="269"/>
      <c r="OP67" s="269"/>
      <c r="OQ67" s="269"/>
      <c r="OR67" s="269"/>
      <c r="OS67" s="269"/>
      <c r="OT67" s="269"/>
      <c r="OU67" s="269"/>
      <c r="OV67" s="269"/>
      <c r="OW67" s="269"/>
      <c r="OX67" s="269"/>
      <c r="OY67" s="269"/>
      <c r="OZ67" s="269"/>
      <c r="PA67" s="269"/>
      <c r="PB67" s="269"/>
      <c r="PC67" s="269"/>
    </row>
    <row r="68" spans="1:419">
      <c r="A68" s="269"/>
      <c r="B68" s="287" t="s">
        <v>27</v>
      </c>
      <c r="C68" s="269"/>
      <c r="D68" s="269"/>
      <c r="E68" s="269"/>
      <c r="F68" s="269"/>
      <c r="G68" s="273">
        <v>-1.5503875968992276E-2</v>
      </c>
      <c r="H68" s="273">
        <v>7.0422535211267512E-3</v>
      </c>
      <c r="I68" s="273">
        <v>-1.34228187919464E-2</v>
      </c>
      <c r="J68" s="273">
        <v>2.8368794326241176E-2</v>
      </c>
      <c r="K68" s="273">
        <v>8.6614173228346525E-2</v>
      </c>
      <c r="L68" s="275">
        <v>9.0909090909090828E-2</v>
      </c>
      <c r="M68" s="287" t="s">
        <v>27</v>
      </c>
      <c r="N68" s="269"/>
      <c r="O68" s="269"/>
      <c r="P68" s="269"/>
      <c r="Q68" s="269"/>
      <c r="R68" s="273">
        <v>-3.7470725995325527E-4</v>
      </c>
      <c r="S68" s="273">
        <v>3.0659193575372168E-2</v>
      </c>
      <c r="T68" s="273">
        <v>-1.0189285574322415E-3</v>
      </c>
      <c r="U68" s="273">
        <v>3.9698013025262435E-2</v>
      </c>
      <c r="V68" s="273">
        <v>0.10603504826164389</v>
      </c>
      <c r="W68" s="275">
        <v>0.11196785844730339</v>
      </c>
      <c r="X68" s="287" t="s">
        <v>27</v>
      </c>
      <c r="Y68" s="269"/>
      <c r="Z68" s="269"/>
      <c r="AA68" s="269"/>
      <c r="AB68" s="269"/>
      <c r="AC68" s="269"/>
      <c r="AD68" s="269"/>
      <c r="AE68" s="269"/>
      <c r="AF68" s="269"/>
      <c r="AG68" s="269"/>
      <c r="AH68" s="269"/>
      <c r="AI68" s="269"/>
      <c r="AJ68" s="269"/>
      <c r="AK68" s="269"/>
      <c r="AL68" s="269"/>
      <c r="AM68" s="269"/>
      <c r="AN68" s="269"/>
      <c r="AO68" s="269"/>
      <c r="AP68" s="269"/>
      <c r="AQ68" s="269"/>
      <c r="AR68" s="269"/>
      <c r="AS68" s="269"/>
      <c r="AT68" s="269"/>
      <c r="AU68" s="269"/>
      <c r="AV68" s="269"/>
      <c r="AW68" s="269"/>
      <c r="AX68" s="269"/>
      <c r="AY68" s="269"/>
      <c r="AZ68" s="269"/>
      <c r="BA68" s="269"/>
      <c r="BB68" s="269"/>
      <c r="BC68" s="269"/>
      <c r="BD68" s="269"/>
      <c r="BE68" s="269"/>
      <c r="BF68" s="269"/>
      <c r="BG68" s="269"/>
      <c r="BH68" s="269"/>
      <c r="BI68" s="269"/>
      <c r="BJ68" s="269"/>
      <c r="BK68" s="269"/>
      <c r="BL68" s="269"/>
      <c r="BM68" s="269"/>
      <c r="BN68" s="269"/>
      <c r="BO68" s="269"/>
      <c r="BP68" s="269"/>
      <c r="BQ68" s="269"/>
      <c r="BR68" s="269"/>
      <c r="BS68" s="269"/>
      <c r="BT68" s="269"/>
      <c r="BU68" s="269"/>
      <c r="BV68" s="269"/>
      <c r="BW68" s="269"/>
      <c r="BX68" s="269"/>
      <c r="BY68" s="269"/>
      <c r="BZ68" s="269"/>
      <c r="CA68" s="269"/>
      <c r="CB68" s="269"/>
      <c r="CC68" s="269"/>
      <c r="CD68" s="269"/>
      <c r="CE68" s="269"/>
      <c r="CF68" s="269"/>
      <c r="CG68" s="269"/>
      <c r="CH68" s="269"/>
      <c r="CI68" s="269"/>
      <c r="CJ68" s="269"/>
      <c r="CK68" s="269"/>
      <c r="CL68" s="269"/>
      <c r="CM68" s="269"/>
      <c r="CN68" s="269"/>
      <c r="CO68" s="269"/>
      <c r="CP68" s="269"/>
      <c r="CQ68" s="269"/>
      <c r="CR68" s="269"/>
      <c r="CS68" s="269"/>
      <c r="CT68" s="269"/>
      <c r="CU68" s="269"/>
      <c r="CV68" s="269"/>
      <c r="CW68" s="269"/>
      <c r="CX68" s="269"/>
      <c r="CY68" s="269"/>
      <c r="CZ68" s="269"/>
      <c r="DA68" s="269"/>
      <c r="DB68" s="269"/>
      <c r="DC68" s="269"/>
      <c r="DD68" s="269"/>
      <c r="DE68" s="269"/>
      <c r="DF68" s="269"/>
      <c r="DG68" s="269"/>
      <c r="DH68" s="269"/>
      <c r="DI68" s="269"/>
      <c r="DJ68" s="269"/>
      <c r="DK68" s="269"/>
      <c r="DL68" s="269"/>
      <c r="DM68" s="269"/>
      <c r="DN68" s="269"/>
      <c r="DO68" s="269"/>
      <c r="DP68" s="269"/>
      <c r="DQ68" s="269"/>
      <c r="DR68" s="269"/>
      <c r="DS68" s="269"/>
      <c r="DT68" s="269"/>
      <c r="DU68" s="269"/>
      <c r="DV68" s="269"/>
      <c r="DW68" s="269"/>
      <c r="DX68" s="269"/>
      <c r="DY68" s="269"/>
      <c r="DZ68" s="269"/>
      <c r="EA68" s="269"/>
      <c r="EB68" s="269"/>
      <c r="EC68" s="269"/>
      <c r="ED68" s="269"/>
      <c r="EE68" s="269"/>
      <c r="EF68" s="269"/>
      <c r="EG68" s="269"/>
      <c r="EH68" s="269"/>
      <c r="EI68" s="269"/>
      <c r="EJ68" s="269"/>
      <c r="EK68" s="269"/>
      <c r="EL68" s="269"/>
      <c r="EM68" s="269"/>
      <c r="EN68" s="269"/>
      <c r="EO68" s="269"/>
      <c r="EP68" s="269"/>
      <c r="EQ68" s="269"/>
      <c r="ER68" s="269"/>
      <c r="ES68" s="269"/>
      <c r="ET68" s="269"/>
      <c r="EU68" s="269"/>
      <c r="EV68" s="269"/>
      <c r="EW68" s="269"/>
      <c r="EX68" s="269"/>
      <c r="EY68" s="269"/>
      <c r="EZ68" s="269"/>
      <c r="FA68" s="269"/>
      <c r="FB68" s="269"/>
      <c r="FC68" s="269"/>
      <c r="FD68" s="269"/>
      <c r="FE68" s="269"/>
      <c r="FF68" s="269"/>
      <c r="FG68" s="269"/>
      <c r="FH68" s="269"/>
      <c r="FI68" s="269"/>
      <c r="FJ68" s="269"/>
      <c r="FK68" s="269"/>
      <c r="FL68" s="269"/>
      <c r="FM68" s="269"/>
      <c r="FN68" s="269"/>
      <c r="FO68" s="269"/>
      <c r="FP68" s="269"/>
      <c r="FQ68" s="269"/>
      <c r="FR68" s="269"/>
      <c r="FS68" s="269"/>
      <c r="FT68" s="269"/>
      <c r="FU68" s="269"/>
      <c r="FV68" s="269"/>
      <c r="FW68" s="269"/>
      <c r="FX68" s="269"/>
      <c r="FY68" s="269"/>
      <c r="FZ68" s="269"/>
      <c r="GA68" s="269"/>
      <c r="GB68" s="269"/>
      <c r="GC68" s="269"/>
      <c r="GD68" s="269"/>
      <c r="GE68" s="269"/>
      <c r="GF68" s="269"/>
      <c r="GG68" s="269"/>
      <c r="GH68" s="269"/>
      <c r="GI68" s="269"/>
      <c r="GJ68" s="269"/>
      <c r="GK68" s="269"/>
      <c r="GL68" s="269"/>
      <c r="GM68" s="269"/>
      <c r="GN68" s="269"/>
      <c r="GO68" s="269"/>
      <c r="GP68" s="269"/>
      <c r="GQ68" s="269"/>
      <c r="GR68" s="269"/>
      <c r="GS68" s="269"/>
      <c r="GT68" s="269"/>
      <c r="GU68" s="269"/>
      <c r="GV68" s="269"/>
      <c r="GW68" s="269"/>
      <c r="GX68" s="269"/>
      <c r="GY68" s="269"/>
      <c r="GZ68" s="269"/>
      <c r="HA68" s="269"/>
      <c r="HB68" s="269"/>
      <c r="HC68" s="269"/>
      <c r="HD68" s="269"/>
      <c r="HE68" s="269"/>
      <c r="HF68" s="269"/>
      <c r="HG68" s="269"/>
      <c r="HH68" s="269"/>
      <c r="HI68" s="269"/>
      <c r="HJ68" s="269"/>
      <c r="HK68" s="269"/>
      <c r="HL68" s="269"/>
      <c r="HM68" s="269"/>
      <c r="HN68" s="269"/>
      <c r="HO68" s="269"/>
      <c r="HP68" s="269"/>
      <c r="HQ68" s="269"/>
      <c r="HR68" s="269"/>
      <c r="HS68" s="269"/>
      <c r="HT68" s="269"/>
      <c r="HU68" s="269"/>
      <c r="HV68" s="269"/>
      <c r="HW68" s="269"/>
      <c r="HX68" s="269"/>
      <c r="HY68" s="269"/>
      <c r="HZ68" s="269"/>
      <c r="IA68" s="269"/>
      <c r="IB68" s="269"/>
      <c r="IC68" s="269"/>
      <c r="ID68" s="269"/>
      <c r="IE68" s="269"/>
      <c r="IF68" s="269"/>
      <c r="IG68" s="269"/>
      <c r="IH68" s="269"/>
      <c r="II68" s="269"/>
      <c r="IJ68" s="269"/>
      <c r="IK68" s="269"/>
      <c r="IL68" s="269"/>
      <c r="IM68" s="269"/>
      <c r="IN68" s="269"/>
      <c r="IO68" s="269"/>
      <c r="IP68" s="269"/>
      <c r="IQ68" s="269"/>
      <c r="IR68" s="269"/>
      <c r="IS68" s="269"/>
      <c r="IT68" s="269"/>
      <c r="IU68" s="269"/>
      <c r="IV68" s="269"/>
      <c r="IW68" s="269"/>
      <c r="IX68" s="269"/>
      <c r="IY68" s="269"/>
      <c r="IZ68" s="269"/>
      <c r="JA68" s="269"/>
      <c r="JB68" s="269"/>
      <c r="JC68" s="269"/>
      <c r="JD68" s="269"/>
      <c r="JE68" s="269"/>
      <c r="JF68" s="269"/>
      <c r="JG68" s="269"/>
      <c r="JH68" s="269"/>
      <c r="JI68" s="269"/>
      <c r="JJ68" s="269"/>
      <c r="JK68" s="269"/>
      <c r="JL68" s="269"/>
      <c r="JM68" s="269"/>
      <c r="JN68" s="269"/>
      <c r="JO68" s="269"/>
      <c r="JP68" s="269"/>
      <c r="JQ68" s="269"/>
      <c r="JR68" s="269"/>
      <c r="JS68" s="269"/>
      <c r="JT68" s="269"/>
      <c r="JU68" s="269"/>
      <c r="JV68" s="269"/>
      <c r="JW68" s="269"/>
      <c r="JX68" s="269"/>
      <c r="JY68" s="269"/>
      <c r="JZ68" s="269"/>
      <c r="KA68" s="269"/>
      <c r="KB68" s="269"/>
      <c r="KC68" s="269"/>
      <c r="KD68" s="269"/>
      <c r="KE68" s="269"/>
      <c r="KF68" s="269"/>
      <c r="KG68" s="269"/>
      <c r="KH68" s="269"/>
      <c r="KI68" s="269"/>
      <c r="KJ68" s="269"/>
      <c r="KK68" s="269"/>
      <c r="KL68" s="269"/>
      <c r="KM68" s="269"/>
      <c r="KN68" s="269"/>
      <c r="KO68" s="269"/>
      <c r="KP68" s="269"/>
      <c r="KQ68" s="269"/>
      <c r="KR68" s="269"/>
      <c r="KS68" s="269"/>
      <c r="KT68" s="269"/>
      <c r="KU68" s="269"/>
      <c r="KV68" s="269"/>
      <c r="KW68" s="269"/>
      <c r="KX68" s="269"/>
      <c r="KY68" s="269"/>
      <c r="KZ68" s="269"/>
      <c r="LA68" s="269"/>
      <c r="LB68" s="269"/>
      <c r="LC68" s="269"/>
      <c r="LD68" s="269"/>
      <c r="LE68" s="269"/>
      <c r="LF68" s="269"/>
      <c r="LG68" s="269"/>
      <c r="LH68" s="269"/>
      <c r="LI68" s="269"/>
      <c r="LJ68" s="269"/>
      <c r="LK68" s="269"/>
      <c r="LL68" s="269"/>
      <c r="LM68" s="269"/>
      <c r="LN68" s="269"/>
      <c r="LO68" s="269"/>
      <c r="LP68" s="269"/>
      <c r="LQ68" s="269"/>
      <c r="LR68" s="269"/>
      <c r="LS68" s="269"/>
      <c r="LT68" s="269"/>
      <c r="LU68" s="269"/>
      <c r="LV68" s="269"/>
      <c r="LW68" s="269"/>
      <c r="LX68" s="269"/>
      <c r="LY68" s="269"/>
      <c r="LZ68" s="269"/>
      <c r="MA68" s="269"/>
      <c r="MB68" s="269"/>
      <c r="MC68" s="269"/>
      <c r="MD68" s="269"/>
      <c r="ME68" s="269"/>
      <c r="MF68" s="269"/>
      <c r="MG68" s="269"/>
      <c r="MH68" s="269"/>
      <c r="MI68" s="269"/>
      <c r="MJ68" s="269"/>
      <c r="MK68" s="269"/>
      <c r="ML68" s="269"/>
      <c r="MM68" s="269"/>
      <c r="MN68" s="269"/>
      <c r="MO68" s="269"/>
      <c r="MP68" s="269"/>
      <c r="MQ68" s="269"/>
      <c r="MR68" s="269"/>
      <c r="MS68" s="269"/>
      <c r="MT68" s="269"/>
      <c r="MU68" s="269"/>
      <c r="MV68" s="269"/>
      <c r="MW68" s="269"/>
      <c r="MX68" s="269"/>
      <c r="MY68" s="269"/>
      <c r="MZ68" s="269"/>
      <c r="NA68" s="269"/>
      <c r="NB68" s="269"/>
      <c r="NC68" s="269"/>
      <c r="ND68" s="269"/>
      <c r="NE68" s="269"/>
      <c r="NF68" s="269"/>
      <c r="NG68" s="269"/>
      <c r="NH68" s="269"/>
      <c r="NI68" s="269"/>
      <c r="NJ68" s="269"/>
      <c r="NK68" s="269"/>
      <c r="NL68" s="269"/>
      <c r="NM68" s="269"/>
      <c r="NN68" s="269"/>
      <c r="NO68" s="269"/>
      <c r="NP68" s="269"/>
      <c r="NQ68" s="269"/>
      <c r="NR68" s="269"/>
      <c r="NS68" s="269"/>
      <c r="NT68" s="269"/>
      <c r="NU68" s="269"/>
      <c r="NV68" s="269"/>
      <c r="NW68" s="269"/>
      <c r="NX68" s="269"/>
      <c r="NY68" s="269"/>
      <c r="NZ68" s="269"/>
      <c r="OA68" s="269"/>
      <c r="OB68" s="269"/>
      <c r="OC68" s="269"/>
      <c r="OD68" s="269"/>
      <c r="OE68" s="269"/>
      <c r="OF68" s="269"/>
      <c r="OG68" s="269"/>
      <c r="OH68" s="269"/>
      <c r="OI68" s="269"/>
      <c r="OJ68" s="269"/>
      <c r="OK68" s="269"/>
      <c r="OL68" s="269"/>
      <c r="OM68" s="269"/>
      <c r="ON68" s="269"/>
      <c r="OO68" s="269"/>
      <c r="OP68" s="269"/>
      <c r="OQ68" s="269"/>
      <c r="OR68" s="269"/>
      <c r="OS68" s="269"/>
      <c r="OT68" s="269"/>
      <c r="OU68" s="269"/>
      <c r="OV68" s="269"/>
      <c r="OW68" s="269"/>
      <c r="OX68" s="269"/>
      <c r="OY68" s="269"/>
      <c r="OZ68" s="269"/>
      <c r="PA68" s="269"/>
      <c r="PB68" s="269"/>
      <c r="PC68" s="269"/>
    </row>
    <row r="69" spans="1:419">
      <c r="A69" s="269"/>
      <c r="B69" s="287" t="s">
        <v>29</v>
      </c>
      <c r="C69" s="269"/>
      <c r="D69" s="269"/>
      <c r="E69" s="269"/>
      <c r="F69" s="269"/>
      <c r="G69" s="273">
        <v>0.3793103448275863</v>
      </c>
      <c r="H69" s="273">
        <v>5.4054054054053946E-2</v>
      </c>
      <c r="I69" s="273">
        <v>-9.9999999999999978E-2</v>
      </c>
      <c r="J69" s="273">
        <v>-0.28888888888888886</v>
      </c>
      <c r="K69" s="275">
        <v>-0.27500000000000002</v>
      </c>
      <c r="L69" s="274">
        <v>-0.23076923076923073</v>
      </c>
      <c r="M69" s="287" t="s">
        <v>29</v>
      </c>
      <c r="N69" s="269"/>
      <c r="O69" s="269"/>
      <c r="P69" s="269"/>
      <c r="Q69" s="269"/>
      <c r="R69" s="273">
        <v>0.3727272727272728</v>
      </c>
      <c r="S69" s="273">
        <v>3.1578947368420929E-2</v>
      </c>
      <c r="T69" s="273">
        <v>-9.6026490066225101E-2</v>
      </c>
      <c r="U69" s="273">
        <v>-0.29793510324483774</v>
      </c>
      <c r="V69" s="275">
        <v>-0.29801324503311255</v>
      </c>
      <c r="W69" s="274">
        <v>-0.22448979591836726</v>
      </c>
      <c r="X69" s="287" t="s">
        <v>29</v>
      </c>
      <c r="Y69" s="269"/>
      <c r="Z69" s="269"/>
      <c r="AA69" s="269"/>
      <c r="AB69" s="269"/>
      <c r="AC69" s="269"/>
      <c r="AD69" s="269"/>
      <c r="AE69" s="269"/>
      <c r="AF69" s="269"/>
      <c r="AG69" s="269"/>
      <c r="AH69" s="269"/>
      <c r="AI69" s="269"/>
      <c r="AJ69" s="269"/>
      <c r="AK69" s="269"/>
      <c r="AL69" s="269"/>
      <c r="AM69" s="269"/>
      <c r="AN69" s="269"/>
      <c r="AO69" s="269"/>
      <c r="AP69" s="269"/>
      <c r="AQ69" s="269"/>
      <c r="AR69" s="269"/>
      <c r="AS69" s="269"/>
      <c r="AT69" s="269"/>
      <c r="AU69" s="269"/>
      <c r="AV69" s="269"/>
      <c r="AW69" s="269"/>
      <c r="AX69" s="269"/>
      <c r="AY69" s="269"/>
      <c r="AZ69" s="269"/>
      <c r="BA69" s="269"/>
      <c r="BB69" s="269"/>
      <c r="BC69" s="269"/>
      <c r="BD69" s="269"/>
      <c r="BE69" s="269"/>
      <c r="BF69" s="269"/>
      <c r="BG69" s="269"/>
      <c r="BH69" s="269"/>
      <c r="BI69" s="269"/>
      <c r="BJ69" s="269"/>
      <c r="BK69" s="269"/>
      <c r="BL69" s="269"/>
      <c r="BM69" s="269"/>
      <c r="BN69" s="269"/>
      <c r="BO69" s="269"/>
      <c r="BP69" s="269"/>
      <c r="BQ69" s="269"/>
      <c r="BR69" s="269"/>
      <c r="BS69" s="269"/>
      <c r="BT69" s="269"/>
      <c r="BU69" s="269"/>
      <c r="BV69" s="269"/>
      <c r="BW69" s="269"/>
      <c r="BX69" s="269"/>
      <c r="BY69" s="269"/>
      <c r="BZ69" s="269"/>
      <c r="CA69" s="269"/>
      <c r="CB69" s="269"/>
      <c r="CC69" s="269"/>
      <c r="CD69" s="269"/>
      <c r="CE69" s="269"/>
      <c r="CF69" s="269"/>
      <c r="CG69" s="269"/>
      <c r="CH69" s="269"/>
      <c r="CI69" s="269"/>
      <c r="CJ69" s="269"/>
      <c r="CK69" s="269"/>
      <c r="CL69" s="269"/>
      <c r="CM69" s="269"/>
      <c r="CN69" s="269"/>
      <c r="CO69" s="269"/>
      <c r="CP69" s="269"/>
      <c r="CQ69" s="269"/>
      <c r="CR69" s="269"/>
      <c r="CS69" s="269"/>
      <c r="CT69" s="269"/>
      <c r="CU69" s="269"/>
      <c r="CV69" s="269"/>
      <c r="CW69" s="269"/>
      <c r="CX69" s="269"/>
      <c r="CY69" s="269"/>
      <c r="CZ69" s="269"/>
      <c r="DA69" s="269"/>
      <c r="DB69" s="269"/>
      <c r="DC69" s="269"/>
      <c r="DD69" s="269"/>
      <c r="DE69" s="269"/>
      <c r="DF69" s="269"/>
      <c r="DG69" s="269"/>
      <c r="DH69" s="269"/>
      <c r="DI69" s="269"/>
      <c r="DJ69" s="269"/>
      <c r="DK69" s="269"/>
      <c r="DL69" s="269"/>
      <c r="DM69" s="269"/>
      <c r="DN69" s="269"/>
      <c r="DO69" s="269"/>
      <c r="DP69" s="269"/>
      <c r="DQ69" s="269"/>
      <c r="DR69" s="269"/>
      <c r="DS69" s="269"/>
      <c r="DT69" s="269"/>
      <c r="DU69" s="269"/>
      <c r="DV69" s="269"/>
      <c r="DW69" s="269"/>
      <c r="DX69" s="269"/>
      <c r="DY69" s="269"/>
      <c r="DZ69" s="269"/>
      <c r="EA69" s="269"/>
      <c r="EB69" s="269"/>
      <c r="EC69" s="269"/>
      <c r="ED69" s="269"/>
      <c r="EE69" s="269"/>
      <c r="EF69" s="269"/>
      <c r="EG69" s="269"/>
      <c r="EH69" s="269"/>
      <c r="EI69" s="269"/>
      <c r="EJ69" s="269"/>
      <c r="EK69" s="269"/>
      <c r="EL69" s="269"/>
      <c r="EM69" s="269"/>
      <c r="EN69" s="269"/>
      <c r="EO69" s="269"/>
      <c r="EP69" s="269"/>
      <c r="EQ69" s="269"/>
      <c r="ER69" s="269"/>
      <c r="ES69" s="269"/>
      <c r="ET69" s="269"/>
      <c r="EU69" s="269"/>
      <c r="EV69" s="269"/>
      <c r="EW69" s="269"/>
      <c r="EX69" s="269"/>
      <c r="EY69" s="269"/>
      <c r="EZ69" s="269"/>
      <c r="FA69" s="269"/>
      <c r="FB69" s="269"/>
      <c r="FC69" s="269"/>
      <c r="FD69" s="269"/>
      <c r="FE69" s="269"/>
      <c r="FF69" s="269"/>
      <c r="FG69" s="269"/>
      <c r="FH69" s="269"/>
      <c r="FI69" s="269"/>
      <c r="FJ69" s="269"/>
      <c r="FK69" s="269"/>
      <c r="FL69" s="269"/>
      <c r="FM69" s="269"/>
      <c r="FN69" s="269"/>
      <c r="FO69" s="269"/>
      <c r="FP69" s="269"/>
      <c r="FQ69" s="269"/>
      <c r="FR69" s="269"/>
      <c r="FS69" s="269"/>
      <c r="FT69" s="269"/>
      <c r="FU69" s="269"/>
      <c r="FV69" s="269"/>
      <c r="FW69" s="269"/>
      <c r="FX69" s="269"/>
      <c r="FY69" s="269"/>
      <c r="FZ69" s="269"/>
      <c r="GA69" s="269"/>
      <c r="GB69" s="269"/>
      <c r="GC69" s="269"/>
      <c r="GD69" s="269"/>
      <c r="GE69" s="269"/>
      <c r="GF69" s="269"/>
      <c r="GG69" s="269"/>
      <c r="GH69" s="269"/>
      <c r="GI69" s="269"/>
      <c r="GJ69" s="269"/>
      <c r="GK69" s="269"/>
      <c r="GL69" s="269"/>
      <c r="GM69" s="269"/>
      <c r="GN69" s="269"/>
      <c r="GO69" s="269"/>
      <c r="GP69" s="269"/>
      <c r="GQ69" s="269"/>
      <c r="GR69" s="269"/>
      <c r="GS69" s="269"/>
      <c r="GT69" s="269"/>
      <c r="GU69" s="269"/>
      <c r="GV69" s="269"/>
      <c r="GW69" s="269"/>
      <c r="GX69" s="269"/>
      <c r="GY69" s="269"/>
      <c r="GZ69" s="269"/>
      <c r="HA69" s="269"/>
      <c r="HB69" s="269"/>
      <c r="HC69" s="269"/>
      <c r="HD69" s="269"/>
      <c r="HE69" s="269"/>
      <c r="HF69" s="269"/>
      <c r="HG69" s="269"/>
      <c r="HH69" s="269"/>
      <c r="HI69" s="269"/>
      <c r="HJ69" s="269"/>
      <c r="HK69" s="269"/>
      <c r="HL69" s="269"/>
      <c r="HM69" s="269"/>
      <c r="HN69" s="269"/>
      <c r="HO69" s="269"/>
      <c r="HP69" s="269"/>
      <c r="HQ69" s="269"/>
      <c r="HR69" s="269"/>
      <c r="HS69" s="269"/>
      <c r="HT69" s="269"/>
      <c r="HU69" s="269"/>
      <c r="HV69" s="269"/>
      <c r="HW69" s="269"/>
      <c r="HX69" s="269"/>
      <c r="HY69" s="269"/>
      <c r="HZ69" s="269"/>
      <c r="IA69" s="269"/>
      <c r="IB69" s="269"/>
      <c r="IC69" s="269"/>
      <c r="ID69" s="269"/>
      <c r="IE69" s="269"/>
      <c r="IF69" s="269"/>
      <c r="IG69" s="269"/>
      <c r="IH69" s="269"/>
      <c r="II69" s="269"/>
      <c r="IJ69" s="269"/>
      <c r="IK69" s="269"/>
      <c r="IL69" s="269"/>
      <c r="IM69" s="269"/>
      <c r="IN69" s="269"/>
      <c r="IO69" s="269"/>
      <c r="IP69" s="269"/>
      <c r="IQ69" s="269"/>
      <c r="IR69" s="269"/>
      <c r="IS69" s="269"/>
      <c r="IT69" s="269"/>
      <c r="IU69" s="269"/>
      <c r="IV69" s="269"/>
      <c r="IW69" s="269"/>
      <c r="IX69" s="269"/>
      <c r="IY69" s="269"/>
      <c r="IZ69" s="269"/>
      <c r="JA69" s="269"/>
      <c r="JB69" s="269"/>
      <c r="JC69" s="269"/>
      <c r="JD69" s="269"/>
      <c r="JE69" s="269"/>
      <c r="JF69" s="269"/>
      <c r="JG69" s="269"/>
      <c r="JH69" s="269"/>
      <c r="JI69" s="269"/>
      <c r="JJ69" s="269"/>
      <c r="JK69" s="269"/>
      <c r="JL69" s="269"/>
      <c r="JM69" s="269"/>
      <c r="JN69" s="269"/>
      <c r="JO69" s="269"/>
      <c r="JP69" s="269"/>
      <c r="JQ69" s="269"/>
      <c r="JR69" s="269"/>
      <c r="JS69" s="269"/>
      <c r="JT69" s="269"/>
      <c r="JU69" s="269"/>
      <c r="JV69" s="269"/>
      <c r="JW69" s="269"/>
      <c r="JX69" s="269"/>
      <c r="JY69" s="269"/>
      <c r="JZ69" s="269"/>
      <c r="KA69" s="269"/>
      <c r="KB69" s="269"/>
      <c r="KC69" s="269"/>
      <c r="KD69" s="269"/>
      <c r="KE69" s="269"/>
      <c r="KF69" s="269"/>
      <c r="KG69" s="269"/>
      <c r="KH69" s="269"/>
      <c r="KI69" s="269"/>
      <c r="KJ69" s="269"/>
      <c r="KK69" s="269"/>
      <c r="KL69" s="269"/>
      <c r="KM69" s="269"/>
      <c r="KN69" s="269"/>
      <c r="KO69" s="269"/>
      <c r="KP69" s="269"/>
      <c r="KQ69" s="269"/>
      <c r="KR69" s="269"/>
      <c r="KS69" s="269"/>
      <c r="KT69" s="269"/>
      <c r="KU69" s="269"/>
      <c r="KV69" s="269"/>
      <c r="KW69" s="269"/>
      <c r="KX69" s="269"/>
      <c r="KY69" s="269"/>
      <c r="KZ69" s="269"/>
      <c r="LA69" s="269"/>
      <c r="LB69" s="269"/>
      <c r="LC69" s="269"/>
      <c r="LD69" s="269"/>
      <c r="LE69" s="269"/>
      <c r="LF69" s="269"/>
      <c r="LG69" s="269"/>
      <c r="LH69" s="269"/>
      <c r="LI69" s="269"/>
      <c r="LJ69" s="269"/>
      <c r="LK69" s="269"/>
      <c r="LL69" s="269"/>
      <c r="LM69" s="269"/>
      <c r="LN69" s="269"/>
      <c r="LO69" s="269"/>
      <c r="LP69" s="269"/>
      <c r="LQ69" s="269"/>
      <c r="LR69" s="269"/>
      <c r="LS69" s="269"/>
      <c r="LT69" s="269"/>
      <c r="LU69" s="269"/>
      <c r="LV69" s="269"/>
      <c r="LW69" s="269"/>
      <c r="LX69" s="269"/>
      <c r="LY69" s="269"/>
      <c r="LZ69" s="269"/>
      <c r="MA69" s="269"/>
      <c r="MB69" s="269"/>
      <c r="MC69" s="269"/>
      <c r="MD69" s="269"/>
      <c r="ME69" s="269"/>
      <c r="MF69" s="269"/>
      <c r="MG69" s="269"/>
      <c r="MH69" s="269"/>
      <c r="MI69" s="269"/>
      <c r="MJ69" s="269"/>
      <c r="MK69" s="269"/>
      <c r="ML69" s="269"/>
      <c r="MM69" s="269"/>
      <c r="MN69" s="269"/>
      <c r="MO69" s="269"/>
      <c r="MP69" s="269"/>
      <c r="MQ69" s="269"/>
      <c r="MR69" s="269"/>
      <c r="MS69" s="269"/>
      <c r="MT69" s="269"/>
      <c r="MU69" s="269"/>
      <c r="MV69" s="269"/>
      <c r="MW69" s="269"/>
      <c r="MX69" s="269"/>
      <c r="MY69" s="269"/>
      <c r="MZ69" s="269"/>
      <c r="NA69" s="269"/>
      <c r="NB69" s="269"/>
      <c r="NC69" s="269"/>
      <c r="ND69" s="269"/>
      <c r="NE69" s="269"/>
      <c r="NF69" s="269"/>
      <c r="NG69" s="269"/>
      <c r="NH69" s="269"/>
      <c r="NI69" s="269"/>
      <c r="NJ69" s="269"/>
      <c r="NK69" s="269"/>
      <c r="NL69" s="269"/>
      <c r="NM69" s="269"/>
      <c r="NN69" s="269"/>
      <c r="NO69" s="269"/>
      <c r="NP69" s="269"/>
      <c r="NQ69" s="269"/>
      <c r="NR69" s="269"/>
      <c r="NS69" s="269"/>
      <c r="NT69" s="269"/>
      <c r="NU69" s="269"/>
      <c r="NV69" s="269"/>
      <c r="NW69" s="269"/>
      <c r="NX69" s="269"/>
      <c r="NY69" s="269"/>
      <c r="NZ69" s="269"/>
      <c r="OA69" s="269"/>
      <c r="OB69" s="269"/>
      <c r="OC69" s="269"/>
      <c r="OD69" s="269"/>
      <c r="OE69" s="269"/>
      <c r="OF69" s="269"/>
      <c r="OG69" s="269"/>
      <c r="OH69" s="269"/>
      <c r="OI69" s="269"/>
      <c r="OJ69" s="269"/>
      <c r="OK69" s="269"/>
      <c r="OL69" s="269"/>
      <c r="OM69" s="269"/>
      <c r="ON69" s="269"/>
      <c r="OO69" s="269"/>
      <c r="OP69" s="269"/>
      <c r="OQ69" s="269"/>
      <c r="OR69" s="269"/>
      <c r="OS69" s="269"/>
      <c r="OT69" s="269"/>
      <c r="OU69" s="269"/>
      <c r="OV69" s="269"/>
      <c r="OW69" s="269"/>
      <c r="OX69" s="269"/>
      <c r="OY69" s="269"/>
      <c r="OZ69" s="269"/>
      <c r="PA69" s="269"/>
      <c r="PB69" s="269"/>
      <c r="PC69" s="269"/>
    </row>
    <row r="70" spans="1:419">
      <c r="A70" s="269"/>
      <c r="B70" s="287" t="s">
        <v>30</v>
      </c>
      <c r="C70" s="269"/>
      <c r="D70" s="269"/>
      <c r="E70" s="269"/>
      <c r="F70" s="269"/>
      <c r="G70" s="273">
        <v>0</v>
      </c>
      <c r="H70" s="273">
        <v>0.19047619047619047</v>
      </c>
      <c r="I70" s="273">
        <v>-3.8461538461538547E-2</v>
      </c>
      <c r="J70" s="273">
        <v>-0.33333333333333337</v>
      </c>
      <c r="K70" s="275">
        <v>-6.6666666666666763E-2</v>
      </c>
      <c r="L70" s="274">
        <v>-0.24</v>
      </c>
      <c r="M70" s="287" t="s">
        <v>30</v>
      </c>
      <c r="N70" s="269"/>
      <c r="O70" s="269"/>
      <c r="P70" s="269"/>
      <c r="Q70" s="269"/>
      <c r="R70" s="273">
        <v>1.1695906432748426E-2</v>
      </c>
      <c r="S70" s="273">
        <v>0.19665271966527209</v>
      </c>
      <c r="T70" s="273">
        <v>-3.6789297658862852E-2</v>
      </c>
      <c r="U70" s="273">
        <v>-0.3510204081632653</v>
      </c>
      <c r="V70" s="275">
        <v>-8.6705202312138741E-2</v>
      </c>
      <c r="W70" s="274">
        <v>-0.23076923076923084</v>
      </c>
      <c r="X70" s="287" t="s">
        <v>30</v>
      </c>
      <c r="Y70" s="269"/>
      <c r="Z70" s="269"/>
      <c r="AA70" s="269"/>
      <c r="AB70" s="269"/>
      <c r="AC70" s="269"/>
      <c r="AD70" s="269"/>
      <c r="AE70" s="269"/>
      <c r="AF70" s="269"/>
      <c r="AG70" s="269"/>
      <c r="AH70" s="269"/>
      <c r="AI70" s="269"/>
      <c r="AJ70" s="269"/>
      <c r="AK70" s="269"/>
      <c r="AL70" s="269"/>
      <c r="AM70" s="269"/>
      <c r="AN70" s="269"/>
      <c r="AO70" s="269"/>
      <c r="AP70" s="269"/>
      <c r="AQ70" s="269"/>
      <c r="AR70" s="269"/>
      <c r="AS70" s="269"/>
      <c r="AT70" s="269"/>
      <c r="AU70" s="269"/>
      <c r="AV70" s="269"/>
      <c r="AW70" s="269"/>
      <c r="AX70" s="269"/>
      <c r="AY70" s="269"/>
      <c r="AZ70" s="269"/>
      <c r="BA70" s="269"/>
      <c r="BB70" s="269"/>
      <c r="BC70" s="269"/>
      <c r="BD70" s="269"/>
      <c r="BE70" s="269"/>
      <c r="BF70" s="269"/>
      <c r="BG70" s="269"/>
      <c r="BH70" s="269"/>
      <c r="BI70" s="269"/>
      <c r="BJ70" s="269"/>
      <c r="BK70" s="269"/>
      <c r="BL70" s="269"/>
      <c r="BM70" s="269"/>
      <c r="BN70" s="269"/>
      <c r="BO70" s="269"/>
      <c r="BP70" s="269"/>
      <c r="BQ70" s="269"/>
      <c r="BR70" s="269"/>
      <c r="BS70" s="269"/>
      <c r="BT70" s="269"/>
      <c r="BU70" s="269"/>
      <c r="BV70" s="269"/>
      <c r="BW70" s="269"/>
      <c r="BX70" s="269"/>
      <c r="BY70" s="269"/>
      <c r="BZ70" s="269"/>
      <c r="CA70" s="269"/>
      <c r="CB70" s="269"/>
      <c r="CC70" s="269"/>
      <c r="CD70" s="269"/>
      <c r="CE70" s="269"/>
      <c r="CF70" s="269"/>
      <c r="CG70" s="269"/>
      <c r="CH70" s="269"/>
      <c r="CI70" s="269"/>
      <c r="CJ70" s="269"/>
      <c r="CK70" s="269"/>
      <c r="CL70" s="269"/>
      <c r="CM70" s="269"/>
      <c r="CN70" s="269"/>
      <c r="CO70" s="269"/>
      <c r="CP70" s="269"/>
      <c r="CQ70" s="269"/>
      <c r="CR70" s="269"/>
      <c r="CS70" s="269"/>
      <c r="CT70" s="269"/>
      <c r="CU70" s="269"/>
      <c r="CV70" s="269"/>
      <c r="CW70" s="269"/>
      <c r="CX70" s="269"/>
      <c r="CY70" s="269"/>
      <c r="CZ70" s="269"/>
      <c r="DA70" s="269"/>
      <c r="DB70" s="269"/>
      <c r="DC70" s="269"/>
      <c r="DD70" s="269"/>
      <c r="DE70" s="269"/>
      <c r="DF70" s="269"/>
      <c r="DG70" s="269"/>
      <c r="DH70" s="269"/>
      <c r="DI70" s="269"/>
      <c r="DJ70" s="269"/>
      <c r="DK70" s="269"/>
      <c r="DL70" s="269"/>
      <c r="DM70" s="269"/>
      <c r="DN70" s="269"/>
      <c r="DO70" s="269"/>
      <c r="DP70" s="269"/>
      <c r="DQ70" s="269"/>
      <c r="DR70" s="269"/>
      <c r="DS70" s="269"/>
      <c r="DT70" s="269"/>
      <c r="DU70" s="269"/>
      <c r="DV70" s="269"/>
      <c r="DW70" s="269"/>
      <c r="DX70" s="269"/>
      <c r="DY70" s="269"/>
      <c r="DZ70" s="269"/>
      <c r="EA70" s="269"/>
      <c r="EB70" s="269"/>
      <c r="EC70" s="269"/>
      <c r="ED70" s="269"/>
      <c r="EE70" s="269"/>
      <c r="EF70" s="269"/>
      <c r="EG70" s="269"/>
      <c r="EH70" s="269"/>
      <c r="EI70" s="269"/>
      <c r="EJ70" s="269"/>
      <c r="EK70" s="269"/>
      <c r="EL70" s="269"/>
      <c r="EM70" s="269"/>
      <c r="EN70" s="269"/>
      <c r="EO70" s="269"/>
      <c r="EP70" s="269"/>
      <c r="EQ70" s="269"/>
      <c r="ER70" s="269"/>
      <c r="ES70" s="269"/>
      <c r="ET70" s="269"/>
      <c r="EU70" s="269"/>
      <c r="EV70" s="269"/>
      <c r="EW70" s="269"/>
      <c r="EX70" s="269"/>
      <c r="EY70" s="269"/>
      <c r="EZ70" s="269"/>
      <c r="FA70" s="269"/>
      <c r="FB70" s="269"/>
      <c r="FC70" s="269"/>
      <c r="FD70" s="269"/>
      <c r="FE70" s="269"/>
      <c r="FF70" s="269"/>
      <c r="FG70" s="269"/>
      <c r="FH70" s="269"/>
      <c r="FI70" s="269"/>
      <c r="FJ70" s="269"/>
      <c r="FK70" s="269"/>
      <c r="FL70" s="269"/>
      <c r="FM70" s="269"/>
      <c r="FN70" s="269"/>
      <c r="FO70" s="269"/>
      <c r="FP70" s="269"/>
      <c r="FQ70" s="269"/>
      <c r="FR70" s="269"/>
      <c r="FS70" s="269"/>
      <c r="FT70" s="269"/>
      <c r="FU70" s="269"/>
      <c r="FV70" s="269"/>
      <c r="FW70" s="269"/>
      <c r="FX70" s="269"/>
      <c r="FY70" s="269"/>
      <c r="FZ70" s="269"/>
      <c r="GA70" s="269"/>
      <c r="GB70" s="269"/>
      <c r="GC70" s="269"/>
      <c r="GD70" s="269"/>
      <c r="GE70" s="269"/>
      <c r="GF70" s="269"/>
      <c r="GG70" s="269"/>
      <c r="GH70" s="269"/>
      <c r="GI70" s="269"/>
      <c r="GJ70" s="269"/>
      <c r="GK70" s="269"/>
      <c r="GL70" s="269"/>
      <c r="GM70" s="269"/>
      <c r="GN70" s="269"/>
      <c r="GO70" s="269"/>
      <c r="GP70" s="269"/>
      <c r="GQ70" s="269"/>
      <c r="GR70" s="269"/>
      <c r="GS70" s="269"/>
      <c r="GT70" s="269"/>
      <c r="GU70" s="269"/>
      <c r="GV70" s="269"/>
      <c r="GW70" s="269"/>
      <c r="GX70" s="269"/>
      <c r="GY70" s="269"/>
      <c r="GZ70" s="269"/>
      <c r="HA70" s="269"/>
      <c r="HB70" s="269"/>
      <c r="HC70" s="269"/>
      <c r="HD70" s="269"/>
      <c r="HE70" s="269"/>
      <c r="HF70" s="269"/>
      <c r="HG70" s="269"/>
      <c r="HH70" s="269"/>
      <c r="HI70" s="269"/>
      <c r="HJ70" s="269"/>
      <c r="HK70" s="269"/>
      <c r="HL70" s="269"/>
      <c r="HM70" s="269"/>
      <c r="HN70" s="269"/>
      <c r="HO70" s="269"/>
      <c r="HP70" s="269"/>
      <c r="HQ70" s="269"/>
      <c r="HR70" s="269"/>
      <c r="HS70" s="269"/>
      <c r="HT70" s="269"/>
      <c r="HU70" s="269"/>
      <c r="HV70" s="269"/>
      <c r="HW70" s="269"/>
      <c r="HX70" s="269"/>
      <c r="HY70" s="269"/>
      <c r="HZ70" s="269"/>
      <c r="IA70" s="269"/>
      <c r="IB70" s="269"/>
      <c r="IC70" s="269"/>
      <c r="ID70" s="269"/>
      <c r="IE70" s="269"/>
      <c r="IF70" s="269"/>
      <c r="IG70" s="269"/>
      <c r="IH70" s="269"/>
      <c r="II70" s="269"/>
      <c r="IJ70" s="269"/>
      <c r="IK70" s="269"/>
      <c r="IL70" s="269"/>
      <c r="IM70" s="269"/>
      <c r="IN70" s="269"/>
      <c r="IO70" s="269"/>
      <c r="IP70" s="269"/>
      <c r="IQ70" s="269"/>
      <c r="IR70" s="269"/>
      <c r="IS70" s="269"/>
      <c r="IT70" s="269"/>
      <c r="IU70" s="269"/>
      <c r="IV70" s="269"/>
      <c r="IW70" s="269"/>
      <c r="IX70" s="269"/>
      <c r="IY70" s="269"/>
      <c r="IZ70" s="269"/>
      <c r="JA70" s="269"/>
      <c r="JB70" s="269"/>
      <c r="JC70" s="269"/>
      <c r="JD70" s="269"/>
      <c r="JE70" s="269"/>
      <c r="JF70" s="269"/>
      <c r="JG70" s="269"/>
      <c r="JH70" s="269"/>
      <c r="JI70" s="269"/>
      <c r="JJ70" s="269"/>
      <c r="JK70" s="269"/>
      <c r="JL70" s="269"/>
      <c r="JM70" s="269"/>
      <c r="JN70" s="269"/>
      <c r="JO70" s="269"/>
      <c r="JP70" s="269"/>
      <c r="JQ70" s="269"/>
      <c r="JR70" s="269"/>
      <c r="JS70" s="269"/>
      <c r="JT70" s="269"/>
      <c r="JU70" s="269"/>
      <c r="JV70" s="269"/>
      <c r="JW70" s="269"/>
      <c r="JX70" s="269"/>
      <c r="JY70" s="269"/>
      <c r="JZ70" s="269"/>
      <c r="KA70" s="269"/>
      <c r="KB70" s="269"/>
      <c r="KC70" s="269"/>
      <c r="KD70" s="269"/>
      <c r="KE70" s="269"/>
      <c r="KF70" s="269"/>
      <c r="KG70" s="269"/>
      <c r="KH70" s="269"/>
      <c r="KI70" s="269"/>
      <c r="KJ70" s="269"/>
      <c r="KK70" s="269"/>
      <c r="KL70" s="269"/>
      <c r="KM70" s="269"/>
      <c r="KN70" s="269"/>
      <c r="KO70" s="269"/>
      <c r="KP70" s="269"/>
      <c r="KQ70" s="269"/>
      <c r="KR70" s="269"/>
      <c r="KS70" s="269"/>
      <c r="KT70" s="269"/>
      <c r="KU70" s="269"/>
      <c r="KV70" s="269"/>
      <c r="KW70" s="269"/>
      <c r="KX70" s="269"/>
      <c r="KY70" s="269"/>
      <c r="KZ70" s="269"/>
      <c r="LA70" s="269"/>
      <c r="LB70" s="269"/>
      <c r="LC70" s="269"/>
      <c r="LD70" s="269"/>
      <c r="LE70" s="269"/>
      <c r="LF70" s="269"/>
      <c r="LG70" s="269"/>
      <c r="LH70" s="269"/>
      <c r="LI70" s="269"/>
      <c r="LJ70" s="269"/>
      <c r="LK70" s="269"/>
      <c r="LL70" s="269"/>
      <c r="LM70" s="269"/>
      <c r="LN70" s="269"/>
      <c r="LO70" s="269"/>
      <c r="LP70" s="269"/>
      <c r="LQ70" s="269"/>
      <c r="LR70" s="269"/>
      <c r="LS70" s="269"/>
      <c r="LT70" s="269"/>
      <c r="LU70" s="269"/>
      <c r="LV70" s="269"/>
      <c r="LW70" s="269"/>
      <c r="LX70" s="269"/>
      <c r="LY70" s="269"/>
      <c r="LZ70" s="269"/>
      <c r="MA70" s="269"/>
      <c r="MB70" s="269"/>
      <c r="MC70" s="269"/>
      <c r="MD70" s="269"/>
      <c r="ME70" s="269"/>
      <c r="MF70" s="269"/>
      <c r="MG70" s="269"/>
      <c r="MH70" s="269"/>
      <c r="MI70" s="269"/>
      <c r="MJ70" s="269"/>
      <c r="MK70" s="269"/>
      <c r="ML70" s="269"/>
      <c r="MM70" s="269"/>
      <c r="MN70" s="269"/>
      <c r="MO70" s="269"/>
      <c r="MP70" s="269"/>
      <c r="MQ70" s="269"/>
      <c r="MR70" s="269"/>
      <c r="MS70" s="269"/>
      <c r="MT70" s="269"/>
      <c r="MU70" s="269"/>
      <c r="MV70" s="269"/>
      <c r="MW70" s="269"/>
      <c r="MX70" s="269"/>
      <c r="MY70" s="269"/>
      <c r="MZ70" s="269"/>
      <c r="NA70" s="269"/>
      <c r="NB70" s="269"/>
      <c r="NC70" s="269"/>
      <c r="ND70" s="269"/>
      <c r="NE70" s="269"/>
      <c r="NF70" s="269"/>
      <c r="NG70" s="269"/>
      <c r="NH70" s="269"/>
      <c r="NI70" s="269"/>
      <c r="NJ70" s="269"/>
      <c r="NK70" s="269"/>
      <c r="NL70" s="269"/>
      <c r="NM70" s="269"/>
      <c r="NN70" s="269"/>
      <c r="NO70" s="269"/>
      <c r="NP70" s="269"/>
      <c r="NQ70" s="269"/>
      <c r="NR70" s="269"/>
      <c r="NS70" s="269"/>
      <c r="NT70" s="269"/>
      <c r="NU70" s="269"/>
      <c r="NV70" s="269"/>
      <c r="NW70" s="269"/>
      <c r="NX70" s="269"/>
      <c r="NY70" s="269"/>
      <c r="NZ70" s="269"/>
      <c r="OA70" s="269"/>
      <c r="OB70" s="269"/>
      <c r="OC70" s="269"/>
      <c r="OD70" s="269"/>
      <c r="OE70" s="269"/>
      <c r="OF70" s="269"/>
      <c r="OG70" s="269"/>
      <c r="OH70" s="269"/>
      <c r="OI70" s="269"/>
      <c r="OJ70" s="269"/>
      <c r="OK70" s="269"/>
      <c r="OL70" s="269"/>
      <c r="OM70" s="269"/>
      <c r="ON70" s="269"/>
      <c r="OO70" s="269"/>
      <c r="OP70" s="269"/>
      <c r="OQ70" s="269"/>
      <c r="OR70" s="269"/>
      <c r="OS70" s="269"/>
      <c r="OT70" s="269"/>
      <c r="OU70" s="269"/>
      <c r="OV70" s="269"/>
      <c r="OW70" s="269"/>
      <c r="OX70" s="269"/>
      <c r="OY70" s="269"/>
      <c r="OZ70" s="269"/>
      <c r="PA70" s="269"/>
      <c r="PB70" s="269"/>
      <c r="PC70" s="269"/>
    </row>
    <row r="71" spans="1:419">
      <c r="A71" s="269"/>
      <c r="B71" s="287" t="s">
        <v>31</v>
      </c>
      <c r="C71" s="269"/>
      <c r="D71" s="269"/>
      <c r="E71" s="269"/>
      <c r="F71" s="269"/>
      <c r="G71" s="273">
        <v>-4.49438202247191E-2</v>
      </c>
      <c r="H71" s="273">
        <v>-0.19000000000000006</v>
      </c>
      <c r="I71" s="273">
        <v>-0.16239316239316226</v>
      </c>
      <c r="J71" s="273">
        <v>-9.6153846153846145E-2</v>
      </c>
      <c r="K71" s="273">
        <v>3.529411764705892E-2</v>
      </c>
      <c r="L71" s="274">
        <v>0.18518518518518512</v>
      </c>
      <c r="M71" s="287" t="s">
        <v>31</v>
      </c>
      <c r="N71" s="269"/>
      <c r="O71" s="269"/>
      <c r="P71" s="269"/>
      <c r="Q71" s="269"/>
      <c r="R71" s="273">
        <v>-1.9900497512437942E-2</v>
      </c>
      <c r="S71" s="273">
        <v>-0.19913419913419916</v>
      </c>
      <c r="T71" s="273">
        <v>-0.15151515151515149</v>
      </c>
      <c r="U71" s="273">
        <v>-7.5949367088607667E-2</v>
      </c>
      <c r="V71" s="273">
        <v>7.6142131979695327E-2</v>
      </c>
      <c r="W71" s="274">
        <v>0.2432432432432432</v>
      </c>
      <c r="X71" s="287" t="s">
        <v>31</v>
      </c>
      <c r="Y71" s="269"/>
      <c r="Z71" s="269"/>
      <c r="AA71" s="269"/>
      <c r="AB71" s="269"/>
      <c r="AC71" s="269"/>
      <c r="AD71" s="269"/>
      <c r="AE71" s="269"/>
      <c r="AF71" s="269"/>
      <c r="AG71" s="269"/>
      <c r="AH71" s="269"/>
      <c r="AI71" s="269"/>
      <c r="AJ71" s="269"/>
      <c r="AK71" s="269"/>
      <c r="AL71" s="269"/>
      <c r="AM71" s="269"/>
      <c r="AN71" s="269"/>
      <c r="AO71" s="269"/>
      <c r="AP71" s="269"/>
      <c r="AQ71" s="269"/>
      <c r="AR71" s="269"/>
      <c r="AS71" s="269"/>
      <c r="AT71" s="269"/>
      <c r="AU71" s="269"/>
      <c r="AV71" s="269"/>
      <c r="AW71" s="269"/>
      <c r="AX71" s="269"/>
      <c r="AY71" s="269"/>
      <c r="AZ71" s="269"/>
      <c r="BA71" s="269"/>
      <c r="BB71" s="269"/>
      <c r="BC71" s="269"/>
      <c r="BD71" s="269"/>
      <c r="BE71" s="269"/>
      <c r="BF71" s="269"/>
      <c r="BG71" s="269"/>
      <c r="BH71" s="269"/>
      <c r="BI71" s="269"/>
      <c r="BJ71" s="269"/>
      <c r="BK71" s="269"/>
      <c r="BL71" s="269"/>
      <c r="BM71" s="269"/>
      <c r="BN71" s="269"/>
      <c r="BO71" s="269"/>
      <c r="BP71" s="269"/>
      <c r="BQ71" s="269"/>
      <c r="BR71" s="269"/>
      <c r="BS71" s="269"/>
      <c r="BT71" s="269"/>
      <c r="BU71" s="269"/>
      <c r="BV71" s="269"/>
      <c r="BW71" s="269"/>
      <c r="BX71" s="269"/>
      <c r="BY71" s="269"/>
      <c r="BZ71" s="269"/>
      <c r="CA71" s="269"/>
      <c r="CB71" s="269"/>
      <c r="CC71" s="269"/>
      <c r="CD71" s="269"/>
      <c r="CE71" s="269"/>
      <c r="CF71" s="269"/>
      <c r="CG71" s="269"/>
      <c r="CH71" s="269"/>
      <c r="CI71" s="269"/>
      <c r="CJ71" s="269"/>
      <c r="CK71" s="269"/>
      <c r="CL71" s="269"/>
      <c r="CM71" s="269"/>
      <c r="CN71" s="269"/>
      <c r="CO71" s="269"/>
      <c r="CP71" s="269"/>
      <c r="CQ71" s="269"/>
      <c r="CR71" s="269"/>
      <c r="CS71" s="269"/>
      <c r="CT71" s="269"/>
      <c r="CU71" s="269"/>
      <c r="CV71" s="269"/>
      <c r="CW71" s="269"/>
      <c r="CX71" s="269"/>
      <c r="CY71" s="269"/>
      <c r="CZ71" s="269"/>
      <c r="DA71" s="269"/>
      <c r="DB71" s="269"/>
      <c r="DC71" s="269"/>
      <c r="DD71" s="269"/>
      <c r="DE71" s="269"/>
      <c r="DF71" s="269"/>
      <c r="DG71" s="269"/>
      <c r="DH71" s="269"/>
      <c r="DI71" s="269"/>
      <c r="DJ71" s="269"/>
      <c r="DK71" s="269"/>
      <c r="DL71" s="269"/>
      <c r="DM71" s="269"/>
      <c r="DN71" s="269"/>
      <c r="DO71" s="269"/>
      <c r="DP71" s="269"/>
      <c r="DQ71" s="269"/>
      <c r="DR71" s="269"/>
      <c r="DS71" s="269"/>
      <c r="DT71" s="269"/>
      <c r="DU71" s="269"/>
      <c r="DV71" s="269"/>
      <c r="DW71" s="269"/>
      <c r="DX71" s="269"/>
      <c r="DY71" s="269"/>
      <c r="DZ71" s="269"/>
      <c r="EA71" s="269"/>
      <c r="EB71" s="269"/>
      <c r="EC71" s="269"/>
      <c r="ED71" s="269"/>
      <c r="EE71" s="269"/>
      <c r="EF71" s="269"/>
      <c r="EG71" s="269"/>
      <c r="EH71" s="269"/>
      <c r="EI71" s="269"/>
      <c r="EJ71" s="269"/>
      <c r="EK71" s="269"/>
      <c r="EL71" s="269"/>
      <c r="EM71" s="269"/>
      <c r="EN71" s="269"/>
      <c r="EO71" s="269"/>
      <c r="EP71" s="269"/>
      <c r="EQ71" s="269"/>
      <c r="ER71" s="269"/>
      <c r="ES71" s="269"/>
      <c r="ET71" s="269"/>
      <c r="EU71" s="269"/>
      <c r="EV71" s="269"/>
      <c r="EW71" s="269"/>
      <c r="EX71" s="269"/>
      <c r="EY71" s="269"/>
      <c r="EZ71" s="269"/>
      <c r="FA71" s="269"/>
      <c r="FB71" s="269"/>
      <c r="FC71" s="269"/>
      <c r="FD71" s="269"/>
      <c r="FE71" s="269"/>
      <c r="FF71" s="269"/>
      <c r="FG71" s="269"/>
      <c r="FH71" s="269"/>
      <c r="FI71" s="269"/>
      <c r="FJ71" s="269"/>
      <c r="FK71" s="269"/>
      <c r="FL71" s="269"/>
      <c r="FM71" s="269"/>
      <c r="FN71" s="269"/>
      <c r="FO71" s="269"/>
      <c r="FP71" s="269"/>
      <c r="FQ71" s="269"/>
      <c r="FR71" s="269"/>
      <c r="FS71" s="269"/>
      <c r="FT71" s="269"/>
      <c r="FU71" s="269"/>
      <c r="FV71" s="269"/>
      <c r="FW71" s="269"/>
      <c r="FX71" s="269"/>
      <c r="FY71" s="269"/>
      <c r="FZ71" s="269"/>
      <c r="GA71" s="269"/>
      <c r="GB71" s="269"/>
      <c r="GC71" s="269"/>
      <c r="GD71" s="269"/>
      <c r="GE71" s="269"/>
      <c r="GF71" s="269"/>
      <c r="GG71" s="269"/>
      <c r="GH71" s="269"/>
      <c r="GI71" s="269"/>
      <c r="GJ71" s="269"/>
      <c r="GK71" s="269"/>
      <c r="GL71" s="269"/>
      <c r="GM71" s="269"/>
      <c r="GN71" s="269"/>
      <c r="GO71" s="269"/>
      <c r="GP71" s="269"/>
      <c r="GQ71" s="269"/>
      <c r="GR71" s="269"/>
      <c r="GS71" s="269"/>
      <c r="GT71" s="269"/>
      <c r="GU71" s="269"/>
      <c r="GV71" s="269"/>
      <c r="GW71" s="269"/>
      <c r="GX71" s="269"/>
      <c r="GY71" s="269"/>
      <c r="GZ71" s="269"/>
      <c r="HA71" s="269"/>
      <c r="HB71" s="269"/>
      <c r="HC71" s="269"/>
      <c r="HD71" s="269"/>
      <c r="HE71" s="269"/>
      <c r="HF71" s="269"/>
      <c r="HG71" s="269"/>
      <c r="HH71" s="269"/>
      <c r="HI71" s="269"/>
      <c r="HJ71" s="269"/>
      <c r="HK71" s="269"/>
      <c r="HL71" s="269"/>
      <c r="HM71" s="269"/>
      <c r="HN71" s="269"/>
      <c r="HO71" s="269"/>
      <c r="HP71" s="269"/>
      <c r="HQ71" s="269"/>
      <c r="HR71" s="269"/>
      <c r="HS71" s="269"/>
      <c r="HT71" s="269"/>
      <c r="HU71" s="269"/>
      <c r="HV71" s="269"/>
      <c r="HW71" s="269"/>
      <c r="HX71" s="269"/>
      <c r="HY71" s="269"/>
      <c r="HZ71" s="269"/>
      <c r="IA71" s="269"/>
      <c r="IB71" s="269"/>
      <c r="IC71" s="269"/>
      <c r="ID71" s="269"/>
      <c r="IE71" s="269"/>
      <c r="IF71" s="269"/>
      <c r="IG71" s="269"/>
      <c r="IH71" s="269"/>
      <c r="II71" s="269"/>
      <c r="IJ71" s="269"/>
      <c r="IK71" s="269"/>
      <c r="IL71" s="269"/>
      <c r="IM71" s="269"/>
      <c r="IN71" s="269"/>
      <c r="IO71" s="269"/>
      <c r="IP71" s="269"/>
      <c r="IQ71" s="269"/>
      <c r="IR71" s="269"/>
      <c r="IS71" s="269"/>
      <c r="IT71" s="269"/>
      <c r="IU71" s="269"/>
      <c r="IV71" s="269"/>
      <c r="IW71" s="269"/>
      <c r="IX71" s="269"/>
      <c r="IY71" s="269"/>
      <c r="IZ71" s="269"/>
      <c r="JA71" s="269"/>
      <c r="JB71" s="269"/>
      <c r="JC71" s="269"/>
      <c r="JD71" s="269"/>
      <c r="JE71" s="269"/>
      <c r="JF71" s="269"/>
      <c r="JG71" s="269"/>
      <c r="JH71" s="269"/>
      <c r="JI71" s="269"/>
      <c r="JJ71" s="269"/>
      <c r="JK71" s="269"/>
      <c r="JL71" s="269"/>
      <c r="JM71" s="269"/>
      <c r="JN71" s="269"/>
      <c r="JO71" s="269"/>
      <c r="JP71" s="269"/>
      <c r="JQ71" s="269"/>
      <c r="JR71" s="269"/>
      <c r="JS71" s="269"/>
      <c r="JT71" s="269"/>
      <c r="JU71" s="269"/>
      <c r="JV71" s="269"/>
      <c r="JW71" s="269"/>
      <c r="JX71" s="269"/>
      <c r="JY71" s="269"/>
      <c r="JZ71" s="269"/>
      <c r="KA71" s="269"/>
      <c r="KB71" s="269"/>
      <c r="KC71" s="269"/>
      <c r="KD71" s="269"/>
      <c r="KE71" s="269"/>
      <c r="KF71" s="269"/>
      <c r="KG71" s="269"/>
      <c r="KH71" s="269"/>
      <c r="KI71" s="269"/>
      <c r="KJ71" s="269"/>
      <c r="KK71" s="269"/>
      <c r="KL71" s="269"/>
      <c r="KM71" s="269"/>
      <c r="KN71" s="269"/>
      <c r="KO71" s="269"/>
      <c r="KP71" s="269"/>
      <c r="KQ71" s="269"/>
      <c r="KR71" s="269"/>
      <c r="KS71" s="269"/>
      <c r="KT71" s="269"/>
      <c r="KU71" s="269"/>
      <c r="KV71" s="269"/>
      <c r="KW71" s="269"/>
      <c r="KX71" s="269"/>
      <c r="KY71" s="269"/>
      <c r="KZ71" s="269"/>
      <c r="LA71" s="269"/>
      <c r="LB71" s="269"/>
      <c r="LC71" s="269"/>
      <c r="LD71" s="269"/>
      <c r="LE71" s="269"/>
      <c r="LF71" s="269"/>
      <c r="LG71" s="269"/>
      <c r="LH71" s="269"/>
      <c r="LI71" s="269"/>
      <c r="LJ71" s="269"/>
      <c r="LK71" s="269"/>
      <c r="LL71" s="269"/>
      <c r="LM71" s="269"/>
      <c r="LN71" s="269"/>
      <c r="LO71" s="269"/>
      <c r="LP71" s="269"/>
      <c r="LQ71" s="269"/>
      <c r="LR71" s="269"/>
      <c r="LS71" s="269"/>
      <c r="LT71" s="269"/>
      <c r="LU71" s="269"/>
      <c r="LV71" s="269"/>
      <c r="LW71" s="269"/>
      <c r="LX71" s="269"/>
      <c r="LY71" s="269"/>
      <c r="LZ71" s="269"/>
      <c r="MA71" s="269"/>
      <c r="MB71" s="269"/>
      <c r="MC71" s="269"/>
      <c r="MD71" s="269"/>
      <c r="ME71" s="269"/>
      <c r="MF71" s="269"/>
      <c r="MG71" s="269"/>
      <c r="MH71" s="269"/>
      <c r="MI71" s="269"/>
      <c r="MJ71" s="269"/>
      <c r="MK71" s="269"/>
      <c r="ML71" s="269"/>
      <c r="MM71" s="269"/>
      <c r="MN71" s="269"/>
      <c r="MO71" s="269"/>
      <c r="MP71" s="269"/>
      <c r="MQ71" s="269"/>
      <c r="MR71" s="269"/>
      <c r="MS71" s="269"/>
      <c r="MT71" s="269"/>
      <c r="MU71" s="269"/>
      <c r="MV71" s="269"/>
      <c r="MW71" s="269"/>
      <c r="MX71" s="269"/>
      <c r="MY71" s="269"/>
      <c r="MZ71" s="269"/>
      <c r="NA71" s="269"/>
      <c r="NB71" s="269"/>
      <c r="NC71" s="269"/>
      <c r="ND71" s="269"/>
      <c r="NE71" s="269"/>
      <c r="NF71" s="269"/>
      <c r="NG71" s="269"/>
      <c r="NH71" s="269"/>
      <c r="NI71" s="269"/>
      <c r="NJ71" s="269"/>
      <c r="NK71" s="269"/>
      <c r="NL71" s="269"/>
      <c r="NM71" s="269"/>
      <c r="NN71" s="269"/>
      <c r="NO71" s="269"/>
      <c r="NP71" s="269"/>
      <c r="NQ71" s="269"/>
      <c r="NR71" s="269"/>
      <c r="NS71" s="269"/>
      <c r="NT71" s="269"/>
      <c r="NU71" s="269"/>
      <c r="NV71" s="269"/>
      <c r="NW71" s="269"/>
      <c r="NX71" s="269"/>
      <c r="NY71" s="269"/>
      <c r="NZ71" s="269"/>
      <c r="OA71" s="269"/>
      <c r="OB71" s="269"/>
      <c r="OC71" s="269"/>
      <c r="OD71" s="269"/>
      <c r="OE71" s="269"/>
      <c r="OF71" s="269"/>
      <c r="OG71" s="269"/>
      <c r="OH71" s="269"/>
      <c r="OI71" s="269"/>
      <c r="OJ71" s="269"/>
      <c r="OK71" s="269"/>
      <c r="OL71" s="269"/>
      <c r="OM71" s="269"/>
      <c r="ON71" s="269"/>
      <c r="OO71" s="269"/>
      <c r="OP71" s="269"/>
      <c r="OQ71" s="269"/>
      <c r="OR71" s="269"/>
      <c r="OS71" s="269"/>
      <c r="OT71" s="269"/>
      <c r="OU71" s="269"/>
      <c r="OV71" s="269"/>
      <c r="OW71" s="269"/>
      <c r="OX71" s="269"/>
      <c r="OY71" s="269"/>
      <c r="OZ71" s="269"/>
      <c r="PA71" s="269"/>
      <c r="PB71" s="269"/>
      <c r="PC71" s="269"/>
    </row>
    <row r="72" spans="1:419">
      <c r="A72" s="269"/>
      <c r="B72" s="287" t="s">
        <v>56</v>
      </c>
      <c r="C72" s="269"/>
      <c r="D72" s="269"/>
      <c r="E72" s="269"/>
      <c r="F72" s="269"/>
      <c r="G72" s="273">
        <v>-0.11904761904761907</v>
      </c>
      <c r="H72" s="273">
        <v>-6.9444444444444198E-3</v>
      </c>
      <c r="I72" s="273">
        <v>0.2192982456140351</v>
      </c>
      <c r="J72" s="273">
        <v>0.21487603305785119</v>
      </c>
      <c r="K72" s="273">
        <v>0.23423423423423428</v>
      </c>
      <c r="L72" s="273">
        <v>0</v>
      </c>
      <c r="M72" s="287" t="s">
        <v>56</v>
      </c>
      <c r="N72" s="269"/>
      <c r="O72" s="269"/>
      <c r="P72" s="269"/>
      <c r="Q72" s="269"/>
      <c r="R72" s="273">
        <v>-7.407407407407407E-2</v>
      </c>
      <c r="S72" s="273">
        <v>6.5306122448979487E-2</v>
      </c>
      <c r="T72" s="273">
        <v>0.27759197324414742</v>
      </c>
      <c r="U72" s="273">
        <v>0.2639751552795031</v>
      </c>
      <c r="V72" s="273">
        <v>0.27166666666666672</v>
      </c>
      <c r="W72" s="273">
        <v>2.0434227330779153E-2</v>
      </c>
      <c r="X72" s="290" t="s">
        <v>56</v>
      </c>
      <c r="Y72" s="269"/>
      <c r="Z72" s="269"/>
      <c r="AA72" s="269"/>
      <c r="AB72" s="269"/>
      <c r="AC72" s="269"/>
      <c r="AD72" s="269"/>
      <c r="AE72" s="269"/>
      <c r="AF72" s="269"/>
      <c r="AG72" s="269"/>
      <c r="AH72" s="269"/>
      <c r="AI72" s="269"/>
      <c r="AJ72" s="269"/>
      <c r="AK72" s="269"/>
      <c r="AL72" s="269"/>
      <c r="AM72" s="269"/>
      <c r="AN72" s="269"/>
      <c r="AO72" s="269"/>
      <c r="AP72" s="269"/>
      <c r="AQ72" s="269"/>
      <c r="AR72" s="269"/>
      <c r="AS72" s="269"/>
      <c r="AT72" s="269"/>
      <c r="AU72" s="269"/>
      <c r="AV72" s="269"/>
      <c r="AW72" s="269"/>
      <c r="AX72" s="269"/>
      <c r="AY72" s="269"/>
      <c r="AZ72" s="269"/>
      <c r="BA72" s="269"/>
      <c r="BB72" s="269"/>
      <c r="BC72" s="269"/>
      <c r="BD72" s="269"/>
      <c r="BE72" s="269"/>
      <c r="BF72" s="269"/>
      <c r="BG72" s="269"/>
      <c r="BH72" s="269"/>
      <c r="BI72" s="269"/>
      <c r="BJ72" s="269"/>
      <c r="BK72" s="269"/>
      <c r="BL72" s="269"/>
      <c r="BM72" s="269"/>
      <c r="BN72" s="269"/>
      <c r="BO72" s="269"/>
      <c r="BP72" s="269"/>
      <c r="BQ72" s="269"/>
      <c r="BR72" s="269"/>
      <c r="BS72" s="269"/>
      <c r="BT72" s="269"/>
      <c r="BU72" s="269"/>
      <c r="BV72" s="269"/>
      <c r="BW72" s="269"/>
      <c r="BX72" s="269"/>
      <c r="BY72" s="269"/>
      <c r="BZ72" s="269"/>
      <c r="CA72" s="269"/>
      <c r="CB72" s="269"/>
      <c r="CC72" s="269"/>
      <c r="CD72" s="269"/>
      <c r="CE72" s="269"/>
      <c r="CF72" s="269"/>
      <c r="CG72" s="269"/>
      <c r="CH72" s="269"/>
      <c r="CI72" s="269"/>
      <c r="CJ72" s="269"/>
      <c r="CK72" s="269"/>
      <c r="CL72" s="269"/>
      <c r="CM72" s="269"/>
      <c r="CN72" s="269"/>
      <c r="CO72" s="269"/>
      <c r="CP72" s="269"/>
      <c r="CQ72" s="269"/>
      <c r="CR72" s="269"/>
      <c r="CS72" s="269"/>
      <c r="CT72" s="269"/>
      <c r="CU72" s="269"/>
      <c r="CV72" s="269"/>
      <c r="CW72" s="269"/>
      <c r="CX72" s="269"/>
      <c r="CY72" s="269"/>
      <c r="CZ72" s="269"/>
      <c r="DA72" s="269"/>
      <c r="DB72" s="269"/>
      <c r="DC72" s="269"/>
      <c r="DD72" s="269"/>
      <c r="DE72" s="269"/>
      <c r="DF72" s="269"/>
      <c r="DG72" s="269"/>
      <c r="DH72" s="269"/>
      <c r="DI72" s="269"/>
      <c r="DJ72" s="269"/>
      <c r="DK72" s="269"/>
      <c r="DL72" s="269"/>
      <c r="DM72" s="269"/>
      <c r="DN72" s="269"/>
      <c r="DO72" s="269"/>
      <c r="DP72" s="269"/>
      <c r="DQ72" s="269"/>
      <c r="DR72" s="269"/>
      <c r="DS72" s="269"/>
      <c r="DT72" s="269"/>
      <c r="DU72" s="269"/>
      <c r="DV72" s="269"/>
      <c r="DW72" s="269"/>
      <c r="DX72" s="269"/>
      <c r="DY72" s="269"/>
      <c r="DZ72" s="269"/>
      <c r="EA72" s="269"/>
      <c r="EB72" s="269"/>
      <c r="EC72" s="269"/>
      <c r="ED72" s="269"/>
      <c r="EE72" s="269"/>
      <c r="EF72" s="269"/>
      <c r="EG72" s="269"/>
      <c r="EH72" s="269"/>
      <c r="EI72" s="269"/>
      <c r="EJ72" s="269"/>
      <c r="EK72" s="269"/>
      <c r="EL72" s="269"/>
      <c r="EM72" s="269"/>
      <c r="EN72" s="269"/>
      <c r="EO72" s="269"/>
      <c r="EP72" s="269"/>
      <c r="EQ72" s="269"/>
      <c r="ER72" s="269"/>
      <c r="ES72" s="269"/>
      <c r="ET72" s="269"/>
      <c r="EU72" s="269"/>
      <c r="EV72" s="269"/>
      <c r="EW72" s="269"/>
      <c r="EX72" s="269"/>
      <c r="EY72" s="269"/>
      <c r="EZ72" s="269"/>
      <c r="FA72" s="269"/>
      <c r="FB72" s="269"/>
      <c r="FC72" s="269"/>
      <c r="FD72" s="269"/>
      <c r="FE72" s="269"/>
      <c r="FF72" s="269"/>
      <c r="FG72" s="269"/>
      <c r="FH72" s="269"/>
      <c r="FI72" s="269"/>
      <c r="FJ72" s="269"/>
      <c r="FK72" s="269"/>
      <c r="FL72" s="269"/>
      <c r="FM72" s="269"/>
      <c r="FN72" s="269"/>
      <c r="FO72" s="269"/>
      <c r="FP72" s="269"/>
      <c r="FQ72" s="269"/>
      <c r="FR72" s="269"/>
      <c r="FS72" s="269"/>
      <c r="FT72" s="269"/>
      <c r="FU72" s="269"/>
      <c r="FV72" s="269"/>
      <c r="FW72" s="269"/>
      <c r="FX72" s="269"/>
      <c r="FY72" s="269"/>
      <c r="FZ72" s="269"/>
      <c r="GA72" s="269"/>
      <c r="GB72" s="269"/>
      <c r="GC72" s="269"/>
      <c r="GD72" s="269"/>
      <c r="GE72" s="269"/>
      <c r="GF72" s="269"/>
      <c r="GG72" s="269"/>
      <c r="GH72" s="269"/>
      <c r="GI72" s="269"/>
      <c r="GJ72" s="269"/>
      <c r="GK72" s="269"/>
      <c r="GL72" s="269"/>
      <c r="GM72" s="269"/>
      <c r="GN72" s="269"/>
      <c r="GO72" s="269"/>
      <c r="GP72" s="269"/>
      <c r="GQ72" s="269"/>
      <c r="GR72" s="269"/>
      <c r="GS72" s="269"/>
      <c r="GT72" s="269"/>
      <c r="GU72" s="269"/>
      <c r="GV72" s="269"/>
      <c r="GW72" s="269"/>
      <c r="GX72" s="269"/>
      <c r="GY72" s="269"/>
      <c r="GZ72" s="269"/>
      <c r="HA72" s="269"/>
      <c r="HB72" s="269"/>
      <c r="HC72" s="269"/>
      <c r="HD72" s="269"/>
      <c r="HE72" s="269"/>
      <c r="HF72" s="269"/>
      <c r="HG72" s="269"/>
      <c r="HH72" s="269"/>
      <c r="HI72" s="269"/>
      <c r="HJ72" s="269"/>
      <c r="HK72" s="269"/>
      <c r="HL72" s="269"/>
      <c r="HM72" s="269"/>
      <c r="HN72" s="269"/>
      <c r="HO72" s="269"/>
      <c r="HP72" s="269"/>
      <c r="HQ72" s="269"/>
      <c r="HR72" s="269"/>
      <c r="HS72" s="269"/>
      <c r="HT72" s="269"/>
      <c r="HU72" s="269"/>
      <c r="HV72" s="269"/>
      <c r="HW72" s="269"/>
      <c r="HX72" s="269"/>
      <c r="HY72" s="269"/>
      <c r="HZ72" s="269"/>
      <c r="IA72" s="269"/>
      <c r="IB72" s="269"/>
      <c r="IC72" s="269"/>
      <c r="ID72" s="269"/>
      <c r="IE72" s="269"/>
      <c r="IF72" s="269"/>
      <c r="IG72" s="269"/>
      <c r="IH72" s="269"/>
      <c r="II72" s="269"/>
      <c r="IJ72" s="269"/>
      <c r="IK72" s="269"/>
      <c r="IL72" s="269"/>
      <c r="IM72" s="269"/>
      <c r="IN72" s="269"/>
      <c r="IO72" s="269"/>
      <c r="IP72" s="269"/>
      <c r="IQ72" s="269"/>
      <c r="IR72" s="269"/>
      <c r="IS72" s="269"/>
      <c r="IT72" s="269"/>
      <c r="IU72" s="269"/>
      <c r="IV72" s="269"/>
      <c r="IW72" s="269"/>
      <c r="IX72" s="269"/>
      <c r="IY72" s="269"/>
      <c r="IZ72" s="269"/>
      <c r="JA72" s="269"/>
      <c r="JB72" s="269"/>
      <c r="JC72" s="269"/>
      <c r="JD72" s="269"/>
      <c r="JE72" s="269"/>
      <c r="JF72" s="269"/>
      <c r="JG72" s="269"/>
      <c r="JH72" s="269"/>
      <c r="JI72" s="269"/>
      <c r="JJ72" s="269"/>
      <c r="JK72" s="269"/>
      <c r="JL72" s="269"/>
      <c r="JM72" s="269"/>
      <c r="JN72" s="269"/>
      <c r="JO72" s="269"/>
      <c r="JP72" s="269"/>
      <c r="JQ72" s="269"/>
      <c r="JR72" s="269"/>
      <c r="JS72" s="269"/>
      <c r="JT72" s="269"/>
      <c r="JU72" s="269"/>
      <c r="JV72" s="269"/>
      <c r="JW72" s="269"/>
      <c r="JX72" s="269"/>
      <c r="JY72" s="269"/>
      <c r="JZ72" s="269"/>
      <c r="KA72" s="269"/>
      <c r="KB72" s="269"/>
      <c r="KC72" s="269"/>
      <c r="KD72" s="269"/>
      <c r="KE72" s="269"/>
      <c r="KF72" s="269"/>
      <c r="KG72" s="269"/>
      <c r="KH72" s="269"/>
      <c r="KI72" s="269"/>
      <c r="KJ72" s="269"/>
      <c r="KK72" s="269"/>
      <c r="KL72" s="269"/>
      <c r="KM72" s="269"/>
      <c r="KN72" s="269"/>
      <c r="KO72" s="269"/>
      <c r="KP72" s="269"/>
      <c r="KQ72" s="269"/>
      <c r="KR72" s="269"/>
      <c r="KS72" s="269"/>
      <c r="KT72" s="269"/>
      <c r="KU72" s="269"/>
      <c r="KV72" s="269"/>
      <c r="KW72" s="269"/>
      <c r="KX72" s="269"/>
      <c r="KY72" s="269"/>
      <c r="KZ72" s="269"/>
      <c r="LA72" s="269"/>
      <c r="LB72" s="269"/>
      <c r="LC72" s="269"/>
      <c r="LD72" s="269"/>
      <c r="LE72" s="269"/>
      <c r="LF72" s="269"/>
      <c r="LG72" s="269"/>
      <c r="LH72" s="269"/>
      <c r="LI72" s="269"/>
      <c r="LJ72" s="269"/>
      <c r="LK72" s="269"/>
      <c r="LL72" s="269"/>
      <c r="LM72" s="269"/>
      <c r="LN72" s="269"/>
      <c r="LO72" s="269"/>
      <c r="LP72" s="269"/>
      <c r="LQ72" s="269"/>
      <c r="LR72" s="269"/>
      <c r="LS72" s="269"/>
      <c r="LT72" s="269"/>
      <c r="LU72" s="269"/>
      <c r="LV72" s="269"/>
      <c r="LW72" s="269"/>
      <c r="LX72" s="269"/>
      <c r="LY72" s="269"/>
      <c r="LZ72" s="269"/>
      <c r="MA72" s="269"/>
      <c r="MB72" s="269"/>
      <c r="MC72" s="269"/>
      <c r="MD72" s="269"/>
      <c r="ME72" s="269"/>
      <c r="MF72" s="269"/>
      <c r="MG72" s="269"/>
      <c r="MH72" s="269"/>
      <c r="MI72" s="269"/>
      <c r="MJ72" s="269"/>
      <c r="MK72" s="269"/>
      <c r="ML72" s="269"/>
      <c r="MM72" s="269"/>
      <c r="MN72" s="269"/>
      <c r="MO72" s="269"/>
      <c r="MP72" s="269"/>
      <c r="MQ72" s="269"/>
      <c r="MR72" s="269"/>
      <c r="MS72" s="269"/>
      <c r="MT72" s="269"/>
      <c r="MU72" s="269"/>
      <c r="MV72" s="269"/>
      <c r="MW72" s="269"/>
      <c r="MX72" s="269"/>
      <c r="MY72" s="269"/>
      <c r="MZ72" s="269"/>
      <c r="NA72" s="269"/>
      <c r="NB72" s="269"/>
      <c r="NC72" s="269"/>
      <c r="ND72" s="269"/>
      <c r="NE72" s="269"/>
      <c r="NF72" s="269"/>
      <c r="NG72" s="269"/>
      <c r="NH72" s="269"/>
      <c r="NI72" s="269"/>
      <c r="NJ72" s="269"/>
      <c r="NK72" s="269"/>
      <c r="NL72" s="269"/>
      <c r="NM72" s="269"/>
      <c r="NN72" s="269"/>
      <c r="NO72" s="269"/>
      <c r="NP72" s="269"/>
      <c r="NQ72" s="269"/>
      <c r="NR72" s="269"/>
      <c r="NS72" s="269"/>
      <c r="NT72" s="269"/>
      <c r="NU72" s="269"/>
      <c r="NV72" s="269"/>
      <c r="NW72" s="269"/>
      <c r="NX72" s="269"/>
      <c r="NY72" s="269"/>
      <c r="NZ72" s="269"/>
      <c r="OA72" s="269"/>
      <c r="OB72" s="269"/>
      <c r="OC72" s="269"/>
      <c r="OD72" s="269"/>
      <c r="OE72" s="269"/>
      <c r="OF72" s="269"/>
      <c r="OG72" s="269"/>
      <c r="OH72" s="269"/>
      <c r="OI72" s="269"/>
      <c r="OJ72" s="269"/>
      <c r="OK72" s="269"/>
      <c r="OL72" s="269"/>
      <c r="OM72" s="269"/>
      <c r="ON72" s="269"/>
      <c r="OO72" s="269"/>
      <c r="OP72" s="269"/>
      <c r="OQ72" s="269"/>
      <c r="OR72" s="269"/>
      <c r="OS72" s="269"/>
      <c r="OT72" s="269"/>
      <c r="OU72" s="269"/>
      <c r="OV72" s="269"/>
      <c r="OW72" s="269"/>
      <c r="OX72" s="269"/>
      <c r="OY72" s="269"/>
      <c r="OZ72" s="269"/>
      <c r="PA72" s="269"/>
      <c r="PB72" s="269"/>
      <c r="PC72" s="269"/>
    </row>
    <row r="73" spans="1:419">
      <c r="A73" s="269"/>
      <c r="B73" s="287" t="s">
        <v>33</v>
      </c>
      <c r="C73" s="269"/>
      <c r="D73" s="269"/>
      <c r="E73" s="269"/>
      <c r="F73" s="269"/>
      <c r="G73" s="273">
        <v>8.9552238805970186E-2</v>
      </c>
      <c r="H73" s="273">
        <v>2.8169014084507005E-2</v>
      </c>
      <c r="I73" s="273">
        <v>-6.024096385542177E-2</v>
      </c>
      <c r="J73" s="273">
        <v>2.6666666666666616E-2</v>
      </c>
      <c r="K73" s="273">
        <v>-0.15068493150684925</v>
      </c>
      <c r="L73" s="274">
        <v>-0.24657534246575341</v>
      </c>
      <c r="M73" s="287" t="s">
        <v>33</v>
      </c>
      <c r="N73" s="269"/>
      <c r="O73" s="269"/>
      <c r="P73" s="269"/>
      <c r="Q73" s="269"/>
      <c r="R73" s="273">
        <v>0.12621359223300965</v>
      </c>
      <c r="S73" s="273">
        <v>8.0357142857142794E-2</v>
      </c>
      <c r="T73" s="273">
        <v>-4.4444444444444398E-2</v>
      </c>
      <c r="U73" s="273">
        <v>6.7796610169491345E-2</v>
      </c>
      <c r="V73" s="273">
        <v>-0.12068965517241381</v>
      </c>
      <c r="W73" s="274">
        <v>-0.2396694214876034</v>
      </c>
      <c r="X73" s="287" t="s">
        <v>33</v>
      </c>
      <c r="Y73" s="269"/>
      <c r="Z73" s="269"/>
      <c r="AA73" s="269"/>
      <c r="AB73" s="269"/>
      <c r="AC73" s="269"/>
      <c r="AD73" s="269"/>
      <c r="AE73" s="269"/>
      <c r="AF73" s="269"/>
      <c r="AG73" s="269"/>
      <c r="AH73" s="269"/>
      <c r="AI73" s="269"/>
      <c r="AJ73" s="269"/>
      <c r="AK73" s="269"/>
      <c r="AL73" s="269"/>
      <c r="AM73" s="269"/>
      <c r="AN73" s="269"/>
      <c r="AO73" s="269"/>
      <c r="AP73" s="269"/>
      <c r="AQ73" s="269"/>
      <c r="AR73" s="269"/>
      <c r="AS73" s="269"/>
      <c r="AT73" s="269"/>
      <c r="AU73" s="269"/>
      <c r="AV73" s="269"/>
      <c r="AW73" s="269"/>
      <c r="AX73" s="269"/>
      <c r="AY73" s="269"/>
      <c r="AZ73" s="269"/>
      <c r="BA73" s="269"/>
      <c r="BB73" s="269"/>
      <c r="BC73" s="269"/>
      <c r="BD73" s="269"/>
      <c r="BE73" s="269"/>
      <c r="BF73" s="269"/>
      <c r="BG73" s="269"/>
      <c r="BH73" s="269"/>
      <c r="BI73" s="269"/>
      <c r="BJ73" s="269"/>
      <c r="BK73" s="269"/>
      <c r="BL73" s="269"/>
      <c r="BM73" s="269"/>
      <c r="BN73" s="269"/>
      <c r="BO73" s="269"/>
      <c r="BP73" s="269"/>
      <c r="BQ73" s="269"/>
      <c r="BR73" s="269"/>
      <c r="BS73" s="269"/>
      <c r="BT73" s="269"/>
      <c r="BU73" s="269"/>
      <c r="BV73" s="269"/>
      <c r="BW73" s="269"/>
      <c r="BX73" s="269"/>
      <c r="BY73" s="269"/>
      <c r="BZ73" s="269"/>
      <c r="CA73" s="269"/>
      <c r="CB73" s="269"/>
      <c r="CC73" s="269"/>
      <c r="CD73" s="269"/>
      <c r="CE73" s="269"/>
      <c r="CF73" s="269"/>
      <c r="CG73" s="269"/>
      <c r="CH73" s="269"/>
      <c r="CI73" s="269"/>
      <c r="CJ73" s="269"/>
      <c r="CK73" s="269"/>
      <c r="CL73" s="269"/>
      <c r="CM73" s="269"/>
      <c r="CN73" s="269"/>
      <c r="CO73" s="269"/>
      <c r="CP73" s="269"/>
      <c r="CQ73" s="269"/>
      <c r="CR73" s="269"/>
      <c r="CS73" s="269"/>
      <c r="CT73" s="269"/>
      <c r="CU73" s="269"/>
      <c r="CV73" s="269"/>
      <c r="CW73" s="269"/>
      <c r="CX73" s="269"/>
      <c r="CY73" s="269"/>
      <c r="CZ73" s="269"/>
      <c r="DA73" s="269"/>
      <c r="DB73" s="269"/>
      <c r="DC73" s="269"/>
      <c r="DD73" s="269"/>
      <c r="DE73" s="269"/>
      <c r="DF73" s="269"/>
      <c r="DG73" s="269"/>
      <c r="DH73" s="269"/>
      <c r="DI73" s="269"/>
      <c r="DJ73" s="269"/>
      <c r="DK73" s="269"/>
      <c r="DL73" s="269"/>
      <c r="DM73" s="269"/>
      <c r="DN73" s="269"/>
      <c r="DO73" s="269"/>
      <c r="DP73" s="269"/>
      <c r="DQ73" s="269"/>
      <c r="DR73" s="269"/>
      <c r="DS73" s="269"/>
      <c r="DT73" s="269"/>
      <c r="DU73" s="269"/>
      <c r="DV73" s="269"/>
      <c r="DW73" s="269"/>
      <c r="DX73" s="269"/>
      <c r="DY73" s="269"/>
      <c r="DZ73" s="269"/>
      <c r="EA73" s="269"/>
      <c r="EB73" s="269"/>
      <c r="EC73" s="269"/>
      <c r="ED73" s="269"/>
      <c r="EE73" s="269"/>
      <c r="EF73" s="269"/>
      <c r="EG73" s="269"/>
      <c r="EH73" s="269"/>
      <c r="EI73" s="269"/>
      <c r="EJ73" s="269"/>
      <c r="EK73" s="269"/>
      <c r="EL73" s="269"/>
      <c r="EM73" s="269"/>
      <c r="EN73" s="269"/>
      <c r="EO73" s="269"/>
      <c r="EP73" s="269"/>
      <c r="EQ73" s="269"/>
      <c r="ER73" s="269"/>
      <c r="ES73" s="269"/>
      <c r="ET73" s="269"/>
      <c r="EU73" s="269"/>
      <c r="EV73" s="269"/>
      <c r="EW73" s="269"/>
      <c r="EX73" s="269"/>
      <c r="EY73" s="269"/>
      <c r="EZ73" s="269"/>
      <c r="FA73" s="269"/>
      <c r="FB73" s="269"/>
      <c r="FC73" s="269"/>
      <c r="FD73" s="269"/>
      <c r="FE73" s="269"/>
      <c r="FF73" s="269"/>
      <c r="FG73" s="269"/>
      <c r="FH73" s="269"/>
      <c r="FI73" s="269"/>
      <c r="FJ73" s="269"/>
      <c r="FK73" s="269"/>
      <c r="FL73" s="269"/>
      <c r="FM73" s="269"/>
      <c r="FN73" s="269"/>
      <c r="FO73" s="269"/>
      <c r="FP73" s="269"/>
      <c r="FQ73" s="269"/>
      <c r="FR73" s="269"/>
      <c r="FS73" s="269"/>
      <c r="FT73" s="269"/>
      <c r="FU73" s="269"/>
      <c r="FV73" s="269"/>
      <c r="FW73" s="269"/>
      <c r="FX73" s="269"/>
      <c r="FY73" s="269"/>
      <c r="FZ73" s="269"/>
      <c r="GA73" s="269"/>
      <c r="GB73" s="269"/>
      <c r="GC73" s="269"/>
      <c r="GD73" s="269"/>
      <c r="GE73" s="269"/>
      <c r="GF73" s="269"/>
      <c r="GG73" s="269"/>
      <c r="GH73" s="269"/>
      <c r="GI73" s="269"/>
      <c r="GJ73" s="269"/>
      <c r="GK73" s="269"/>
      <c r="GL73" s="269"/>
      <c r="GM73" s="269"/>
      <c r="GN73" s="269"/>
      <c r="GO73" s="269"/>
      <c r="GP73" s="269"/>
      <c r="GQ73" s="269"/>
      <c r="GR73" s="269"/>
      <c r="GS73" s="269"/>
      <c r="GT73" s="269"/>
      <c r="GU73" s="269"/>
      <c r="GV73" s="269"/>
      <c r="GW73" s="269"/>
      <c r="GX73" s="269"/>
      <c r="GY73" s="269"/>
      <c r="GZ73" s="269"/>
      <c r="HA73" s="269"/>
      <c r="HB73" s="269"/>
      <c r="HC73" s="269"/>
      <c r="HD73" s="269"/>
      <c r="HE73" s="269"/>
      <c r="HF73" s="269"/>
      <c r="HG73" s="269"/>
      <c r="HH73" s="269"/>
      <c r="HI73" s="269"/>
      <c r="HJ73" s="269"/>
      <c r="HK73" s="269"/>
      <c r="HL73" s="269"/>
      <c r="HM73" s="269"/>
      <c r="HN73" s="269"/>
      <c r="HO73" s="269"/>
      <c r="HP73" s="269"/>
      <c r="HQ73" s="269"/>
      <c r="HR73" s="269"/>
      <c r="HS73" s="269"/>
      <c r="HT73" s="269"/>
      <c r="HU73" s="269"/>
      <c r="HV73" s="269"/>
      <c r="HW73" s="269"/>
      <c r="HX73" s="269"/>
      <c r="HY73" s="269"/>
      <c r="HZ73" s="269"/>
      <c r="IA73" s="269"/>
      <c r="IB73" s="269"/>
      <c r="IC73" s="269"/>
      <c r="ID73" s="269"/>
      <c r="IE73" s="269"/>
      <c r="IF73" s="269"/>
      <c r="IG73" s="269"/>
      <c r="IH73" s="269"/>
      <c r="II73" s="269"/>
      <c r="IJ73" s="269"/>
      <c r="IK73" s="269"/>
      <c r="IL73" s="269"/>
      <c r="IM73" s="269"/>
      <c r="IN73" s="269"/>
      <c r="IO73" s="269"/>
      <c r="IP73" s="269"/>
      <c r="IQ73" s="269"/>
      <c r="IR73" s="269"/>
      <c r="IS73" s="269"/>
      <c r="IT73" s="269"/>
      <c r="IU73" s="269"/>
      <c r="IV73" s="269"/>
      <c r="IW73" s="269"/>
      <c r="IX73" s="269"/>
      <c r="IY73" s="269"/>
      <c r="IZ73" s="269"/>
      <c r="JA73" s="269"/>
      <c r="JB73" s="269"/>
      <c r="JC73" s="269"/>
      <c r="JD73" s="269"/>
      <c r="JE73" s="269"/>
      <c r="JF73" s="269"/>
      <c r="JG73" s="269"/>
      <c r="JH73" s="269"/>
      <c r="JI73" s="269"/>
      <c r="JJ73" s="269"/>
      <c r="JK73" s="269"/>
      <c r="JL73" s="269"/>
      <c r="JM73" s="269"/>
      <c r="JN73" s="269"/>
      <c r="JO73" s="269"/>
      <c r="JP73" s="269"/>
      <c r="JQ73" s="269"/>
      <c r="JR73" s="269"/>
      <c r="JS73" s="269"/>
      <c r="JT73" s="269"/>
      <c r="JU73" s="269"/>
      <c r="JV73" s="269"/>
      <c r="JW73" s="269"/>
      <c r="JX73" s="269"/>
      <c r="JY73" s="269"/>
      <c r="JZ73" s="269"/>
      <c r="KA73" s="269"/>
      <c r="KB73" s="269"/>
      <c r="KC73" s="269"/>
      <c r="KD73" s="269"/>
      <c r="KE73" s="269"/>
      <c r="KF73" s="269"/>
      <c r="KG73" s="269"/>
      <c r="KH73" s="269"/>
      <c r="KI73" s="269"/>
      <c r="KJ73" s="269"/>
      <c r="KK73" s="269"/>
      <c r="KL73" s="269"/>
      <c r="KM73" s="269"/>
      <c r="KN73" s="269"/>
      <c r="KO73" s="269"/>
      <c r="KP73" s="269"/>
      <c r="KQ73" s="269"/>
      <c r="KR73" s="269"/>
      <c r="KS73" s="269"/>
      <c r="KT73" s="269"/>
      <c r="KU73" s="269"/>
      <c r="KV73" s="269"/>
      <c r="KW73" s="269"/>
      <c r="KX73" s="269"/>
      <c r="KY73" s="269"/>
      <c r="KZ73" s="269"/>
      <c r="LA73" s="269"/>
      <c r="LB73" s="269"/>
      <c r="LC73" s="269"/>
      <c r="LD73" s="269"/>
      <c r="LE73" s="269"/>
      <c r="LF73" s="269"/>
      <c r="LG73" s="269"/>
      <c r="LH73" s="269"/>
      <c r="LI73" s="269"/>
      <c r="LJ73" s="269"/>
      <c r="LK73" s="269"/>
      <c r="LL73" s="269"/>
      <c r="LM73" s="269"/>
      <c r="LN73" s="269"/>
      <c r="LO73" s="269"/>
      <c r="LP73" s="269"/>
      <c r="LQ73" s="269"/>
      <c r="LR73" s="269"/>
      <c r="LS73" s="269"/>
      <c r="LT73" s="269"/>
      <c r="LU73" s="269"/>
      <c r="LV73" s="269"/>
      <c r="LW73" s="269"/>
      <c r="LX73" s="269"/>
      <c r="LY73" s="269"/>
      <c r="LZ73" s="269"/>
      <c r="MA73" s="269"/>
      <c r="MB73" s="269"/>
      <c r="MC73" s="269"/>
      <c r="MD73" s="269"/>
      <c r="ME73" s="269"/>
      <c r="MF73" s="269"/>
      <c r="MG73" s="269"/>
      <c r="MH73" s="269"/>
      <c r="MI73" s="269"/>
      <c r="MJ73" s="269"/>
      <c r="MK73" s="269"/>
      <c r="ML73" s="269"/>
      <c r="MM73" s="269"/>
      <c r="MN73" s="269"/>
      <c r="MO73" s="269"/>
      <c r="MP73" s="269"/>
      <c r="MQ73" s="269"/>
      <c r="MR73" s="269"/>
      <c r="MS73" s="269"/>
      <c r="MT73" s="269"/>
      <c r="MU73" s="269"/>
      <c r="MV73" s="269"/>
      <c r="MW73" s="269"/>
      <c r="MX73" s="269"/>
      <c r="MY73" s="269"/>
      <c r="MZ73" s="269"/>
      <c r="NA73" s="269"/>
      <c r="NB73" s="269"/>
      <c r="NC73" s="269"/>
      <c r="ND73" s="269"/>
      <c r="NE73" s="269"/>
      <c r="NF73" s="269"/>
      <c r="NG73" s="269"/>
      <c r="NH73" s="269"/>
      <c r="NI73" s="269"/>
      <c r="NJ73" s="269"/>
      <c r="NK73" s="269"/>
      <c r="NL73" s="269"/>
      <c r="NM73" s="269"/>
      <c r="NN73" s="269"/>
      <c r="NO73" s="269"/>
      <c r="NP73" s="269"/>
      <c r="NQ73" s="269"/>
      <c r="NR73" s="269"/>
      <c r="NS73" s="269"/>
      <c r="NT73" s="269"/>
      <c r="NU73" s="269"/>
      <c r="NV73" s="269"/>
      <c r="NW73" s="269"/>
      <c r="NX73" s="269"/>
      <c r="NY73" s="269"/>
      <c r="NZ73" s="269"/>
      <c r="OA73" s="269"/>
      <c r="OB73" s="269"/>
      <c r="OC73" s="269"/>
      <c r="OD73" s="269"/>
      <c r="OE73" s="269"/>
      <c r="OF73" s="269"/>
      <c r="OG73" s="269"/>
      <c r="OH73" s="269"/>
      <c r="OI73" s="269"/>
      <c r="OJ73" s="269"/>
      <c r="OK73" s="269"/>
      <c r="OL73" s="269"/>
      <c r="OM73" s="269"/>
      <c r="ON73" s="269"/>
      <c r="OO73" s="269"/>
      <c r="OP73" s="269"/>
      <c r="OQ73" s="269"/>
      <c r="OR73" s="269"/>
      <c r="OS73" s="269"/>
      <c r="OT73" s="269"/>
      <c r="OU73" s="269"/>
      <c r="OV73" s="269"/>
      <c r="OW73" s="269"/>
      <c r="OX73" s="269"/>
      <c r="OY73" s="269"/>
      <c r="OZ73" s="269"/>
      <c r="PA73" s="269"/>
      <c r="PB73" s="269"/>
      <c r="PC73" s="269"/>
    </row>
    <row r="74" spans="1:419">
      <c r="A74" s="269"/>
      <c r="B74" s="287" t="s">
        <v>34</v>
      </c>
      <c r="C74" s="269"/>
      <c r="D74" s="269"/>
      <c r="E74" s="269"/>
      <c r="F74" s="269"/>
      <c r="G74" s="273">
        <v>3.6842105263157787E-2</v>
      </c>
      <c r="H74" s="273">
        <v>2.5125628140703515E-2</v>
      </c>
      <c r="I74" s="273">
        <v>1.9323671497584627E-2</v>
      </c>
      <c r="J74" s="273">
        <v>5.4455445544554504E-2</v>
      </c>
      <c r="K74" s="273">
        <v>7.6142131979695327E-2</v>
      </c>
      <c r="L74" s="273">
        <v>6.3725490196078427E-2</v>
      </c>
      <c r="M74" s="287" t="s">
        <v>34</v>
      </c>
      <c r="N74" s="269"/>
      <c r="O74" s="269"/>
      <c r="P74" s="269"/>
      <c r="Q74" s="269"/>
      <c r="R74" s="273">
        <v>3.6524323478805076E-2</v>
      </c>
      <c r="S74" s="273">
        <v>3.465896467451679E-2</v>
      </c>
      <c r="T74" s="273">
        <v>3.0590567908228339E-2</v>
      </c>
      <c r="U74" s="273">
        <v>7.0391713472901074E-2</v>
      </c>
      <c r="V74" s="273">
        <v>9.76382705802461E-2</v>
      </c>
      <c r="W74" s="273">
        <v>8.1239710829575484E-2</v>
      </c>
      <c r="X74" s="290" t="s">
        <v>34</v>
      </c>
      <c r="Y74" s="269"/>
      <c r="Z74" s="269"/>
      <c r="AA74" s="269"/>
      <c r="AB74" s="269"/>
      <c r="AC74" s="269"/>
      <c r="AD74" s="269"/>
      <c r="AE74" s="269"/>
      <c r="AF74" s="269"/>
      <c r="AG74" s="269"/>
      <c r="AH74" s="269"/>
      <c r="AI74" s="269"/>
      <c r="AJ74" s="269"/>
      <c r="AK74" s="269"/>
      <c r="AL74" s="269"/>
      <c r="AM74" s="269"/>
      <c r="AN74" s="269"/>
      <c r="AO74" s="269"/>
      <c r="AP74" s="269"/>
      <c r="AQ74" s="269"/>
      <c r="AR74" s="269"/>
      <c r="AS74" s="269"/>
      <c r="AT74" s="269"/>
      <c r="AU74" s="269"/>
      <c r="AV74" s="269"/>
      <c r="AW74" s="269"/>
      <c r="AX74" s="269"/>
      <c r="AY74" s="269"/>
      <c r="AZ74" s="269"/>
      <c r="BA74" s="269"/>
      <c r="BB74" s="269"/>
      <c r="BC74" s="269"/>
      <c r="BD74" s="269"/>
      <c r="BE74" s="269"/>
      <c r="BF74" s="269"/>
      <c r="BG74" s="269"/>
      <c r="BH74" s="269"/>
      <c r="BI74" s="269"/>
      <c r="BJ74" s="269"/>
      <c r="BK74" s="269"/>
      <c r="BL74" s="269"/>
      <c r="BM74" s="269"/>
      <c r="BN74" s="269"/>
      <c r="BO74" s="269"/>
      <c r="BP74" s="269"/>
      <c r="BQ74" s="269"/>
      <c r="BR74" s="269"/>
      <c r="BS74" s="269"/>
      <c r="BT74" s="269"/>
      <c r="BU74" s="269"/>
      <c r="BV74" s="269"/>
      <c r="BW74" s="269"/>
      <c r="BX74" s="269"/>
      <c r="BY74" s="269"/>
      <c r="BZ74" s="269"/>
      <c r="CA74" s="269"/>
      <c r="CB74" s="269"/>
      <c r="CC74" s="269"/>
      <c r="CD74" s="269"/>
      <c r="CE74" s="269"/>
      <c r="CF74" s="269"/>
      <c r="CG74" s="269"/>
      <c r="CH74" s="269"/>
      <c r="CI74" s="269"/>
      <c r="CJ74" s="269"/>
      <c r="CK74" s="269"/>
      <c r="CL74" s="269"/>
      <c r="CM74" s="269"/>
      <c r="CN74" s="269"/>
      <c r="CO74" s="269"/>
      <c r="CP74" s="269"/>
      <c r="CQ74" s="269"/>
      <c r="CR74" s="269"/>
      <c r="CS74" s="269"/>
      <c r="CT74" s="269"/>
      <c r="CU74" s="269"/>
      <c r="CV74" s="269"/>
      <c r="CW74" s="269"/>
      <c r="CX74" s="269"/>
      <c r="CY74" s="269"/>
      <c r="CZ74" s="269"/>
      <c r="DA74" s="269"/>
      <c r="DB74" s="269"/>
      <c r="DC74" s="269"/>
      <c r="DD74" s="269"/>
      <c r="DE74" s="269"/>
      <c r="DF74" s="269"/>
      <c r="DG74" s="269"/>
      <c r="DH74" s="269"/>
      <c r="DI74" s="269"/>
      <c r="DJ74" s="269"/>
      <c r="DK74" s="269"/>
      <c r="DL74" s="269"/>
      <c r="DM74" s="269"/>
      <c r="DN74" s="269"/>
      <c r="DO74" s="269"/>
      <c r="DP74" s="269"/>
      <c r="DQ74" s="269"/>
      <c r="DR74" s="269"/>
      <c r="DS74" s="269"/>
      <c r="DT74" s="269"/>
      <c r="DU74" s="269"/>
      <c r="DV74" s="269"/>
      <c r="DW74" s="269"/>
      <c r="DX74" s="269"/>
      <c r="DY74" s="269"/>
      <c r="DZ74" s="269"/>
      <c r="EA74" s="269"/>
      <c r="EB74" s="269"/>
      <c r="EC74" s="269"/>
      <c r="ED74" s="269"/>
      <c r="EE74" s="269"/>
      <c r="EF74" s="269"/>
      <c r="EG74" s="269"/>
      <c r="EH74" s="269"/>
      <c r="EI74" s="269"/>
      <c r="EJ74" s="269"/>
      <c r="EK74" s="269"/>
      <c r="EL74" s="269"/>
      <c r="EM74" s="269"/>
      <c r="EN74" s="269"/>
      <c r="EO74" s="269"/>
      <c r="EP74" s="269"/>
      <c r="EQ74" s="269"/>
      <c r="ER74" s="269"/>
      <c r="ES74" s="269"/>
      <c r="ET74" s="269"/>
      <c r="EU74" s="269"/>
      <c r="EV74" s="269"/>
      <c r="EW74" s="269"/>
      <c r="EX74" s="269"/>
      <c r="EY74" s="269"/>
      <c r="EZ74" s="269"/>
      <c r="FA74" s="269"/>
      <c r="FB74" s="269"/>
      <c r="FC74" s="269"/>
      <c r="FD74" s="269"/>
      <c r="FE74" s="269"/>
      <c r="FF74" s="269"/>
      <c r="FG74" s="269"/>
      <c r="FH74" s="269"/>
      <c r="FI74" s="269"/>
      <c r="FJ74" s="269"/>
      <c r="FK74" s="269"/>
      <c r="FL74" s="269"/>
      <c r="FM74" s="269"/>
      <c r="FN74" s="269"/>
      <c r="FO74" s="269"/>
      <c r="FP74" s="269"/>
      <c r="FQ74" s="269"/>
      <c r="FR74" s="269"/>
      <c r="FS74" s="269"/>
      <c r="FT74" s="269"/>
      <c r="FU74" s="269"/>
      <c r="FV74" s="269"/>
      <c r="FW74" s="269"/>
      <c r="FX74" s="269"/>
      <c r="FY74" s="269"/>
      <c r="FZ74" s="269"/>
      <c r="GA74" s="269"/>
      <c r="GB74" s="269"/>
      <c r="GC74" s="269"/>
      <c r="GD74" s="269"/>
      <c r="GE74" s="269"/>
      <c r="GF74" s="269"/>
      <c r="GG74" s="269"/>
      <c r="GH74" s="269"/>
      <c r="GI74" s="269"/>
      <c r="GJ74" s="269"/>
      <c r="GK74" s="269"/>
      <c r="GL74" s="269"/>
      <c r="GM74" s="269"/>
      <c r="GN74" s="269"/>
      <c r="GO74" s="269"/>
      <c r="GP74" s="269"/>
      <c r="GQ74" s="269"/>
      <c r="GR74" s="269"/>
      <c r="GS74" s="269"/>
      <c r="GT74" s="269"/>
      <c r="GU74" s="269"/>
      <c r="GV74" s="269"/>
      <c r="GW74" s="269"/>
      <c r="GX74" s="269"/>
      <c r="GY74" s="269"/>
      <c r="GZ74" s="269"/>
      <c r="HA74" s="269"/>
      <c r="HB74" s="269"/>
      <c r="HC74" s="269"/>
      <c r="HD74" s="269"/>
      <c r="HE74" s="269"/>
      <c r="HF74" s="269"/>
      <c r="HG74" s="269"/>
      <c r="HH74" s="269"/>
      <c r="HI74" s="269"/>
      <c r="HJ74" s="269"/>
      <c r="HK74" s="269"/>
      <c r="HL74" s="269"/>
      <c r="HM74" s="269"/>
      <c r="HN74" s="269"/>
      <c r="HO74" s="269"/>
      <c r="HP74" s="269"/>
      <c r="HQ74" s="269"/>
      <c r="HR74" s="269"/>
      <c r="HS74" s="269"/>
      <c r="HT74" s="269"/>
      <c r="HU74" s="269"/>
      <c r="HV74" s="269"/>
      <c r="HW74" s="269"/>
      <c r="HX74" s="269"/>
      <c r="HY74" s="269"/>
      <c r="HZ74" s="269"/>
      <c r="IA74" s="269"/>
      <c r="IB74" s="269"/>
      <c r="IC74" s="269"/>
      <c r="ID74" s="269"/>
      <c r="IE74" s="269"/>
      <c r="IF74" s="269"/>
      <c r="IG74" s="269"/>
      <c r="IH74" s="269"/>
      <c r="II74" s="269"/>
      <c r="IJ74" s="269"/>
      <c r="IK74" s="269"/>
      <c r="IL74" s="269"/>
      <c r="IM74" s="269"/>
      <c r="IN74" s="269"/>
      <c r="IO74" s="269"/>
      <c r="IP74" s="269"/>
      <c r="IQ74" s="269"/>
      <c r="IR74" s="269"/>
      <c r="IS74" s="269"/>
      <c r="IT74" s="269"/>
      <c r="IU74" s="269"/>
      <c r="IV74" s="269"/>
      <c r="IW74" s="269"/>
      <c r="IX74" s="269"/>
      <c r="IY74" s="269"/>
      <c r="IZ74" s="269"/>
      <c r="JA74" s="269"/>
      <c r="JB74" s="269"/>
      <c r="JC74" s="269"/>
      <c r="JD74" s="269"/>
      <c r="JE74" s="269"/>
      <c r="JF74" s="269"/>
      <c r="JG74" s="269"/>
      <c r="JH74" s="269"/>
      <c r="JI74" s="269"/>
      <c r="JJ74" s="269"/>
      <c r="JK74" s="269"/>
      <c r="JL74" s="269"/>
      <c r="JM74" s="269"/>
      <c r="JN74" s="269"/>
      <c r="JO74" s="269"/>
      <c r="JP74" s="269"/>
      <c r="JQ74" s="269"/>
      <c r="JR74" s="269"/>
      <c r="JS74" s="269"/>
      <c r="JT74" s="269"/>
      <c r="JU74" s="269"/>
      <c r="JV74" s="269"/>
      <c r="JW74" s="269"/>
      <c r="JX74" s="269"/>
      <c r="JY74" s="269"/>
      <c r="JZ74" s="269"/>
      <c r="KA74" s="269"/>
      <c r="KB74" s="269"/>
      <c r="KC74" s="269"/>
      <c r="KD74" s="269"/>
      <c r="KE74" s="269"/>
      <c r="KF74" s="269"/>
      <c r="KG74" s="269"/>
      <c r="KH74" s="269"/>
      <c r="KI74" s="269"/>
      <c r="KJ74" s="269"/>
      <c r="KK74" s="269"/>
      <c r="KL74" s="269"/>
      <c r="KM74" s="269"/>
      <c r="KN74" s="269"/>
      <c r="KO74" s="269"/>
      <c r="KP74" s="269"/>
      <c r="KQ74" s="269"/>
      <c r="KR74" s="269"/>
      <c r="KS74" s="269"/>
      <c r="KT74" s="269"/>
      <c r="KU74" s="269"/>
      <c r="KV74" s="269"/>
      <c r="KW74" s="269"/>
      <c r="KX74" s="269"/>
      <c r="KY74" s="269"/>
      <c r="KZ74" s="269"/>
      <c r="LA74" s="269"/>
      <c r="LB74" s="269"/>
      <c r="LC74" s="269"/>
      <c r="LD74" s="269"/>
      <c r="LE74" s="269"/>
      <c r="LF74" s="269"/>
      <c r="LG74" s="269"/>
      <c r="LH74" s="269"/>
      <c r="LI74" s="269"/>
      <c r="LJ74" s="269"/>
      <c r="LK74" s="269"/>
      <c r="LL74" s="269"/>
      <c r="LM74" s="269"/>
      <c r="LN74" s="269"/>
      <c r="LO74" s="269"/>
      <c r="LP74" s="269"/>
      <c r="LQ74" s="269"/>
      <c r="LR74" s="269"/>
      <c r="LS74" s="269"/>
      <c r="LT74" s="269"/>
      <c r="LU74" s="269"/>
      <c r="LV74" s="269"/>
      <c r="LW74" s="269"/>
      <c r="LX74" s="269"/>
      <c r="LY74" s="269"/>
      <c r="LZ74" s="269"/>
      <c r="MA74" s="269"/>
      <c r="MB74" s="269"/>
      <c r="MC74" s="269"/>
      <c r="MD74" s="269"/>
      <c r="ME74" s="269"/>
      <c r="MF74" s="269"/>
      <c r="MG74" s="269"/>
      <c r="MH74" s="269"/>
      <c r="MI74" s="269"/>
      <c r="MJ74" s="269"/>
      <c r="MK74" s="269"/>
      <c r="ML74" s="269"/>
      <c r="MM74" s="269"/>
      <c r="MN74" s="269"/>
      <c r="MO74" s="269"/>
      <c r="MP74" s="269"/>
      <c r="MQ74" s="269"/>
      <c r="MR74" s="269"/>
      <c r="MS74" s="269"/>
      <c r="MT74" s="269"/>
      <c r="MU74" s="269"/>
      <c r="MV74" s="269"/>
      <c r="MW74" s="269"/>
      <c r="MX74" s="269"/>
      <c r="MY74" s="269"/>
      <c r="MZ74" s="269"/>
      <c r="NA74" s="269"/>
      <c r="NB74" s="269"/>
      <c r="NC74" s="269"/>
      <c r="ND74" s="269"/>
      <c r="NE74" s="269"/>
      <c r="NF74" s="269"/>
      <c r="NG74" s="269"/>
      <c r="NH74" s="269"/>
      <c r="NI74" s="269"/>
      <c r="NJ74" s="269"/>
      <c r="NK74" s="269"/>
      <c r="NL74" s="269"/>
      <c r="NM74" s="269"/>
      <c r="NN74" s="269"/>
      <c r="NO74" s="269"/>
      <c r="NP74" s="269"/>
      <c r="NQ74" s="269"/>
      <c r="NR74" s="269"/>
      <c r="NS74" s="269"/>
      <c r="NT74" s="269"/>
      <c r="NU74" s="269"/>
      <c r="NV74" s="269"/>
      <c r="NW74" s="269"/>
      <c r="NX74" s="269"/>
      <c r="NY74" s="269"/>
      <c r="NZ74" s="269"/>
      <c r="OA74" s="269"/>
      <c r="OB74" s="269"/>
      <c r="OC74" s="269"/>
      <c r="OD74" s="269"/>
      <c r="OE74" s="269"/>
      <c r="OF74" s="269"/>
      <c r="OG74" s="269"/>
      <c r="OH74" s="269"/>
      <c r="OI74" s="269"/>
      <c r="OJ74" s="269"/>
      <c r="OK74" s="269"/>
      <c r="OL74" s="269"/>
      <c r="OM74" s="269"/>
      <c r="ON74" s="269"/>
      <c r="OO74" s="269"/>
      <c r="OP74" s="269"/>
      <c r="OQ74" s="269"/>
      <c r="OR74" s="269"/>
      <c r="OS74" s="269"/>
      <c r="OT74" s="269"/>
      <c r="OU74" s="269"/>
      <c r="OV74" s="269"/>
      <c r="OW74" s="269"/>
      <c r="OX74" s="269"/>
      <c r="OY74" s="269"/>
      <c r="OZ74" s="269"/>
      <c r="PA74" s="269"/>
      <c r="PB74" s="269"/>
      <c r="PC74" s="269"/>
    </row>
    <row r="75" spans="1:419">
      <c r="A75" s="269"/>
      <c r="B75" s="287" t="s">
        <v>45</v>
      </c>
      <c r="C75" s="269"/>
      <c r="D75" s="269"/>
      <c r="E75" s="269"/>
      <c r="F75" s="269"/>
      <c r="G75" s="273">
        <v>0.15068493150684947</v>
      </c>
      <c r="H75" s="273">
        <v>9.8765432098765427E-2</v>
      </c>
      <c r="I75" s="273">
        <v>0.11764705882352944</v>
      </c>
      <c r="J75" s="273">
        <v>0</v>
      </c>
      <c r="K75" s="275">
        <v>-7.1428571428571508E-2</v>
      </c>
      <c r="L75" s="275">
        <v>-2.2471910112359716E-2</v>
      </c>
      <c r="M75" s="287" t="s">
        <v>45</v>
      </c>
      <c r="N75" s="269"/>
      <c r="O75" s="269"/>
      <c r="P75" s="269"/>
      <c r="Q75" s="269"/>
      <c r="R75" s="273">
        <v>0.16074548631333729</v>
      </c>
      <c r="S75" s="273">
        <v>9.8810139679255116E-2</v>
      </c>
      <c r="T75" s="273">
        <v>0.11863568956994563</v>
      </c>
      <c r="U75" s="273">
        <v>5.1546391752577136E-3</v>
      </c>
      <c r="V75" s="275">
        <v>-7.3758153537380911E-2</v>
      </c>
      <c r="W75" s="275">
        <v>-1.6007532956685555E-2</v>
      </c>
      <c r="X75" s="290" t="s">
        <v>45</v>
      </c>
      <c r="Y75" s="269"/>
      <c r="Z75" s="269"/>
      <c r="AA75" s="269"/>
      <c r="AB75" s="269"/>
      <c r="AC75" s="269"/>
      <c r="AD75" s="269"/>
      <c r="AE75" s="269"/>
      <c r="AF75" s="269"/>
      <c r="AG75" s="269"/>
      <c r="AH75" s="269"/>
      <c r="AI75" s="269"/>
      <c r="AJ75" s="269"/>
      <c r="AK75" s="269"/>
      <c r="AL75" s="269"/>
      <c r="AM75" s="269"/>
      <c r="AN75" s="269"/>
      <c r="AO75" s="269"/>
      <c r="AP75" s="269"/>
      <c r="AQ75" s="269"/>
      <c r="AR75" s="269"/>
      <c r="AS75" s="269"/>
      <c r="AT75" s="269"/>
      <c r="AU75" s="269"/>
      <c r="AV75" s="269"/>
      <c r="AW75" s="269"/>
      <c r="AX75" s="269"/>
      <c r="AY75" s="269"/>
      <c r="AZ75" s="269"/>
      <c r="BA75" s="269"/>
      <c r="BB75" s="269"/>
      <c r="BC75" s="269"/>
      <c r="BD75" s="269"/>
      <c r="BE75" s="269"/>
      <c r="BF75" s="269"/>
      <c r="BG75" s="269"/>
      <c r="BH75" s="269"/>
      <c r="BI75" s="269"/>
      <c r="BJ75" s="269"/>
      <c r="BK75" s="269"/>
      <c r="BL75" s="269"/>
      <c r="BM75" s="269"/>
      <c r="BN75" s="269"/>
      <c r="BO75" s="269"/>
      <c r="BP75" s="269"/>
      <c r="BQ75" s="269"/>
      <c r="BR75" s="269"/>
      <c r="BS75" s="269"/>
      <c r="BT75" s="269"/>
      <c r="BU75" s="269"/>
      <c r="BV75" s="269"/>
      <c r="BW75" s="269"/>
      <c r="BX75" s="269"/>
      <c r="BY75" s="269"/>
      <c r="BZ75" s="269"/>
      <c r="CA75" s="269"/>
      <c r="CB75" s="269"/>
      <c r="CC75" s="269"/>
      <c r="CD75" s="269"/>
      <c r="CE75" s="269"/>
      <c r="CF75" s="269"/>
      <c r="CG75" s="269"/>
      <c r="CH75" s="269"/>
      <c r="CI75" s="269"/>
      <c r="CJ75" s="269"/>
      <c r="CK75" s="269"/>
      <c r="CL75" s="269"/>
      <c r="CM75" s="269"/>
      <c r="CN75" s="269"/>
      <c r="CO75" s="269"/>
      <c r="CP75" s="269"/>
      <c r="CQ75" s="269"/>
      <c r="CR75" s="269"/>
      <c r="CS75" s="269"/>
      <c r="CT75" s="269"/>
      <c r="CU75" s="269"/>
      <c r="CV75" s="269"/>
      <c r="CW75" s="269"/>
      <c r="CX75" s="269"/>
      <c r="CY75" s="269"/>
      <c r="CZ75" s="269"/>
      <c r="DA75" s="269"/>
      <c r="DB75" s="269"/>
      <c r="DC75" s="269"/>
      <c r="DD75" s="269"/>
      <c r="DE75" s="269"/>
      <c r="DF75" s="269"/>
      <c r="DG75" s="269"/>
      <c r="DH75" s="269"/>
      <c r="DI75" s="269"/>
      <c r="DJ75" s="269"/>
      <c r="DK75" s="269"/>
      <c r="DL75" s="269"/>
      <c r="DM75" s="269"/>
      <c r="DN75" s="269"/>
      <c r="DO75" s="269"/>
      <c r="DP75" s="269"/>
      <c r="DQ75" s="269"/>
      <c r="DR75" s="269"/>
      <c r="DS75" s="269"/>
      <c r="DT75" s="269"/>
      <c r="DU75" s="269"/>
      <c r="DV75" s="269"/>
      <c r="DW75" s="269"/>
      <c r="DX75" s="269"/>
      <c r="DY75" s="269"/>
      <c r="DZ75" s="269"/>
      <c r="EA75" s="269"/>
      <c r="EB75" s="269"/>
      <c r="EC75" s="269"/>
      <c r="ED75" s="269"/>
      <c r="EE75" s="269"/>
      <c r="EF75" s="269"/>
      <c r="EG75" s="269"/>
      <c r="EH75" s="269"/>
      <c r="EI75" s="269"/>
      <c r="EJ75" s="269"/>
      <c r="EK75" s="269"/>
      <c r="EL75" s="269"/>
      <c r="EM75" s="269"/>
      <c r="EN75" s="269"/>
      <c r="EO75" s="269"/>
      <c r="EP75" s="269"/>
      <c r="EQ75" s="269"/>
      <c r="ER75" s="269"/>
      <c r="ES75" s="269"/>
      <c r="ET75" s="269"/>
      <c r="EU75" s="269"/>
      <c r="EV75" s="269"/>
      <c r="EW75" s="269"/>
      <c r="EX75" s="269"/>
      <c r="EY75" s="269"/>
      <c r="EZ75" s="269"/>
      <c r="FA75" s="269"/>
      <c r="FB75" s="269"/>
      <c r="FC75" s="269"/>
      <c r="FD75" s="269"/>
      <c r="FE75" s="269"/>
      <c r="FF75" s="269"/>
      <c r="FG75" s="269"/>
      <c r="FH75" s="269"/>
      <c r="FI75" s="269"/>
      <c r="FJ75" s="269"/>
      <c r="FK75" s="269"/>
      <c r="FL75" s="269"/>
      <c r="FM75" s="269"/>
      <c r="FN75" s="269"/>
      <c r="FO75" s="269"/>
      <c r="FP75" s="269"/>
      <c r="FQ75" s="269"/>
      <c r="FR75" s="269"/>
      <c r="FS75" s="269"/>
      <c r="FT75" s="269"/>
      <c r="FU75" s="269"/>
      <c r="FV75" s="269"/>
      <c r="FW75" s="269"/>
      <c r="FX75" s="269"/>
      <c r="FY75" s="269"/>
      <c r="FZ75" s="269"/>
      <c r="GA75" s="269"/>
      <c r="GB75" s="269"/>
      <c r="GC75" s="269"/>
      <c r="GD75" s="269"/>
      <c r="GE75" s="269"/>
      <c r="GF75" s="269"/>
      <c r="GG75" s="269"/>
      <c r="GH75" s="269"/>
      <c r="GI75" s="269"/>
      <c r="GJ75" s="269"/>
      <c r="GK75" s="269"/>
      <c r="GL75" s="269"/>
      <c r="GM75" s="269"/>
      <c r="GN75" s="269"/>
      <c r="GO75" s="269"/>
      <c r="GP75" s="269"/>
      <c r="GQ75" s="269"/>
      <c r="GR75" s="269"/>
      <c r="GS75" s="269"/>
      <c r="GT75" s="269"/>
      <c r="GU75" s="269"/>
      <c r="GV75" s="269"/>
      <c r="GW75" s="269"/>
      <c r="GX75" s="269"/>
      <c r="GY75" s="269"/>
      <c r="GZ75" s="269"/>
      <c r="HA75" s="269"/>
      <c r="HB75" s="269"/>
      <c r="HC75" s="269"/>
      <c r="HD75" s="269"/>
      <c r="HE75" s="269"/>
      <c r="HF75" s="269"/>
      <c r="HG75" s="269"/>
      <c r="HH75" s="269"/>
      <c r="HI75" s="269"/>
      <c r="HJ75" s="269"/>
      <c r="HK75" s="269"/>
      <c r="HL75" s="269"/>
      <c r="HM75" s="269"/>
      <c r="HN75" s="269"/>
      <c r="HO75" s="269"/>
      <c r="HP75" s="269"/>
      <c r="HQ75" s="269"/>
      <c r="HR75" s="269"/>
      <c r="HS75" s="269"/>
      <c r="HT75" s="269"/>
      <c r="HU75" s="269"/>
      <c r="HV75" s="269"/>
      <c r="HW75" s="269"/>
      <c r="HX75" s="269"/>
      <c r="HY75" s="269"/>
      <c r="HZ75" s="269"/>
      <c r="IA75" s="269"/>
      <c r="IB75" s="269"/>
      <c r="IC75" s="269"/>
      <c r="ID75" s="269"/>
      <c r="IE75" s="269"/>
      <c r="IF75" s="269"/>
      <c r="IG75" s="269"/>
      <c r="IH75" s="269"/>
      <c r="II75" s="269"/>
      <c r="IJ75" s="269"/>
      <c r="IK75" s="269"/>
      <c r="IL75" s="269"/>
      <c r="IM75" s="269"/>
      <c r="IN75" s="269"/>
      <c r="IO75" s="269"/>
      <c r="IP75" s="269"/>
      <c r="IQ75" s="269"/>
      <c r="IR75" s="269"/>
      <c r="IS75" s="269"/>
      <c r="IT75" s="269"/>
      <c r="IU75" s="269"/>
      <c r="IV75" s="269"/>
      <c r="IW75" s="269"/>
      <c r="IX75" s="269"/>
      <c r="IY75" s="269"/>
      <c r="IZ75" s="269"/>
      <c r="JA75" s="269"/>
      <c r="JB75" s="269"/>
      <c r="JC75" s="269"/>
      <c r="JD75" s="269"/>
      <c r="JE75" s="269"/>
      <c r="JF75" s="269"/>
      <c r="JG75" s="269"/>
      <c r="JH75" s="269"/>
      <c r="JI75" s="269"/>
      <c r="JJ75" s="269"/>
      <c r="JK75" s="269"/>
      <c r="JL75" s="269"/>
      <c r="JM75" s="269"/>
      <c r="JN75" s="269"/>
      <c r="JO75" s="269"/>
      <c r="JP75" s="269"/>
      <c r="JQ75" s="269"/>
      <c r="JR75" s="269"/>
      <c r="JS75" s="269"/>
      <c r="JT75" s="269"/>
      <c r="JU75" s="269"/>
      <c r="JV75" s="269"/>
      <c r="JW75" s="269"/>
      <c r="JX75" s="269"/>
      <c r="JY75" s="269"/>
      <c r="JZ75" s="269"/>
      <c r="KA75" s="269"/>
      <c r="KB75" s="269"/>
      <c r="KC75" s="269"/>
      <c r="KD75" s="269"/>
      <c r="KE75" s="269"/>
      <c r="KF75" s="269"/>
      <c r="KG75" s="269"/>
      <c r="KH75" s="269"/>
      <c r="KI75" s="269"/>
      <c r="KJ75" s="269"/>
      <c r="KK75" s="269"/>
      <c r="KL75" s="269"/>
      <c r="KM75" s="269"/>
      <c r="KN75" s="269"/>
      <c r="KO75" s="269"/>
      <c r="KP75" s="269"/>
      <c r="KQ75" s="269"/>
      <c r="KR75" s="269"/>
      <c r="KS75" s="269"/>
      <c r="KT75" s="269"/>
      <c r="KU75" s="269"/>
      <c r="KV75" s="269"/>
      <c r="KW75" s="269"/>
      <c r="KX75" s="269"/>
      <c r="KY75" s="269"/>
      <c r="KZ75" s="269"/>
      <c r="LA75" s="269"/>
      <c r="LB75" s="269"/>
      <c r="LC75" s="269"/>
      <c r="LD75" s="269"/>
      <c r="LE75" s="269"/>
      <c r="LF75" s="269"/>
      <c r="LG75" s="269"/>
      <c r="LH75" s="269"/>
      <c r="LI75" s="269"/>
      <c r="LJ75" s="269"/>
      <c r="LK75" s="269"/>
      <c r="LL75" s="269"/>
      <c r="LM75" s="269"/>
      <c r="LN75" s="269"/>
      <c r="LO75" s="269"/>
      <c r="LP75" s="269"/>
      <c r="LQ75" s="269"/>
      <c r="LR75" s="269"/>
      <c r="LS75" s="269"/>
      <c r="LT75" s="269"/>
      <c r="LU75" s="269"/>
      <c r="LV75" s="269"/>
      <c r="LW75" s="269"/>
      <c r="LX75" s="269"/>
      <c r="LY75" s="269"/>
      <c r="LZ75" s="269"/>
      <c r="MA75" s="269"/>
      <c r="MB75" s="269"/>
      <c r="MC75" s="269"/>
      <c r="MD75" s="269"/>
      <c r="ME75" s="269"/>
      <c r="MF75" s="269"/>
      <c r="MG75" s="269"/>
      <c r="MH75" s="269"/>
      <c r="MI75" s="269"/>
      <c r="MJ75" s="269"/>
      <c r="MK75" s="269"/>
      <c r="ML75" s="269"/>
      <c r="MM75" s="269"/>
      <c r="MN75" s="269"/>
      <c r="MO75" s="269"/>
      <c r="MP75" s="269"/>
      <c r="MQ75" s="269"/>
      <c r="MR75" s="269"/>
      <c r="MS75" s="269"/>
      <c r="MT75" s="269"/>
      <c r="MU75" s="269"/>
      <c r="MV75" s="269"/>
      <c r="MW75" s="269"/>
      <c r="MX75" s="269"/>
      <c r="MY75" s="269"/>
      <c r="MZ75" s="269"/>
      <c r="NA75" s="269"/>
      <c r="NB75" s="269"/>
      <c r="NC75" s="269"/>
      <c r="ND75" s="269"/>
      <c r="NE75" s="269"/>
      <c r="NF75" s="269"/>
      <c r="NG75" s="269"/>
      <c r="NH75" s="269"/>
      <c r="NI75" s="269"/>
      <c r="NJ75" s="269"/>
      <c r="NK75" s="269"/>
      <c r="NL75" s="269"/>
      <c r="NM75" s="269"/>
      <c r="NN75" s="269"/>
      <c r="NO75" s="269"/>
      <c r="NP75" s="269"/>
      <c r="NQ75" s="269"/>
      <c r="NR75" s="269"/>
      <c r="NS75" s="269"/>
      <c r="NT75" s="269"/>
      <c r="NU75" s="269"/>
      <c r="NV75" s="269"/>
      <c r="NW75" s="269"/>
      <c r="NX75" s="269"/>
      <c r="NY75" s="269"/>
      <c r="NZ75" s="269"/>
      <c r="OA75" s="269"/>
      <c r="OB75" s="269"/>
      <c r="OC75" s="269"/>
      <c r="OD75" s="269"/>
      <c r="OE75" s="269"/>
      <c r="OF75" s="269"/>
      <c r="OG75" s="269"/>
      <c r="OH75" s="269"/>
      <c r="OI75" s="269"/>
      <c r="OJ75" s="269"/>
      <c r="OK75" s="269"/>
      <c r="OL75" s="269"/>
      <c r="OM75" s="269"/>
      <c r="ON75" s="269"/>
      <c r="OO75" s="269"/>
      <c r="OP75" s="269"/>
      <c r="OQ75" s="269"/>
      <c r="OR75" s="269"/>
      <c r="OS75" s="269"/>
      <c r="OT75" s="269"/>
      <c r="OU75" s="269"/>
      <c r="OV75" s="269"/>
      <c r="OW75" s="269"/>
      <c r="OX75" s="269"/>
      <c r="OY75" s="269"/>
      <c r="OZ75" s="269"/>
      <c r="PA75" s="269"/>
      <c r="PB75" s="269"/>
      <c r="PC75" s="269"/>
    </row>
    <row r="76" spans="1:419">
      <c r="A76" s="269"/>
      <c r="B76" s="287" t="s">
        <v>36</v>
      </c>
      <c r="C76" s="269"/>
      <c r="D76" s="269"/>
      <c r="E76" s="269"/>
      <c r="F76" s="269"/>
      <c r="G76" s="273">
        <v>-1.0714285714285787E-2</v>
      </c>
      <c r="H76" s="273">
        <v>0</v>
      </c>
      <c r="I76" s="273">
        <v>-2.1505376344085891E-2</v>
      </c>
      <c r="J76" s="273">
        <v>-3.9568345323741094E-2</v>
      </c>
      <c r="K76" s="273">
        <v>-5.0541516245487306E-2</v>
      </c>
      <c r="L76" s="274">
        <v>-5.3191489361702149E-2</v>
      </c>
      <c r="M76" s="287" t="s">
        <v>36</v>
      </c>
      <c r="N76" s="269"/>
      <c r="O76" s="269"/>
      <c r="P76" s="269"/>
      <c r="Q76" s="269"/>
      <c r="R76" s="273">
        <v>3.6158518947064788E-3</v>
      </c>
      <c r="S76" s="273">
        <v>1.5073947667804344E-2</v>
      </c>
      <c r="T76" s="273">
        <v>-1.0238616649128285E-2</v>
      </c>
      <c r="U76" s="273">
        <v>-3.2621908127208554E-2</v>
      </c>
      <c r="V76" s="273">
        <v>-3.5682374981985898E-2</v>
      </c>
      <c r="W76" s="274">
        <v>-2.776688147940598E-2</v>
      </c>
      <c r="X76" s="287" t="s">
        <v>36</v>
      </c>
      <c r="Y76" s="269"/>
      <c r="Z76" s="269"/>
      <c r="AA76" s="269"/>
      <c r="AB76" s="269"/>
      <c r="AC76" s="269"/>
      <c r="AD76" s="269"/>
      <c r="AE76" s="269"/>
      <c r="AF76" s="269"/>
      <c r="AG76" s="269"/>
      <c r="AH76" s="269"/>
      <c r="AI76" s="269"/>
      <c r="AJ76" s="269"/>
      <c r="AK76" s="269"/>
      <c r="AL76" s="269"/>
      <c r="AM76" s="269"/>
      <c r="AN76" s="269"/>
      <c r="AO76" s="269"/>
      <c r="AP76" s="269"/>
      <c r="AQ76" s="269"/>
      <c r="AR76" s="269"/>
      <c r="AS76" s="269"/>
      <c r="AT76" s="269"/>
      <c r="AU76" s="269"/>
      <c r="AV76" s="269"/>
      <c r="AW76" s="269"/>
      <c r="AX76" s="269"/>
      <c r="AY76" s="269"/>
      <c r="AZ76" s="269"/>
      <c r="BA76" s="269"/>
      <c r="BB76" s="269"/>
      <c r="BC76" s="269"/>
      <c r="BD76" s="269"/>
      <c r="BE76" s="269"/>
      <c r="BF76" s="269"/>
      <c r="BG76" s="269"/>
      <c r="BH76" s="269"/>
      <c r="BI76" s="269"/>
      <c r="BJ76" s="269"/>
      <c r="BK76" s="269"/>
      <c r="BL76" s="269"/>
      <c r="BM76" s="269"/>
      <c r="BN76" s="269"/>
      <c r="BO76" s="269"/>
      <c r="BP76" s="269"/>
      <c r="BQ76" s="269"/>
      <c r="BR76" s="269"/>
      <c r="BS76" s="269"/>
      <c r="BT76" s="269"/>
      <c r="BU76" s="269"/>
      <c r="BV76" s="269"/>
      <c r="BW76" s="269"/>
      <c r="BX76" s="269"/>
      <c r="BY76" s="269"/>
      <c r="BZ76" s="269"/>
      <c r="CA76" s="269"/>
      <c r="CB76" s="269"/>
      <c r="CC76" s="269"/>
      <c r="CD76" s="269"/>
      <c r="CE76" s="269"/>
      <c r="CF76" s="269"/>
      <c r="CG76" s="269"/>
      <c r="CH76" s="269"/>
      <c r="CI76" s="269"/>
      <c r="CJ76" s="269"/>
      <c r="CK76" s="269"/>
      <c r="CL76" s="269"/>
      <c r="CM76" s="269"/>
      <c r="CN76" s="269"/>
      <c r="CO76" s="269"/>
      <c r="CP76" s="269"/>
      <c r="CQ76" s="269"/>
      <c r="CR76" s="269"/>
      <c r="CS76" s="269"/>
      <c r="CT76" s="269"/>
      <c r="CU76" s="269"/>
      <c r="CV76" s="269"/>
      <c r="CW76" s="269"/>
      <c r="CX76" s="269"/>
      <c r="CY76" s="269"/>
      <c r="CZ76" s="269"/>
      <c r="DA76" s="269"/>
      <c r="DB76" s="269"/>
      <c r="DC76" s="269"/>
      <c r="DD76" s="269"/>
      <c r="DE76" s="269"/>
      <c r="DF76" s="269"/>
      <c r="DG76" s="269"/>
      <c r="DH76" s="269"/>
      <c r="DI76" s="269"/>
      <c r="DJ76" s="269"/>
      <c r="DK76" s="269"/>
      <c r="DL76" s="269"/>
      <c r="DM76" s="269"/>
      <c r="DN76" s="269"/>
      <c r="DO76" s="269"/>
      <c r="DP76" s="269"/>
      <c r="DQ76" s="269"/>
      <c r="DR76" s="269"/>
      <c r="DS76" s="269"/>
      <c r="DT76" s="269"/>
      <c r="DU76" s="269"/>
      <c r="DV76" s="269"/>
      <c r="DW76" s="269"/>
      <c r="DX76" s="269"/>
      <c r="DY76" s="269"/>
      <c r="DZ76" s="269"/>
      <c r="EA76" s="269"/>
      <c r="EB76" s="269"/>
      <c r="EC76" s="269"/>
      <c r="ED76" s="269"/>
      <c r="EE76" s="269"/>
      <c r="EF76" s="269"/>
      <c r="EG76" s="269"/>
      <c r="EH76" s="269"/>
      <c r="EI76" s="269"/>
      <c r="EJ76" s="269"/>
      <c r="EK76" s="269"/>
      <c r="EL76" s="269"/>
      <c r="EM76" s="269"/>
      <c r="EN76" s="269"/>
      <c r="EO76" s="269"/>
      <c r="EP76" s="269"/>
      <c r="EQ76" s="269"/>
      <c r="ER76" s="269"/>
      <c r="ES76" s="269"/>
      <c r="ET76" s="269"/>
      <c r="EU76" s="269"/>
      <c r="EV76" s="269"/>
      <c r="EW76" s="269"/>
      <c r="EX76" s="269"/>
      <c r="EY76" s="269"/>
      <c r="EZ76" s="269"/>
      <c r="FA76" s="269"/>
      <c r="FB76" s="269"/>
      <c r="FC76" s="269"/>
      <c r="FD76" s="269"/>
      <c r="FE76" s="269"/>
      <c r="FF76" s="269"/>
      <c r="FG76" s="269"/>
      <c r="FH76" s="269"/>
      <c r="FI76" s="269"/>
      <c r="FJ76" s="269"/>
      <c r="FK76" s="269"/>
      <c r="FL76" s="269"/>
      <c r="FM76" s="269"/>
      <c r="FN76" s="269"/>
      <c r="FO76" s="269"/>
      <c r="FP76" s="269"/>
      <c r="FQ76" s="269"/>
      <c r="FR76" s="269"/>
      <c r="FS76" s="269"/>
      <c r="FT76" s="269"/>
      <c r="FU76" s="269"/>
      <c r="FV76" s="269"/>
      <c r="FW76" s="269"/>
      <c r="FX76" s="269"/>
      <c r="FY76" s="269"/>
      <c r="FZ76" s="269"/>
      <c r="GA76" s="269"/>
      <c r="GB76" s="269"/>
      <c r="GC76" s="269"/>
      <c r="GD76" s="269"/>
      <c r="GE76" s="269"/>
      <c r="GF76" s="269"/>
      <c r="GG76" s="269"/>
      <c r="GH76" s="269"/>
      <c r="GI76" s="269"/>
      <c r="GJ76" s="269"/>
      <c r="GK76" s="269"/>
      <c r="GL76" s="269"/>
      <c r="GM76" s="269"/>
      <c r="GN76" s="269"/>
      <c r="GO76" s="269"/>
      <c r="GP76" s="269"/>
      <c r="GQ76" s="269"/>
      <c r="GR76" s="269"/>
      <c r="GS76" s="269"/>
      <c r="GT76" s="269"/>
      <c r="GU76" s="269"/>
      <c r="GV76" s="269"/>
      <c r="GW76" s="269"/>
      <c r="GX76" s="269"/>
      <c r="GY76" s="269"/>
      <c r="GZ76" s="269"/>
      <c r="HA76" s="269"/>
      <c r="HB76" s="269"/>
      <c r="HC76" s="269"/>
      <c r="HD76" s="269"/>
      <c r="HE76" s="269"/>
      <c r="HF76" s="269"/>
      <c r="HG76" s="269"/>
      <c r="HH76" s="269"/>
      <c r="HI76" s="269"/>
      <c r="HJ76" s="269"/>
      <c r="HK76" s="269"/>
      <c r="HL76" s="269"/>
      <c r="HM76" s="269"/>
      <c r="HN76" s="269"/>
      <c r="HO76" s="269"/>
      <c r="HP76" s="269"/>
      <c r="HQ76" s="269"/>
      <c r="HR76" s="269"/>
      <c r="HS76" s="269"/>
      <c r="HT76" s="269"/>
      <c r="HU76" s="269"/>
      <c r="HV76" s="269"/>
      <c r="HW76" s="269"/>
      <c r="HX76" s="269"/>
      <c r="HY76" s="269"/>
      <c r="HZ76" s="269"/>
      <c r="IA76" s="269"/>
      <c r="IB76" s="269"/>
      <c r="IC76" s="269"/>
      <c r="ID76" s="269"/>
      <c r="IE76" s="269"/>
      <c r="IF76" s="269"/>
      <c r="IG76" s="269"/>
      <c r="IH76" s="269"/>
      <c r="II76" s="269"/>
      <c r="IJ76" s="269"/>
      <c r="IK76" s="269"/>
      <c r="IL76" s="269"/>
      <c r="IM76" s="269"/>
      <c r="IN76" s="269"/>
      <c r="IO76" s="269"/>
      <c r="IP76" s="269"/>
      <c r="IQ76" s="269"/>
      <c r="IR76" s="269"/>
      <c r="IS76" s="269"/>
      <c r="IT76" s="269"/>
      <c r="IU76" s="269"/>
      <c r="IV76" s="269"/>
      <c r="IW76" s="269"/>
      <c r="IX76" s="269"/>
      <c r="IY76" s="269"/>
      <c r="IZ76" s="269"/>
      <c r="JA76" s="269"/>
      <c r="JB76" s="269"/>
      <c r="JC76" s="269"/>
      <c r="JD76" s="269"/>
      <c r="JE76" s="269"/>
      <c r="JF76" s="269"/>
      <c r="JG76" s="269"/>
      <c r="JH76" s="269"/>
      <c r="JI76" s="269"/>
      <c r="JJ76" s="269"/>
      <c r="JK76" s="269"/>
      <c r="JL76" s="269"/>
      <c r="JM76" s="269"/>
      <c r="JN76" s="269"/>
      <c r="JO76" s="269"/>
      <c r="JP76" s="269"/>
      <c r="JQ76" s="269"/>
      <c r="JR76" s="269"/>
      <c r="JS76" s="269"/>
      <c r="JT76" s="269"/>
      <c r="JU76" s="269"/>
      <c r="JV76" s="269"/>
      <c r="JW76" s="269"/>
      <c r="JX76" s="269"/>
      <c r="JY76" s="269"/>
      <c r="JZ76" s="269"/>
      <c r="KA76" s="269"/>
      <c r="KB76" s="269"/>
      <c r="KC76" s="269"/>
      <c r="KD76" s="269"/>
      <c r="KE76" s="269"/>
      <c r="KF76" s="269"/>
      <c r="KG76" s="269"/>
      <c r="KH76" s="269"/>
      <c r="KI76" s="269"/>
      <c r="KJ76" s="269"/>
      <c r="KK76" s="269"/>
      <c r="KL76" s="269"/>
      <c r="KM76" s="269"/>
      <c r="KN76" s="269"/>
      <c r="KO76" s="269"/>
      <c r="KP76" s="269"/>
      <c r="KQ76" s="269"/>
      <c r="KR76" s="269"/>
      <c r="KS76" s="269"/>
      <c r="KT76" s="269"/>
      <c r="KU76" s="269"/>
      <c r="KV76" s="269"/>
      <c r="KW76" s="269"/>
      <c r="KX76" s="269"/>
      <c r="KY76" s="269"/>
      <c r="KZ76" s="269"/>
      <c r="LA76" s="269"/>
      <c r="LB76" s="269"/>
      <c r="LC76" s="269"/>
      <c r="LD76" s="269"/>
      <c r="LE76" s="269"/>
      <c r="LF76" s="269"/>
      <c r="LG76" s="269"/>
      <c r="LH76" s="269"/>
      <c r="LI76" s="269"/>
      <c r="LJ76" s="269"/>
      <c r="LK76" s="269"/>
      <c r="LL76" s="269"/>
      <c r="LM76" s="269"/>
      <c r="LN76" s="269"/>
      <c r="LO76" s="269"/>
      <c r="LP76" s="269"/>
      <c r="LQ76" s="269"/>
      <c r="LR76" s="269"/>
      <c r="LS76" s="269"/>
      <c r="LT76" s="269"/>
      <c r="LU76" s="269"/>
      <c r="LV76" s="269"/>
      <c r="LW76" s="269"/>
      <c r="LX76" s="269"/>
      <c r="LY76" s="269"/>
      <c r="LZ76" s="269"/>
      <c r="MA76" s="269"/>
      <c r="MB76" s="269"/>
      <c r="MC76" s="269"/>
      <c r="MD76" s="269"/>
      <c r="ME76" s="269"/>
      <c r="MF76" s="269"/>
      <c r="MG76" s="269"/>
      <c r="MH76" s="269"/>
      <c r="MI76" s="269"/>
      <c r="MJ76" s="269"/>
      <c r="MK76" s="269"/>
      <c r="ML76" s="269"/>
      <c r="MM76" s="269"/>
      <c r="MN76" s="269"/>
      <c r="MO76" s="269"/>
      <c r="MP76" s="269"/>
      <c r="MQ76" s="269"/>
      <c r="MR76" s="269"/>
      <c r="MS76" s="269"/>
      <c r="MT76" s="269"/>
      <c r="MU76" s="269"/>
      <c r="MV76" s="269"/>
      <c r="MW76" s="269"/>
      <c r="MX76" s="269"/>
      <c r="MY76" s="269"/>
      <c r="MZ76" s="269"/>
      <c r="NA76" s="269"/>
      <c r="NB76" s="269"/>
      <c r="NC76" s="269"/>
      <c r="ND76" s="269"/>
      <c r="NE76" s="269"/>
      <c r="NF76" s="269"/>
      <c r="NG76" s="269"/>
      <c r="NH76" s="269"/>
      <c r="NI76" s="269"/>
      <c r="NJ76" s="269"/>
      <c r="NK76" s="269"/>
      <c r="NL76" s="269"/>
      <c r="NM76" s="269"/>
      <c r="NN76" s="269"/>
      <c r="NO76" s="269"/>
      <c r="NP76" s="269"/>
      <c r="NQ76" s="269"/>
      <c r="NR76" s="269"/>
      <c r="NS76" s="269"/>
      <c r="NT76" s="269"/>
      <c r="NU76" s="269"/>
      <c r="NV76" s="269"/>
      <c r="NW76" s="269"/>
      <c r="NX76" s="269"/>
      <c r="NY76" s="269"/>
      <c r="NZ76" s="269"/>
      <c r="OA76" s="269"/>
      <c r="OB76" s="269"/>
      <c r="OC76" s="269"/>
      <c r="OD76" s="269"/>
      <c r="OE76" s="269"/>
      <c r="OF76" s="269"/>
      <c r="OG76" s="269"/>
      <c r="OH76" s="269"/>
      <c r="OI76" s="269"/>
      <c r="OJ76" s="269"/>
      <c r="OK76" s="269"/>
      <c r="OL76" s="269"/>
      <c r="OM76" s="269"/>
      <c r="ON76" s="269"/>
      <c r="OO76" s="269"/>
      <c r="OP76" s="269"/>
      <c r="OQ76" s="269"/>
      <c r="OR76" s="269"/>
      <c r="OS76" s="269"/>
      <c r="OT76" s="269"/>
      <c r="OU76" s="269"/>
      <c r="OV76" s="269"/>
      <c r="OW76" s="269"/>
      <c r="OX76" s="269"/>
      <c r="OY76" s="269"/>
      <c r="OZ76" s="269"/>
      <c r="PA76" s="269"/>
      <c r="PB76" s="269"/>
      <c r="PC76" s="269"/>
    </row>
    <row r="77" spans="1:419">
      <c r="A77" s="269"/>
      <c r="B77" s="287" t="s">
        <v>37</v>
      </c>
      <c r="C77" s="269"/>
      <c r="D77" s="269"/>
      <c r="E77" s="269"/>
      <c r="F77" s="269"/>
      <c r="G77" s="273">
        <v>3.2863849765258246E-2</v>
      </c>
      <c r="H77" s="273">
        <v>1.8018018018018056E-2</v>
      </c>
      <c r="I77" s="273">
        <v>4.484304932735439E-3</v>
      </c>
      <c r="J77" s="273">
        <v>0</v>
      </c>
      <c r="K77" s="273">
        <v>-3.6363636363636376E-2</v>
      </c>
      <c r="L77" s="273">
        <v>-2.2123893805309769E-2</v>
      </c>
      <c r="M77" s="287" t="s">
        <v>37</v>
      </c>
      <c r="N77" s="269"/>
      <c r="O77" s="269"/>
      <c r="P77" s="269"/>
      <c r="Q77" s="269"/>
      <c r="R77" s="273">
        <v>5.795395081109378E-2</v>
      </c>
      <c r="S77" s="273">
        <v>3.2214600685938288E-2</v>
      </c>
      <c r="T77" s="273">
        <v>2.6849714493986099E-2</v>
      </c>
      <c r="U77" s="273">
        <v>2.3509244520631745E-2</v>
      </c>
      <c r="V77" s="273">
        <v>-4.9462099666131021E-3</v>
      </c>
      <c r="W77" s="273">
        <v>1.6731933072267502E-2</v>
      </c>
      <c r="X77" s="290" t="s">
        <v>37</v>
      </c>
      <c r="Y77" s="269"/>
      <c r="Z77" s="269"/>
      <c r="AA77" s="269"/>
      <c r="AB77" s="269"/>
      <c r="AC77" s="269"/>
      <c r="AD77" s="269"/>
      <c r="AE77" s="269"/>
      <c r="AF77" s="269"/>
      <c r="AG77" s="269"/>
      <c r="AH77" s="269"/>
      <c r="AI77" s="269"/>
      <c r="AJ77" s="269"/>
      <c r="AK77" s="269"/>
      <c r="AL77" s="269"/>
      <c r="AM77" s="269"/>
      <c r="AN77" s="269"/>
      <c r="AO77" s="269"/>
      <c r="AP77" s="269"/>
      <c r="AQ77" s="269"/>
      <c r="AR77" s="269"/>
      <c r="AS77" s="269"/>
      <c r="AT77" s="269"/>
      <c r="AU77" s="269"/>
      <c r="AV77" s="269"/>
      <c r="AW77" s="269"/>
      <c r="AX77" s="269"/>
      <c r="AY77" s="269"/>
      <c r="AZ77" s="269"/>
      <c r="BA77" s="269"/>
      <c r="BB77" s="269"/>
      <c r="BC77" s="269"/>
      <c r="BD77" s="269"/>
      <c r="BE77" s="269"/>
      <c r="BF77" s="269"/>
      <c r="BG77" s="269"/>
      <c r="BH77" s="269"/>
      <c r="BI77" s="269"/>
      <c r="BJ77" s="269"/>
      <c r="BK77" s="269"/>
      <c r="BL77" s="269"/>
      <c r="BM77" s="269"/>
      <c r="BN77" s="269"/>
      <c r="BO77" s="269"/>
      <c r="BP77" s="269"/>
      <c r="BQ77" s="269"/>
      <c r="BR77" s="269"/>
      <c r="BS77" s="269"/>
      <c r="BT77" s="269"/>
      <c r="BU77" s="269"/>
      <c r="BV77" s="269"/>
      <c r="BW77" s="269"/>
      <c r="BX77" s="269"/>
      <c r="BY77" s="269"/>
      <c r="BZ77" s="269"/>
      <c r="CA77" s="269"/>
      <c r="CB77" s="269"/>
      <c r="CC77" s="269"/>
      <c r="CD77" s="269"/>
      <c r="CE77" s="269"/>
      <c r="CF77" s="269"/>
      <c r="CG77" s="269"/>
      <c r="CH77" s="269"/>
      <c r="CI77" s="269"/>
      <c r="CJ77" s="269"/>
      <c r="CK77" s="269"/>
      <c r="CL77" s="269"/>
      <c r="CM77" s="269"/>
      <c r="CN77" s="269"/>
      <c r="CO77" s="269"/>
      <c r="CP77" s="269"/>
      <c r="CQ77" s="269"/>
      <c r="CR77" s="269"/>
      <c r="CS77" s="269"/>
      <c r="CT77" s="269"/>
      <c r="CU77" s="269"/>
      <c r="CV77" s="269"/>
      <c r="CW77" s="269"/>
      <c r="CX77" s="269"/>
      <c r="CY77" s="269"/>
      <c r="CZ77" s="269"/>
      <c r="DA77" s="269"/>
      <c r="DB77" s="269"/>
      <c r="DC77" s="269"/>
      <c r="DD77" s="269"/>
      <c r="DE77" s="269"/>
      <c r="DF77" s="269"/>
      <c r="DG77" s="269"/>
      <c r="DH77" s="269"/>
      <c r="DI77" s="269"/>
      <c r="DJ77" s="269"/>
      <c r="DK77" s="269"/>
      <c r="DL77" s="269"/>
      <c r="DM77" s="269"/>
      <c r="DN77" s="269"/>
      <c r="DO77" s="269"/>
      <c r="DP77" s="269"/>
      <c r="DQ77" s="269"/>
      <c r="DR77" s="269"/>
      <c r="DS77" s="269"/>
      <c r="DT77" s="269"/>
      <c r="DU77" s="269"/>
      <c r="DV77" s="269"/>
      <c r="DW77" s="269"/>
      <c r="DX77" s="269"/>
      <c r="DY77" s="269"/>
      <c r="DZ77" s="269"/>
      <c r="EA77" s="269"/>
      <c r="EB77" s="269"/>
      <c r="EC77" s="269"/>
      <c r="ED77" s="269"/>
      <c r="EE77" s="269"/>
      <c r="EF77" s="269"/>
      <c r="EG77" s="269"/>
      <c r="EH77" s="269"/>
      <c r="EI77" s="269"/>
      <c r="EJ77" s="269"/>
      <c r="EK77" s="269"/>
      <c r="EL77" s="269"/>
      <c r="EM77" s="269"/>
      <c r="EN77" s="269"/>
      <c r="EO77" s="269"/>
      <c r="EP77" s="269"/>
      <c r="EQ77" s="269"/>
      <c r="ER77" s="269"/>
      <c r="ES77" s="269"/>
      <c r="ET77" s="269"/>
      <c r="EU77" s="269"/>
      <c r="EV77" s="269"/>
      <c r="EW77" s="269"/>
      <c r="EX77" s="269"/>
      <c r="EY77" s="269"/>
      <c r="EZ77" s="269"/>
      <c r="FA77" s="269"/>
      <c r="FB77" s="269"/>
      <c r="FC77" s="269"/>
      <c r="FD77" s="269"/>
      <c r="FE77" s="269"/>
      <c r="FF77" s="269"/>
      <c r="FG77" s="269"/>
      <c r="FH77" s="269"/>
      <c r="FI77" s="269"/>
      <c r="FJ77" s="269"/>
      <c r="FK77" s="269"/>
      <c r="FL77" s="269"/>
      <c r="FM77" s="269"/>
      <c r="FN77" s="269"/>
      <c r="FO77" s="269"/>
      <c r="FP77" s="269"/>
      <c r="FQ77" s="269"/>
      <c r="FR77" s="269"/>
      <c r="FS77" s="269"/>
      <c r="FT77" s="269"/>
      <c r="FU77" s="269"/>
      <c r="FV77" s="269"/>
      <c r="FW77" s="269"/>
      <c r="FX77" s="269"/>
      <c r="FY77" s="269"/>
      <c r="FZ77" s="269"/>
      <c r="GA77" s="269"/>
      <c r="GB77" s="269"/>
      <c r="GC77" s="269"/>
      <c r="GD77" s="269"/>
      <c r="GE77" s="269"/>
      <c r="GF77" s="269"/>
      <c r="GG77" s="269"/>
      <c r="GH77" s="269"/>
      <c r="GI77" s="269"/>
      <c r="GJ77" s="269"/>
      <c r="GK77" s="269"/>
      <c r="GL77" s="269"/>
      <c r="GM77" s="269"/>
      <c r="GN77" s="269"/>
      <c r="GO77" s="269"/>
      <c r="GP77" s="269"/>
      <c r="GQ77" s="269"/>
      <c r="GR77" s="269"/>
      <c r="GS77" s="269"/>
      <c r="GT77" s="269"/>
      <c r="GU77" s="269"/>
      <c r="GV77" s="269"/>
      <c r="GW77" s="269"/>
      <c r="GX77" s="269"/>
      <c r="GY77" s="269"/>
      <c r="GZ77" s="269"/>
      <c r="HA77" s="269"/>
      <c r="HB77" s="269"/>
      <c r="HC77" s="269"/>
      <c r="HD77" s="269"/>
      <c r="HE77" s="269"/>
      <c r="HF77" s="269"/>
      <c r="HG77" s="269"/>
      <c r="HH77" s="269"/>
      <c r="HI77" s="269"/>
      <c r="HJ77" s="269"/>
      <c r="HK77" s="269"/>
      <c r="HL77" s="269"/>
      <c r="HM77" s="269"/>
      <c r="HN77" s="269"/>
      <c r="HO77" s="269"/>
      <c r="HP77" s="269"/>
      <c r="HQ77" s="269"/>
      <c r="HR77" s="269"/>
      <c r="HS77" s="269"/>
      <c r="HT77" s="269"/>
      <c r="HU77" s="269"/>
      <c r="HV77" s="269"/>
      <c r="HW77" s="269"/>
      <c r="HX77" s="269"/>
      <c r="HY77" s="269"/>
      <c r="HZ77" s="269"/>
      <c r="IA77" s="269"/>
      <c r="IB77" s="269"/>
      <c r="IC77" s="269"/>
      <c r="ID77" s="269"/>
      <c r="IE77" s="269"/>
      <c r="IF77" s="269"/>
      <c r="IG77" s="269"/>
      <c r="IH77" s="269"/>
      <c r="II77" s="269"/>
      <c r="IJ77" s="269"/>
      <c r="IK77" s="269"/>
      <c r="IL77" s="269"/>
      <c r="IM77" s="269"/>
      <c r="IN77" s="269"/>
      <c r="IO77" s="269"/>
      <c r="IP77" s="269"/>
      <c r="IQ77" s="269"/>
      <c r="IR77" s="269"/>
      <c r="IS77" s="269"/>
      <c r="IT77" s="269"/>
      <c r="IU77" s="269"/>
      <c r="IV77" s="269"/>
      <c r="IW77" s="269"/>
      <c r="IX77" s="269"/>
      <c r="IY77" s="269"/>
      <c r="IZ77" s="269"/>
      <c r="JA77" s="269"/>
      <c r="JB77" s="269"/>
      <c r="JC77" s="269"/>
      <c r="JD77" s="269"/>
      <c r="JE77" s="269"/>
      <c r="JF77" s="269"/>
      <c r="JG77" s="269"/>
      <c r="JH77" s="269"/>
      <c r="JI77" s="269"/>
      <c r="JJ77" s="269"/>
      <c r="JK77" s="269"/>
      <c r="JL77" s="269"/>
      <c r="JM77" s="269"/>
      <c r="JN77" s="269"/>
      <c r="JO77" s="269"/>
      <c r="JP77" s="269"/>
      <c r="JQ77" s="269"/>
      <c r="JR77" s="269"/>
      <c r="JS77" s="269"/>
      <c r="JT77" s="269"/>
      <c r="JU77" s="269"/>
      <c r="JV77" s="269"/>
      <c r="JW77" s="269"/>
      <c r="JX77" s="269"/>
      <c r="JY77" s="269"/>
      <c r="JZ77" s="269"/>
      <c r="KA77" s="269"/>
      <c r="KB77" s="269"/>
      <c r="KC77" s="269"/>
      <c r="KD77" s="269"/>
      <c r="KE77" s="269"/>
      <c r="KF77" s="269"/>
      <c r="KG77" s="269"/>
      <c r="KH77" s="269"/>
      <c r="KI77" s="269"/>
      <c r="KJ77" s="269"/>
      <c r="KK77" s="269"/>
      <c r="KL77" s="269"/>
      <c r="KM77" s="269"/>
      <c r="KN77" s="269"/>
      <c r="KO77" s="269"/>
      <c r="KP77" s="269"/>
      <c r="KQ77" s="269"/>
      <c r="KR77" s="269"/>
      <c r="KS77" s="269"/>
      <c r="KT77" s="269"/>
      <c r="KU77" s="269"/>
      <c r="KV77" s="269"/>
      <c r="KW77" s="269"/>
      <c r="KX77" s="269"/>
      <c r="KY77" s="269"/>
      <c r="KZ77" s="269"/>
      <c r="LA77" s="269"/>
      <c r="LB77" s="269"/>
      <c r="LC77" s="269"/>
      <c r="LD77" s="269"/>
      <c r="LE77" s="269"/>
      <c r="LF77" s="269"/>
      <c r="LG77" s="269"/>
      <c r="LH77" s="269"/>
      <c r="LI77" s="269"/>
      <c r="LJ77" s="269"/>
      <c r="LK77" s="269"/>
      <c r="LL77" s="269"/>
      <c r="LM77" s="269"/>
      <c r="LN77" s="269"/>
      <c r="LO77" s="269"/>
      <c r="LP77" s="269"/>
      <c r="LQ77" s="269"/>
      <c r="LR77" s="269"/>
      <c r="LS77" s="269"/>
      <c r="LT77" s="269"/>
      <c r="LU77" s="269"/>
      <c r="LV77" s="269"/>
      <c r="LW77" s="269"/>
      <c r="LX77" s="269"/>
      <c r="LY77" s="269"/>
      <c r="LZ77" s="269"/>
      <c r="MA77" s="269"/>
      <c r="MB77" s="269"/>
      <c r="MC77" s="269"/>
      <c r="MD77" s="269"/>
      <c r="ME77" s="269"/>
      <c r="MF77" s="269"/>
      <c r="MG77" s="269"/>
      <c r="MH77" s="269"/>
      <c r="MI77" s="269"/>
      <c r="MJ77" s="269"/>
      <c r="MK77" s="269"/>
      <c r="ML77" s="269"/>
      <c r="MM77" s="269"/>
      <c r="MN77" s="269"/>
      <c r="MO77" s="269"/>
      <c r="MP77" s="269"/>
      <c r="MQ77" s="269"/>
      <c r="MR77" s="269"/>
      <c r="MS77" s="269"/>
      <c r="MT77" s="269"/>
      <c r="MU77" s="269"/>
      <c r="MV77" s="269"/>
      <c r="MW77" s="269"/>
      <c r="MX77" s="269"/>
      <c r="MY77" s="269"/>
      <c r="MZ77" s="269"/>
      <c r="NA77" s="269"/>
      <c r="NB77" s="269"/>
      <c r="NC77" s="269"/>
      <c r="ND77" s="269"/>
      <c r="NE77" s="269"/>
      <c r="NF77" s="269"/>
      <c r="NG77" s="269"/>
      <c r="NH77" s="269"/>
      <c r="NI77" s="269"/>
      <c r="NJ77" s="269"/>
      <c r="NK77" s="269"/>
      <c r="NL77" s="269"/>
      <c r="NM77" s="269"/>
      <c r="NN77" s="269"/>
      <c r="NO77" s="269"/>
      <c r="NP77" s="269"/>
      <c r="NQ77" s="269"/>
      <c r="NR77" s="269"/>
      <c r="NS77" s="269"/>
      <c r="NT77" s="269"/>
      <c r="NU77" s="269"/>
      <c r="NV77" s="269"/>
      <c r="NW77" s="269"/>
      <c r="NX77" s="269"/>
      <c r="NY77" s="269"/>
      <c r="NZ77" s="269"/>
      <c r="OA77" s="269"/>
      <c r="OB77" s="269"/>
      <c r="OC77" s="269"/>
      <c r="OD77" s="269"/>
      <c r="OE77" s="269"/>
      <c r="OF77" s="269"/>
      <c r="OG77" s="269"/>
      <c r="OH77" s="269"/>
      <c r="OI77" s="269"/>
      <c r="OJ77" s="269"/>
      <c r="OK77" s="269"/>
      <c r="OL77" s="269"/>
      <c r="OM77" s="269"/>
      <c r="ON77" s="269"/>
      <c r="OO77" s="269"/>
      <c r="OP77" s="269"/>
      <c r="OQ77" s="269"/>
      <c r="OR77" s="269"/>
      <c r="OS77" s="269"/>
      <c r="OT77" s="269"/>
      <c r="OU77" s="269"/>
      <c r="OV77" s="269"/>
      <c r="OW77" s="269"/>
      <c r="OX77" s="269"/>
      <c r="OY77" s="269"/>
      <c r="OZ77" s="269"/>
      <c r="PA77" s="269"/>
      <c r="PB77" s="269"/>
      <c r="PC77" s="269"/>
    </row>
    <row r="78" spans="1:419">
      <c r="A78" s="269"/>
      <c r="B78" s="287" t="s">
        <v>38</v>
      </c>
      <c r="C78" s="269"/>
      <c r="D78" s="269"/>
      <c r="E78" s="269"/>
      <c r="F78" s="269"/>
      <c r="G78" s="273">
        <v>0</v>
      </c>
      <c r="H78" s="273">
        <v>-0.17647058823529416</v>
      </c>
      <c r="I78" s="273">
        <v>7.6923076923076872E-2</v>
      </c>
      <c r="J78" s="273">
        <v>8.3333333333333481E-2</v>
      </c>
      <c r="K78" s="273">
        <v>-0.14285714285714279</v>
      </c>
      <c r="L78" s="273">
        <v>-0.14285714285714279</v>
      </c>
      <c r="M78" s="287" t="s">
        <v>38</v>
      </c>
      <c r="N78" s="269"/>
      <c r="O78" s="269"/>
      <c r="P78" s="269"/>
      <c r="Q78" s="269"/>
      <c r="R78" s="273">
        <v>2.9520295202952074E-2</v>
      </c>
      <c r="S78" s="273">
        <v>-0.14243614931237725</v>
      </c>
      <c r="T78" s="273">
        <v>0.13093709884467253</v>
      </c>
      <c r="U78" s="273">
        <v>8.5526315789473673E-2</v>
      </c>
      <c r="V78" s="273">
        <v>-0.13142174432497011</v>
      </c>
      <c r="W78" s="273">
        <v>-0.15922107674684982</v>
      </c>
      <c r="X78" s="290" t="s">
        <v>38</v>
      </c>
      <c r="Y78" s="269"/>
      <c r="Z78" s="269"/>
      <c r="AA78" s="269"/>
      <c r="AB78" s="269"/>
      <c r="AC78" s="269"/>
      <c r="AD78" s="269"/>
      <c r="AE78" s="269"/>
      <c r="AF78" s="269"/>
      <c r="AG78" s="269"/>
      <c r="AH78" s="269"/>
      <c r="AI78" s="269"/>
      <c r="AJ78" s="269"/>
      <c r="AK78" s="269"/>
      <c r="AL78" s="269"/>
      <c r="AM78" s="269"/>
      <c r="AN78" s="269"/>
      <c r="AO78" s="269"/>
      <c r="AP78" s="269"/>
      <c r="AQ78" s="269"/>
      <c r="AR78" s="269"/>
      <c r="AS78" s="269"/>
      <c r="AT78" s="269"/>
      <c r="AU78" s="269"/>
      <c r="AV78" s="269"/>
      <c r="AW78" s="269"/>
      <c r="AX78" s="269"/>
      <c r="AY78" s="269"/>
      <c r="AZ78" s="269"/>
      <c r="BA78" s="269"/>
      <c r="BB78" s="269"/>
      <c r="BC78" s="269"/>
      <c r="BD78" s="269"/>
      <c r="BE78" s="269"/>
      <c r="BF78" s="269"/>
      <c r="BG78" s="269"/>
      <c r="BH78" s="269"/>
      <c r="BI78" s="269"/>
      <c r="BJ78" s="269"/>
      <c r="BK78" s="269"/>
      <c r="BL78" s="269"/>
      <c r="BM78" s="269"/>
      <c r="BN78" s="269"/>
      <c r="BO78" s="269"/>
      <c r="BP78" s="269"/>
      <c r="BQ78" s="269"/>
      <c r="BR78" s="269"/>
      <c r="BS78" s="269"/>
      <c r="BT78" s="269"/>
      <c r="BU78" s="269"/>
      <c r="BV78" s="269"/>
      <c r="BW78" s="269"/>
      <c r="BX78" s="269"/>
      <c r="BY78" s="269"/>
      <c r="BZ78" s="269"/>
      <c r="CA78" s="269"/>
      <c r="CB78" s="269"/>
      <c r="CC78" s="269"/>
      <c r="CD78" s="269"/>
      <c r="CE78" s="269"/>
      <c r="CF78" s="269"/>
      <c r="CG78" s="269"/>
      <c r="CH78" s="269"/>
      <c r="CI78" s="269"/>
      <c r="CJ78" s="269"/>
      <c r="CK78" s="269"/>
      <c r="CL78" s="269"/>
      <c r="CM78" s="269"/>
      <c r="CN78" s="269"/>
      <c r="CO78" s="269"/>
      <c r="CP78" s="269"/>
      <c r="CQ78" s="269"/>
      <c r="CR78" s="269"/>
      <c r="CS78" s="269"/>
      <c r="CT78" s="269"/>
      <c r="CU78" s="269"/>
      <c r="CV78" s="269"/>
      <c r="CW78" s="269"/>
      <c r="CX78" s="269"/>
      <c r="CY78" s="269"/>
      <c r="CZ78" s="269"/>
      <c r="DA78" s="269"/>
      <c r="DB78" s="269"/>
      <c r="DC78" s="269"/>
      <c r="DD78" s="269"/>
      <c r="DE78" s="269"/>
      <c r="DF78" s="269"/>
      <c r="DG78" s="269"/>
      <c r="DH78" s="269"/>
      <c r="DI78" s="269"/>
      <c r="DJ78" s="269"/>
      <c r="DK78" s="269"/>
      <c r="DL78" s="269"/>
      <c r="DM78" s="269"/>
      <c r="DN78" s="269"/>
      <c r="DO78" s="269"/>
      <c r="DP78" s="269"/>
      <c r="DQ78" s="269"/>
      <c r="DR78" s="269"/>
      <c r="DS78" s="269"/>
      <c r="DT78" s="269"/>
      <c r="DU78" s="269"/>
      <c r="DV78" s="269"/>
      <c r="DW78" s="269"/>
      <c r="DX78" s="269"/>
      <c r="DY78" s="269"/>
      <c r="DZ78" s="269"/>
      <c r="EA78" s="269"/>
      <c r="EB78" s="269"/>
      <c r="EC78" s="269"/>
      <c r="ED78" s="269"/>
      <c r="EE78" s="269"/>
      <c r="EF78" s="269"/>
      <c r="EG78" s="269"/>
      <c r="EH78" s="269"/>
      <c r="EI78" s="269"/>
      <c r="EJ78" s="269"/>
      <c r="EK78" s="269"/>
      <c r="EL78" s="269"/>
      <c r="EM78" s="269"/>
      <c r="EN78" s="269"/>
      <c r="EO78" s="269"/>
      <c r="EP78" s="269"/>
      <c r="EQ78" s="269"/>
      <c r="ER78" s="269"/>
      <c r="ES78" s="269"/>
      <c r="ET78" s="269"/>
      <c r="EU78" s="269"/>
      <c r="EV78" s="269"/>
      <c r="EW78" s="269"/>
      <c r="EX78" s="269"/>
      <c r="EY78" s="269"/>
      <c r="EZ78" s="269"/>
      <c r="FA78" s="269"/>
      <c r="FB78" s="269"/>
      <c r="FC78" s="269"/>
      <c r="FD78" s="269"/>
      <c r="FE78" s="269"/>
      <c r="FF78" s="269"/>
      <c r="FG78" s="269"/>
      <c r="FH78" s="269"/>
      <c r="FI78" s="269"/>
      <c r="FJ78" s="269"/>
      <c r="FK78" s="269"/>
      <c r="FL78" s="269"/>
      <c r="FM78" s="269"/>
      <c r="FN78" s="269"/>
      <c r="FO78" s="269"/>
      <c r="FP78" s="269"/>
      <c r="FQ78" s="269"/>
      <c r="FR78" s="269"/>
      <c r="FS78" s="269"/>
      <c r="FT78" s="269"/>
      <c r="FU78" s="269"/>
      <c r="FV78" s="269"/>
      <c r="FW78" s="269"/>
      <c r="FX78" s="269"/>
      <c r="FY78" s="269"/>
      <c r="FZ78" s="269"/>
      <c r="GA78" s="269"/>
      <c r="GB78" s="269"/>
      <c r="GC78" s="269"/>
      <c r="GD78" s="269"/>
      <c r="GE78" s="269"/>
      <c r="GF78" s="269"/>
      <c r="GG78" s="269"/>
      <c r="GH78" s="269"/>
      <c r="GI78" s="269"/>
      <c r="GJ78" s="269"/>
      <c r="GK78" s="269"/>
      <c r="GL78" s="269"/>
      <c r="GM78" s="269"/>
      <c r="GN78" s="269"/>
      <c r="GO78" s="269"/>
      <c r="GP78" s="269"/>
      <c r="GQ78" s="269"/>
      <c r="GR78" s="269"/>
      <c r="GS78" s="269"/>
      <c r="GT78" s="269"/>
      <c r="GU78" s="269"/>
      <c r="GV78" s="269"/>
      <c r="GW78" s="269"/>
      <c r="GX78" s="269"/>
      <c r="GY78" s="269"/>
      <c r="GZ78" s="269"/>
      <c r="HA78" s="269"/>
      <c r="HB78" s="269"/>
      <c r="HC78" s="269"/>
      <c r="HD78" s="269"/>
      <c r="HE78" s="269"/>
      <c r="HF78" s="269"/>
      <c r="HG78" s="269"/>
      <c r="HH78" s="269"/>
      <c r="HI78" s="269"/>
      <c r="HJ78" s="269"/>
      <c r="HK78" s="269"/>
      <c r="HL78" s="269"/>
      <c r="HM78" s="269"/>
      <c r="HN78" s="269"/>
      <c r="HO78" s="269"/>
      <c r="HP78" s="269"/>
      <c r="HQ78" s="269"/>
      <c r="HR78" s="269"/>
      <c r="HS78" s="269"/>
      <c r="HT78" s="269"/>
      <c r="HU78" s="269"/>
      <c r="HV78" s="269"/>
      <c r="HW78" s="269"/>
      <c r="HX78" s="269"/>
      <c r="HY78" s="269"/>
      <c r="HZ78" s="269"/>
      <c r="IA78" s="269"/>
      <c r="IB78" s="269"/>
      <c r="IC78" s="269"/>
      <c r="ID78" s="269"/>
      <c r="IE78" s="269"/>
      <c r="IF78" s="269"/>
      <c r="IG78" s="269"/>
      <c r="IH78" s="269"/>
      <c r="II78" s="269"/>
      <c r="IJ78" s="269"/>
      <c r="IK78" s="269"/>
      <c r="IL78" s="269"/>
      <c r="IM78" s="269"/>
      <c r="IN78" s="269"/>
      <c r="IO78" s="269"/>
      <c r="IP78" s="269"/>
      <c r="IQ78" s="269"/>
      <c r="IR78" s="269"/>
      <c r="IS78" s="269"/>
      <c r="IT78" s="269"/>
      <c r="IU78" s="269"/>
      <c r="IV78" s="269"/>
      <c r="IW78" s="269"/>
      <c r="IX78" s="269"/>
      <c r="IY78" s="269"/>
      <c r="IZ78" s="269"/>
      <c r="JA78" s="269"/>
      <c r="JB78" s="269"/>
      <c r="JC78" s="269"/>
      <c r="JD78" s="269"/>
      <c r="JE78" s="269"/>
      <c r="JF78" s="269"/>
      <c r="JG78" s="269"/>
      <c r="JH78" s="269"/>
      <c r="JI78" s="269"/>
      <c r="JJ78" s="269"/>
      <c r="JK78" s="269"/>
      <c r="JL78" s="269"/>
      <c r="JM78" s="269"/>
      <c r="JN78" s="269"/>
      <c r="JO78" s="269"/>
      <c r="JP78" s="269"/>
      <c r="JQ78" s="269"/>
      <c r="JR78" s="269"/>
      <c r="JS78" s="269"/>
      <c r="JT78" s="269"/>
      <c r="JU78" s="269"/>
      <c r="JV78" s="269"/>
      <c r="JW78" s="269"/>
      <c r="JX78" s="269"/>
      <c r="JY78" s="269"/>
      <c r="JZ78" s="269"/>
      <c r="KA78" s="269"/>
      <c r="KB78" s="269"/>
      <c r="KC78" s="269"/>
      <c r="KD78" s="269"/>
      <c r="KE78" s="269"/>
      <c r="KF78" s="269"/>
      <c r="KG78" s="269"/>
      <c r="KH78" s="269"/>
      <c r="KI78" s="269"/>
      <c r="KJ78" s="269"/>
      <c r="KK78" s="269"/>
      <c r="KL78" s="269"/>
      <c r="KM78" s="269"/>
      <c r="KN78" s="269"/>
      <c r="KO78" s="269"/>
      <c r="KP78" s="269"/>
      <c r="KQ78" s="269"/>
      <c r="KR78" s="269"/>
      <c r="KS78" s="269"/>
      <c r="KT78" s="269"/>
      <c r="KU78" s="269"/>
      <c r="KV78" s="269"/>
      <c r="KW78" s="269"/>
      <c r="KX78" s="269"/>
      <c r="KY78" s="269"/>
      <c r="KZ78" s="269"/>
      <c r="LA78" s="269"/>
      <c r="LB78" s="269"/>
      <c r="LC78" s="269"/>
      <c r="LD78" s="269"/>
      <c r="LE78" s="269"/>
      <c r="LF78" s="269"/>
      <c r="LG78" s="269"/>
      <c r="LH78" s="269"/>
      <c r="LI78" s="269"/>
      <c r="LJ78" s="269"/>
      <c r="LK78" s="269"/>
      <c r="LL78" s="269"/>
      <c r="LM78" s="269"/>
      <c r="LN78" s="269"/>
      <c r="LO78" s="269"/>
      <c r="LP78" s="269"/>
      <c r="LQ78" s="269"/>
      <c r="LR78" s="269"/>
      <c r="LS78" s="269"/>
      <c r="LT78" s="269"/>
      <c r="LU78" s="269"/>
      <c r="LV78" s="269"/>
      <c r="LW78" s="269"/>
      <c r="LX78" s="269"/>
      <c r="LY78" s="269"/>
      <c r="LZ78" s="269"/>
      <c r="MA78" s="269"/>
      <c r="MB78" s="269"/>
      <c r="MC78" s="269"/>
      <c r="MD78" s="269"/>
      <c r="ME78" s="269"/>
      <c r="MF78" s="269"/>
      <c r="MG78" s="269"/>
      <c r="MH78" s="269"/>
      <c r="MI78" s="269"/>
      <c r="MJ78" s="269"/>
      <c r="MK78" s="269"/>
      <c r="ML78" s="269"/>
      <c r="MM78" s="269"/>
      <c r="MN78" s="269"/>
      <c r="MO78" s="269"/>
      <c r="MP78" s="269"/>
      <c r="MQ78" s="269"/>
      <c r="MR78" s="269"/>
      <c r="MS78" s="269"/>
      <c r="MT78" s="269"/>
      <c r="MU78" s="269"/>
      <c r="MV78" s="269"/>
      <c r="MW78" s="269"/>
      <c r="MX78" s="269"/>
      <c r="MY78" s="269"/>
      <c r="MZ78" s="269"/>
      <c r="NA78" s="269"/>
      <c r="NB78" s="269"/>
      <c r="NC78" s="269"/>
      <c r="ND78" s="269"/>
      <c r="NE78" s="269"/>
      <c r="NF78" s="269"/>
      <c r="NG78" s="269"/>
      <c r="NH78" s="269"/>
      <c r="NI78" s="269"/>
      <c r="NJ78" s="269"/>
      <c r="NK78" s="269"/>
      <c r="NL78" s="269"/>
      <c r="NM78" s="269"/>
      <c r="NN78" s="269"/>
      <c r="NO78" s="269"/>
      <c r="NP78" s="269"/>
      <c r="NQ78" s="269"/>
      <c r="NR78" s="269"/>
      <c r="NS78" s="269"/>
      <c r="NT78" s="269"/>
      <c r="NU78" s="269"/>
      <c r="NV78" s="269"/>
      <c r="NW78" s="269"/>
      <c r="NX78" s="269"/>
      <c r="NY78" s="269"/>
      <c r="NZ78" s="269"/>
      <c r="OA78" s="269"/>
      <c r="OB78" s="269"/>
      <c r="OC78" s="269"/>
      <c r="OD78" s="269"/>
      <c r="OE78" s="269"/>
      <c r="OF78" s="269"/>
      <c r="OG78" s="269"/>
      <c r="OH78" s="269"/>
      <c r="OI78" s="269"/>
      <c r="OJ78" s="269"/>
      <c r="OK78" s="269"/>
      <c r="OL78" s="269"/>
      <c r="OM78" s="269"/>
      <c r="ON78" s="269"/>
      <c r="OO78" s="269"/>
      <c r="OP78" s="269"/>
      <c r="OQ78" s="269"/>
      <c r="OR78" s="269"/>
      <c r="OS78" s="269"/>
      <c r="OT78" s="269"/>
      <c r="OU78" s="269"/>
      <c r="OV78" s="269"/>
      <c r="OW78" s="269"/>
      <c r="OX78" s="269"/>
      <c r="OY78" s="269"/>
      <c r="OZ78" s="269"/>
      <c r="PA78" s="269"/>
      <c r="PB78" s="269"/>
      <c r="PC78" s="269"/>
    </row>
    <row r="79" spans="1:419">
      <c r="A79" s="269"/>
      <c r="B79" s="287" t="s">
        <v>40</v>
      </c>
      <c r="C79" s="269"/>
      <c r="D79" s="269"/>
      <c r="E79" s="269"/>
      <c r="F79" s="269"/>
      <c r="G79" s="273">
        <v>-1.0000000000000009E-2</v>
      </c>
      <c r="H79" s="273">
        <v>-8.2568807339449601E-2</v>
      </c>
      <c r="I79" s="273">
        <v>-9.0909090909090939E-2</v>
      </c>
      <c r="J79" s="273">
        <v>-9.9009900990099098E-3</v>
      </c>
      <c r="K79" s="273">
        <v>-8.0808080808080884E-2</v>
      </c>
      <c r="L79" s="274">
        <v>-5.0000000000000044E-2</v>
      </c>
      <c r="M79" s="287" t="s">
        <v>40</v>
      </c>
      <c r="N79" s="269"/>
      <c r="O79" s="269"/>
      <c r="P79" s="269"/>
      <c r="Q79" s="269"/>
      <c r="R79" s="273">
        <v>7.411067193675791E-3</v>
      </c>
      <c r="S79" s="273">
        <v>-5.8108108108108181E-2</v>
      </c>
      <c r="T79" s="273">
        <v>-6.5958388667551993E-2</v>
      </c>
      <c r="U79" s="273">
        <v>0</v>
      </c>
      <c r="V79" s="273">
        <v>-6.4737616478666049E-2</v>
      </c>
      <c r="W79" s="274">
        <v>-3.730272596843609E-2</v>
      </c>
      <c r="X79" s="287" t="s">
        <v>40</v>
      </c>
      <c r="Y79" s="269"/>
      <c r="Z79" s="269"/>
      <c r="AA79" s="269"/>
      <c r="AB79" s="269"/>
      <c r="AC79" s="269"/>
      <c r="AD79" s="269"/>
      <c r="AE79" s="269"/>
      <c r="AF79" s="269"/>
      <c r="AG79" s="269"/>
      <c r="AH79" s="269"/>
      <c r="AI79" s="269"/>
      <c r="AJ79" s="269"/>
      <c r="AK79" s="269"/>
      <c r="AL79" s="269"/>
      <c r="AM79" s="269"/>
      <c r="AN79" s="269"/>
      <c r="AO79" s="269"/>
      <c r="AP79" s="269"/>
      <c r="AQ79" s="269"/>
      <c r="AR79" s="269"/>
      <c r="AS79" s="269"/>
      <c r="AT79" s="269"/>
      <c r="AU79" s="269"/>
      <c r="AV79" s="269"/>
      <c r="AW79" s="269"/>
      <c r="AX79" s="269"/>
      <c r="AY79" s="269"/>
      <c r="AZ79" s="269"/>
      <c r="BA79" s="269"/>
      <c r="BB79" s="269"/>
      <c r="BC79" s="269"/>
      <c r="BD79" s="269"/>
      <c r="BE79" s="269"/>
      <c r="BF79" s="269"/>
      <c r="BG79" s="269"/>
      <c r="BH79" s="269"/>
      <c r="BI79" s="269"/>
      <c r="BJ79" s="269"/>
      <c r="BK79" s="269"/>
      <c r="BL79" s="269"/>
      <c r="BM79" s="269"/>
      <c r="BN79" s="269"/>
      <c r="BO79" s="269"/>
      <c r="BP79" s="269"/>
      <c r="BQ79" s="269"/>
      <c r="BR79" s="269"/>
      <c r="BS79" s="269"/>
      <c r="BT79" s="269"/>
      <c r="BU79" s="269"/>
      <c r="BV79" s="269"/>
      <c r="BW79" s="269"/>
      <c r="BX79" s="269"/>
      <c r="BY79" s="269"/>
      <c r="BZ79" s="269"/>
      <c r="CA79" s="269"/>
      <c r="CB79" s="269"/>
      <c r="CC79" s="269"/>
      <c r="CD79" s="269"/>
      <c r="CE79" s="269"/>
      <c r="CF79" s="269"/>
      <c r="CG79" s="269"/>
      <c r="CH79" s="269"/>
      <c r="CI79" s="269"/>
      <c r="CJ79" s="269"/>
      <c r="CK79" s="269"/>
      <c r="CL79" s="269"/>
      <c r="CM79" s="269"/>
      <c r="CN79" s="269"/>
      <c r="CO79" s="269"/>
      <c r="CP79" s="269"/>
      <c r="CQ79" s="269"/>
      <c r="CR79" s="269"/>
      <c r="CS79" s="269"/>
      <c r="CT79" s="269"/>
      <c r="CU79" s="269"/>
      <c r="CV79" s="269"/>
      <c r="CW79" s="269"/>
      <c r="CX79" s="269"/>
      <c r="CY79" s="269"/>
      <c r="CZ79" s="269"/>
      <c r="DA79" s="269"/>
      <c r="DB79" s="269"/>
      <c r="DC79" s="269"/>
      <c r="DD79" s="269"/>
      <c r="DE79" s="269"/>
      <c r="DF79" s="269"/>
      <c r="DG79" s="269"/>
      <c r="DH79" s="269"/>
      <c r="DI79" s="269"/>
      <c r="DJ79" s="269"/>
      <c r="DK79" s="269"/>
      <c r="DL79" s="269"/>
      <c r="DM79" s="269"/>
      <c r="DN79" s="269"/>
      <c r="DO79" s="269"/>
      <c r="DP79" s="269"/>
      <c r="DQ79" s="269"/>
      <c r="DR79" s="269"/>
      <c r="DS79" s="269"/>
      <c r="DT79" s="269"/>
      <c r="DU79" s="269"/>
      <c r="DV79" s="269"/>
      <c r="DW79" s="269"/>
      <c r="DX79" s="269"/>
      <c r="DY79" s="269"/>
      <c r="DZ79" s="269"/>
      <c r="EA79" s="269"/>
      <c r="EB79" s="269"/>
      <c r="EC79" s="269"/>
      <c r="ED79" s="269"/>
      <c r="EE79" s="269"/>
      <c r="EF79" s="269"/>
      <c r="EG79" s="269"/>
      <c r="EH79" s="269"/>
      <c r="EI79" s="269"/>
      <c r="EJ79" s="269"/>
      <c r="EK79" s="269"/>
      <c r="EL79" s="269"/>
      <c r="EM79" s="269"/>
      <c r="EN79" s="269"/>
      <c r="EO79" s="269"/>
      <c r="EP79" s="269"/>
      <c r="EQ79" s="269"/>
      <c r="ER79" s="269"/>
      <c r="ES79" s="269"/>
      <c r="ET79" s="269"/>
      <c r="EU79" s="269"/>
      <c r="EV79" s="269"/>
      <c r="EW79" s="269"/>
      <c r="EX79" s="269"/>
      <c r="EY79" s="269"/>
      <c r="EZ79" s="269"/>
      <c r="FA79" s="269"/>
      <c r="FB79" s="269"/>
      <c r="FC79" s="269"/>
      <c r="FD79" s="269"/>
      <c r="FE79" s="269"/>
      <c r="FF79" s="269"/>
      <c r="FG79" s="269"/>
      <c r="FH79" s="269"/>
      <c r="FI79" s="269"/>
      <c r="FJ79" s="269"/>
      <c r="FK79" s="269"/>
      <c r="FL79" s="269"/>
      <c r="FM79" s="269"/>
      <c r="FN79" s="269"/>
      <c r="FO79" s="269"/>
      <c r="FP79" s="269"/>
      <c r="FQ79" s="269"/>
      <c r="FR79" s="269"/>
      <c r="FS79" s="269"/>
      <c r="FT79" s="269"/>
      <c r="FU79" s="269"/>
      <c r="FV79" s="269"/>
      <c r="FW79" s="269"/>
      <c r="FX79" s="269"/>
      <c r="FY79" s="269"/>
      <c r="FZ79" s="269"/>
      <c r="GA79" s="269"/>
      <c r="GB79" s="269"/>
      <c r="GC79" s="269"/>
      <c r="GD79" s="269"/>
      <c r="GE79" s="269"/>
      <c r="GF79" s="269"/>
      <c r="GG79" s="269"/>
      <c r="GH79" s="269"/>
      <c r="GI79" s="269"/>
      <c r="GJ79" s="269"/>
      <c r="GK79" s="269"/>
      <c r="GL79" s="269"/>
      <c r="GM79" s="269"/>
      <c r="GN79" s="269"/>
      <c r="GO79" s="269"/>
      <c r="GP79" s="269"/>
      <c r="GQ79" s="269"/>
      <c r="GR79" s="269"/>
      <c r="GS79" s="269"/>
      <c r="GT79" s="269"/>
      <c r="GU79" s="269"/>
      <c r="GV79" s="269"/>
      <c r="GW79" s="269"/>
      <c r="GX79" s="269"/>
      <c r="GY79" s="269"/>
      <c r="GZ79" s="269"/>
      <c r="HA79" s="269"/>
      <c r="HB79" s="269"/>
      <c r="HC79" s="269"/>
      <c r="HD79" s="269"/>
      <c r="HE79" s="269"/>
      <c r="HF79" s="269"/>
      <c r="HG79" s="269"/>
      <c r="HH79" s="269"/>
      <c r="HI79" s="269"/>
      <c r="HJ79" s="269"/>
      <c r="HK79" s="269"/>
      <c r="HL79" s="269"/>
      <c r="HM79" s="269"/>
      <c r="HN79" s="269"/>
      <c r="HO79" s="269"/>
      <c r="HP79" s="269"/>
      <c r="HQ79" s="269"/>
      <c r="HR79" s="269"/>
      <c r="HS79" s="269"/>
      <c r="HT79" s="269"/>
      <c r="HU79" s="269"/>
      <c r="HV79" s="269"/>
      <c r="HW79" s="269"/>
      <c r="HX79" s="269"/>
      <c r="HY79" s="269"/>
      <c r="HZ79" s="269"/>
      <c r="IA79" s="269"/>
      <c r="IB79" s="269"/>
      <c r="IC79" s="269"/>
      <c r="ID79" s="269"/>
      <c r="IE79" s="269"/>
      <c r="IF79" s="269"/>
      <c r="IG79" s="269"/>
      <c r="IH79" s="269"/>
      <c r="II79" s="269"/>
      <c r="IJ79" s="269"/>
      <c r="IK79" s="269"/>
      <c r="IL79" s="269"/>
      <c r="IM79" s="269"/>
      <c r="IN79" s="269"/>
      <c r="IO79" s="269"/>
      <c r="IP79" s="269"/>
      <c r="IQ79" s="269"/>
      <c r="IR79" s="269"/>
      <c r="IS79" s="269"/>
      <c r="IT79" s="269"/>
      <c r="IU79" s="269"/>
      <c r="IV79" s="269"/>
      <c r="IW79" s="269"/>
      <c r="IX79" s="269"/>
      <c r="IY79" s="269"/>
      <c r="IZ79" s="269"/>
      <c r="JA79" s="269"/>
      <c r="JB79" s="269"/>
      <c r="JC79" s="269"/>
      <c r="JD79" s="269"/>
      <c r="JE79" s="269"/>
      <c r="JF79" s="269"/>
      <c r="JG79" s="269"/>
      <c r="JH79" s="269"/>
      <c r="JI79" s="269"/>
      <c r="JJ79" s="269"/>
      <c r="JK79" s="269"/>
      <c r="JL79" s="269"/>
      <c r="JM79" s="269"/>
      <c r="JN79" s="269"/>
      <c r="JO79" s="269"/>
      <c r="JP79" s="269"/>
      <c r="JQ79" s="269"/>
      <c r="JR79" s="269"/>
      <c r="JS79" s="269"/>
      <c r="JT79" s="269"/>
      <c r="JU79" s="269"/>
      <c r="JV79" s="269"/>
      <c r="JW79" s="269"/>
      <c r="JX79" s="269"/>
      <c r="JY79" s="269"/>
      <c r="JZ79" s="269"/>
      <c r="KA79" s="269"/>
      <c r="KB79" s="269"/>
      <c r="KC79" s="269"/>
      <c r="KD79" s="269"/>
      <c r="KE79" s="269"/>
      <c r="KF79" s="269"/>
      <c r="KG79" s="269"/>
      <c r="KH79" s="269"/>
      <c r="KI79" s="269"/>
      <c r="KJ79" s="269"/>
      <c r="KK79" s="269"/>
      <c r="KL79" s="269"/>
      <c r="KM79" s="269"/>
      <c r="KN79" s="269"/>
      <c r="KO79" s="269"/>
      <c r="KP79" s="269"/>
      <c r="KQ79" s="269"/>
      <c r="KR79" s="269"/>
      <c r="KS79" s="269"/>
      <c r="KT79" s="269"/>
      <c r="KU79" s="269"/>
      <c r="KV79" s="269"/>
      <c r="KW79" s="269"/>
      <c r="KX79" s="269"/>
      <c r="KY79" s="269"/>
      <c r="KZ79" s="269"/>
      <c r="LA79" s="269"/>
      <c r="LB79" s="269"/>
      <c r="LC79" s="269"/>
      <c r="LD79" s="269"/>
      <c r="LE79" s="269"/>
      <c r="LF79" s="269"/>
      <c r="LG79" s="269"/>
      <c r="LH79" s="269"/>
      <c r="LI79" s="269"/>
      <c r="LJ79" s="269"/>
      <c r="LK79" s="269"/>
      <c r="LL79" s="269"/>
      <c r="LM79" s="269"/>
      <c r="LN79" s="269"/>
      <c r="LO79" s="269"/>
      <c r="LP79" s="269"/>
      <c r="LQ79" s="269"/>
      <c r="LR79" s="269"/>
      <c r="LS79" s="269"/>
      <c r="LT79" s="269"/>
      <c r="LU79" s="269"/>
      <c r="LV79" s="269"/>
      <c r="LW79" s="269"/>
      <c r="LX79" s="269"/>
      <c r="LY79" s="269"/>
      <c r="LZ79" s="269"/>
      <c r="MA79" s="269"/>
      <c r="MB79" s="269"/>
      <c r="MC79" s="269"/>
      <c r="MD79" s="269"/>
      <c r="ME79" s="269"/>
      <c r="MF79" s="269"/>
      <c r="MG79" s="269"/>
      <c r="MH79" s="269"/>
      <c r="MI79" s="269"/>
      <c r="MJ79" s="269"/>
      <c r="MK79" s="269"/>
      <c r="ML79" s="269"/>
      <c r="MM79" s="269"/>
      <c r="MN79" s="269"/>
      <c r="MO79" s="269"/>
      <c r="MP79" s="269"/>
      <c r="MQ79" s="269"/>
      <c r="MR79" s="269"/>
      <c r="MS79" s="269"/>
      <c r="MT79" s="269"/>
      <c r="MU79" s="269"/>
      <c r="MV79" s="269"/>
      <c r="MW79" s="269"/>
      <c r="MX79" s="269"/>
      <c r="MY79" s="269"/>
      <c r="MZ79" s="269"/>
      <c r="NA79" s="269"/>
      <c r="NB79" s="269"/>
      <c r="NC79" s="269"/>
      <c r="ND79" s="269"/>
      <c r="NE79" s="269"/>
      <c r="NF79" s="269"/>
      <c r="NG79" s="269"/>
      <c r="NH79" s="269"/>
      <c r="NI79" s="269"/>
      <c r="NJ79" s="269"/>
      <c r="NK79" s="269"/>
      <c r="NL79" s="269"/>
      <c r="NM79" s="269"/>
      <c r="NN79" s="269"/>
      <c r="NO79" s="269"/>
      <c r="NP79" s="269"/>
      <c r="NQ79" s="269"/>
      <c r="NR79" s="269"/>
      <c r="NS79" s="269"/>
      <c r="NT79" s="269"/>
      <c r="NU79" s="269"/>
      <c r="NV79" s="269"/>
      <c r="NW79" s="269"/>
      <c r="NX79" s="269"/>
      <c r="NY79" s="269"/>
      <c r="NZ79" s="269"/>
      <c r="OA79" s="269"/>
      <c r="OB79" s="269"/>
      <c r="OC79" s="269"/>
      <c r="OD79" s="269"/>
      <c r="OE79" s="269"/>
      <c r="OF79" s="269"/>
      <c r="OG79" s="269"/>
      <c r="OH79" s="269"/>
      <c r="OI79" s="269"/>
      <c r="OJ79" s="269"/>
      <c r="OK79" s="269"/>
      <c r="OL79" s="269"/>
      <c r="OM79" s="269"/>
      <c r="ON79" s="269"/>
      <c r="OO79" s="269"/>
      <c r="OP79" s="269"/>
      <c r="OQ79" s="269"/>
      <c r="OR79" s="269"/>
      <c r="OS79" s="269"/>
      <c r="OT79" s="269"/>
      <c r="OU79" s="269"/>
      <c r="OV79" s="269"/>
      <c r="OW79" s="269"/>
      <c r="OX79" s="269"/>
      <c r="OY79" s="269"/>
      <c r="OZ79" s="269"/>
      <c r="PA79" s="269"/>
      <c r="PB79" s="269"/>
      <c r="PC79" s="269"/>
    </row>
    <row r="80" spans="1:419">
      <c r="A80" s="269"/>
      <c r="B80" s="287" t="s">
        <v>39</v>
      </c>
      <c r="C80" s="269"/>
      <c r="D80" s="269"/>
      <c r="E80" s="269"/>
      <c r="F80" s="269"/>
      <c r="G80" s="273">
        <v>3.0864197530864113E-2</v>
      </c>
      <c r="H80" s="273">
        <v>-3.3707865168539408E-2</v>
      </c>
      <c r="I80" s="273">
        <v>-0.12755102040816324</v>
      </c>
      <c r="J80" s="273">
        <v>-5.1136363636363757E-2</v>
      </c>
      <c r="K80" s="273">
        <v>2.3952095808383422E-2</v>
      </c>
      <c r="L80" s="274">
        <v>2.3255813953488413E-2</v>
      </c>
      <c r="M80" s="287" t="s">
        <v>39</v>
      </c>
      <c r="N80" s="269"/>
      <c r="O80" s="269"/>
      <c r="P80" s="269"/>
      <c r="Q80" s="269"/>
      <c r="R80" s="273">
        <v>4.1493775933610033E-2</v>
      </c>
      <c r="S80" s="273">
        <v>2.2222222222223476E-3</v>
      </c>
      <c r="T80" s="273">
        <v>-0.11626387981711284</v>
      </c>
      <c r="U80" s="273">
        <v>-1.9287833827893341E-2</v>
      </c>
      <c r="V80" s="273">
        <v>9.0836653386454191E-2</v>
      </c>
      <c r="W80" s="274">
        <v>5.2475979305247611E-2</v>
      </c>
      <c r="X80" s="287" t="s">
        <v>39</v>
      </c>
      <c r="Y80" s="269"/>
      <c r="Z80" s="269"/>
      <c r="AA80" s="269"/>
      <c r="AB80" s="269"/>
      <c r="AC80" s="269"/>
      <c r="AD80" s="269"/>
      <c r="AE80" s="269"/>
      <c r="AF80" s="269"/>
      <c r="AG80" s="269"/>
      <c r="AH80" s="269"/>
      <c r="AI80" s="269"/>
      <c r="AJ80" s="269"/>
      <c r="AK80" s="269"/>
      <c r="AL80" s="269"/>
      <c r="AM80" s="269"/>
      <c r="AN80" s="269"/>
      <c r="AO80" s="269"/>
      <c r="AP80" s="269"/>
      <c r="AQ80" s="269"/>
      <c r="AR80" s="269"/>
      <c r="AS80" s="269"/>
      <c r="AT80" s="269"/>
      <c r="AU80" s="269"/>
      <c r="AV80" s="269"/>
      <c r="AW80" s="269"/>
      <c r="AX80" s="269"/>
      <c r="AY80" s="269"/>
      <c r="AZ80" s="269"/>
      <c r="BA80" s="269"/>
      <c r="BB80" s="269"/>
      <c r="BC80" s="269"/>
      <c r="BD80" s="269"/>
      <c r="BE80" s="269"/>
      <c r="BF80" s="269"/>
      <c r="BG80" s="269"/>
      <c r="BH80" s="269"/>
      <c r="BI80" s="269"/>
      <c r="BJ80" s="269"/>
      <c r="BK80" s="269"/>
      <c r="BL80" s="269"/>
      <c r="BM80" s="269"/>
      <c r="BN80" s="269"/>
      <c r="BO80" s="269"/>
      <c r="BP80" s="269"/>
      <c r="BQ80" s="269"/>
      <c r="BR80" s="269"/>
      <c r="BS80" s="269"/>
      <c r="BT80" s="269"/>
      <c r="BU80" s="269"/>
      <c r="BV80" s="269"/>
      <c r="BW80" s="269"/>
      <c r="BX80" s="269"/>
      <c r="BY80" s="269"/>
      <c r="BZ80" s="269"/>
      <c r="CA80" s="269"/>
      <c r="CB80" s="269"/>
      <c r="CC80" s="269"/>
      <c r="CD80" s="269"/>
      <c r="CE80" s="269"/>
      <c r="CF80" s="269"/>
      <c r="CG80" s="269"/>
      <c r="CH80" s="269"/>
      <c r="CI80" s="269"/>
      <c r="CJ80" s="269"/>
      <c r="CK80" s="269"/>
      <c r="CL80" s="269"/>
      <c r="CM80" s="269"/>
      <c r="CN80" s="269"/>
      <c r="CO80" s="269"/>
      <c r="CP80" s="269"/>
      <c r="CQ80" s="269"/>
      <c r="CR80" s="269"/>
      <c r="CS80" s="269"/>
      <c r="CT80" s="269"/>
      <c r="CU80" s="269"/>
      <c r="CV80" s="269"/>
      <c r="CW80" s="269"/>
      <c r="CX80" s="269"/>
      <c r="CY80" s="269"/>
      <c r="CZ80" s="269"/>
      <c r="DA80" s="269"/>
      <c r="DB80" s="269"/>
      <c r="DC80" s="269"/>
      <c r="DD80" s="269"/>
      <c r="DE80" s="269"/>
      <c r="DF80" s="269"/>
      <c r="DG80" s="269"/>
      <c r="DH80" s="269"/>
      <c r="DI80" s="269"/>
      <c r="DJ80" s="269"/>
      <c r="DK80" s="269"/>
      <c r="DL80" s="269"/>
      <c r="DM80" s="269"/>
      <c r="DN80" s="269"/>
      <c r="DO80" s="269"/>
      <c r="DP80" s="269"/>
      <c r="DQ80" s="269"/>
      <c r="DR80" s="269"/>
      <c r="DS80" s="269"/>
      <c r="DT80" s="269"/>
      <c r="DU80" s="269"/>
      <c r="DV80" s="269"/>
      <c r="DW80" s="269"/>
      <c r="DX80" s="269"/>
      <c r="DY80" s="269"/>
      <c r="DZ80" s="269"/>
      <c r="EA80" s="269"/>
      <c r="EB80" s="269"/>
      <c r="EC80" s="269"/>
      <c r="ED80" s="269"/>
      <c r="EE80" s="269"/>
      <c r="EF80" s="269"/>
      <c r="EG80" s="269"/>
      <c r="EH80" s="269"/>
      <c r="EI80" s="269"/>
      <c r="EJ80" s="269"/>
      <c r="EK80" s="269"/>
      <c r="EL80" s="269"/>
      <c r="EM80" s="269"/>
      <c r="EN80" s="269"/>
      <c r="EO80" s="269"/>
      <c r="EP80" s="269"/>
      <c r="EQ80" s="269"/>
      <c r="ER80" s="269"/>
      <c r="ES80" s="269"/>
      <c r="ET80" s="269"/>
      <c r="EU80" s="269"/>
      <c r="EV80" s="269"/>
      <c r="EW80" s="269"/>
      <c r="EX80" s="269"/>
      <c r="EY80" s="269"/>
      <c r="EZ80" s="269"/>
      <c r="FA80" s="269"/>
      <c r="FB80" s="269"/>
      <c r="FC80" s="269"/>
      <c r="FD80" s="269"/>
      <c r="FE80" s="269"/>
      <c r="FF80" s="269"/>
      <c r="FG80" s="269"/>
      <c r="FH80" s="269"/>
      <c r="FI80" s="269"/>
      <c r="FJ80" s="269"/>
      <c r="FK80" s="269"/>
      <c r="FL80" s="269"/>
      <c r="FM80" s="269"/>
      <c r="FN80" s="269"/>
      <c r="FO80" s="269"/>
      <c r="FP80" s="269"/>
      <c r="FQ80" s="269"/>
      <c r="FR80" s="269"/>
      <c r="FS80" s="269"/>
      <c r="FT80" s="269"/>
      <c r="FU80" s="269"/>
      <c r="FV80" s="269"/>
      <c r="FW80" s="269"/>
      <c r="FX80" s="269"/>
      <c r="FY80" s="269"/>
      <c r="FZ80" s="269"/>
      <c r="GA80" s="269"/>
      <c r="GB80" s="269"/>
      <c r="GC80" s="269"/>
      <c r="GD80" s="269"/>
      <c r="GE80" s="269"/>
      <c r="GF80" s="269"/>
      <c r="GG80" s="269"/>
      <c r="GH80" s="269"/>
      <c r="GI80" s="269"/>
      <c r="GJ80" s="269"/>
      <c r="GK80" s="269"/>
      <c r="GL80" s="269"/>
      <c r="GM80" s="269"/>
      <c r="GN80" s="269"/>
      <c r="GO80" s="269"/>
      <c r="GP80" s="269"/>
      <c r="GQ80" s="269"/>
      <c r="GR80" s="269"/>
      <c r="GS80" s="269"/>
      <c r="GT80" s="269"/>
      <c r="GU80" s="269"/>
      <c r="GV80" s="269"/>
      <c r="GW80" s="269"/>
      <c r="GX80" s="269"/>
      <c r="GY80" s="269"/>
      <c r="GZ80" s="269"/>
      <c r="HA80" s="269"/>
      <c r="HB80" s="269"/>
      <c r="HC80" s="269"/>
      <c r="HD80" s="269"/>
      <c r="HE80" s="269"/>
      <c r="HF80" s="269"/>
      <c r="HG80" s="269"/>
      <c r="HH80" s="269"/>
      <c r="HI80" s="269"/>
      <c r="HJ80" s="269"/>
      <c r="HK80" s="269"/>
      <c r="HL80" s="269"/>
      <c r="HM80" s="269"/>
      <c r="HN80" s="269"/>
      <c r="HO80" s="269"/>
      <c r="HP80" s="269"/>
      <c r="HQ80" s="269"/>
      <c r="HR80" s="269"/>
      <c r="HS80" s="269"/>
      <c r="HT80" s="269"/>
      <c r="HU80" s="269"/>
      <c r="HV80" s="269"/>
      <c r="HW80" s="269"/>
      <c r="HX80" s="269"/>
      <c r="HY80" s="269"/>
      <c r="HZ80" s="269"/>
      <c r="IA80" s="269"/>
      <c r="IB80" s="269"/>
      <c r="IC80" s="269"/>
      <c r="ID80" s="269"/>
      <c r="IE80" s="269"/>
      <c r="IF80" s="269"/>
      <c r="IG80" s="269"/>
      <c r="IH80" s="269"/>
      <c r="II80" s="269"/>
      <c r="IJ80" s="269"/>
      <c r="IK80" s="269"/>
      <c r="IL80" s="269"/>
      <c r="IM80" s="269"/>
      <c r="IN80" s="269"/>
      <c r="IO80" s="269"/>
      <c r="IP80" s="269"/>
      <c r="IQ80" s="269"/>
      <c r="IR80" s="269"/>
      <c r="IS80" s="269"/>
      <c r="IT80" s="269"/>
      <c r="IU80" s="269"/>
      <c r="IV80" s="269"/>
      <c r="IW80" s="269"/>
      <c r="IX80" s="269"/>
      <c r="IY80" s="269"/>
      <c r="IZ80" s="269"/>
      <c r="JA80" s="269"/>
      <c r="JB80" s="269"/>
      <c r="JC80" s="269"/>
      <c r="JD80" s="269"/>
      <c r="JE80" s="269"/>
      <c r="JF80" s="269"/>
      <c r="JG80" s="269"/>
      <c r="JH80" s="269"/>
      <c r="JI80" s="269"/>
      <c r="JJ80" s="269"/>
      <c r="JK80" s="269"/>
      <c r="JL80" s="269"/>
      <c r="JM80" s="269"/>
      <c r="JN80" s="269"/>
      <c r="JO80" s="269"/>
      <c r="JP80" s="269"/>
      <c r="JQ80" s="269"/>
      <c r="JR80" s="269"/>
      <c r="JS80" s="269"/>
      <c r="JT80" s="269"/>
      <c r="JU80" s="269"/>
      <c r="JV80" s="269"/>
      <c r="JW80" s="269"/>
      <c r="JX80" s="269"/>
      <c r="JY80" s="269"/>
      <c r="JZ80" s="269"/>
      <c r="KA80" s="269"/>
      <c r="KB80" s="269"/>
      <c r="KC80" s="269"/>
      <c r="KD80" s="269"/>
      <c r="KE80" s="269"/>
      <c r="KF80" s="269"/>
      <c r="KG80" s="269"/>
      <c r="KH80" s="269"/>
      <c r="KI80" s="269"/>
      <c r="KJ80" s="269"/>
      <c r="KK80" s="269"/>
      <c r="KL80" s="269"/>
      <c r="KM80" s="269"/>
      <c r="KN80" s="269"/>
      <c r="KO80" s="269"/>
      <c r="KP80" s="269"/>
      <c r="KQ80" s="269"/>
      <c r="KR80" s="269"/>
      <c r="KS80" s="269"/>
      <c r="KT80" s="269"/>
      <c r="KU80" s="269"/>
      <c r="KV80" s="269"/>
      <c r="KW80" s="269"/>
      <c r="KX80" s="269"/>
      <c r="KY80" s="269"/>
      <c r="KZ80" s="269"/>
      <c r="LA80" s="269"/>
      <c r="LB80" s="269"/>
      <c r="LC80" s="269"/>
      <c r="LD80" s="269"/>
      <c r="LE80" s="269"/>
      <c r="LF80" s="269"/>
      <c r="LG80" s="269"/>
      <c r="LH80" s="269"/>
      <c r="LI80" s="269"/>
      <c r="LJ80" s="269"/>
      <c r="LK80" s="269"/>
      <c r="LL80" s="269"/>
      <c r="LM80" s="269"/>
      <c r="LN80" s="269"/>
      <c r="LO80" s="269"/>
      <c r="LP80" s="269"/>
      <c r="LQ80" s="269"/>
      <c r="LR80" s="269"/>
      <c r="LS80" s="269"/>
      <c r="LT80" s="269"/>
      <c r="LU80" s="269"/>
      <c r="LV80" s="269"/>
      <c r="LW80" s="269"/>
      <c r="LX80" s="269"/>
      <c r="LY80" s="269"/>
      <c r="LZ80" s="269"/>
      <c r="MA80" s="269"/>
      <c r="MB80" s="269"/>
      <c r="MC80" s="269"/>
      <c r="MD80" s="269"/>
      <c r="ME80" s="269"/>
      <c r="MF80" s="269"/>
      <c r="MG80" s="269"/>
      <c r="MH80" s="269"/>
      <c r="MI80" s="269"/>
      <c r="MJ80" s="269"/>
      <c r="MK80" s="269"/>
      <c r="ML80" s="269"/>
      <c r="MM80" s="269"/>
      <c r="MN80" s="269"/>
      <c r="MO80" s="269"/>
      <c r="MP80" s="269"/>
      <c r="MQ80" s="269"/>
      <c r="MR80" s="269"/>
      <c r="MS80" s="269"/>
      <c r="MT80" s="269"/>
      <c r="MU80" s="269"/>
      <c r="MV80" s="269"/>
      <c r="MW80" s="269"/>
      <c r="MX80" s="269"/>
      <c r="MY80" s="269"/>
      <c r="MZ80" s="269"/>
      <c r="NA80" s="269"/>
      <c r="NB80" s="269"/>
      <c r="NC80" s="269"/>
      <c r="ND80" s="269"/>
      <c r="NE80" s="269"/>
      <c r="NF80" s="269"/>
      <c r="NG80" s="269"/>
      <c r="NH80" s="269"/>
      <c r="NI80" s="269"/>
      <c r="NJ80" s="269"/>
      <c r="NK80" s="269"/>
      <c r="NL80" s="269"/>
      <c r="NM80" s="269"/>
      <c r="NN80" s="269"/>
      <c r="NO80" s="269"/>
      <c r="NP80" s="269"/>
      <c r="NQ80" s="269"/>
      <c r="NR80" s="269"/>
      <c r="NS80" s="269"/>
      <c r="NT80" s="269"/>
      <c r="NU80" s="269"/>
      <c r="NV80" s="269"/>
      <c r="NW80" s="269"/>
      <c r="NX80" s="269"/>
      <c r="NY80" s="269"/>
      <c r="NZ80" s="269"/>
      <c r="OA80" s="269"/>
      <c r="OB80" s="269"/>
      <c r="OC80" s="269"/>
      <c r="OD80" s="269"/>
      <c r="OE80" s="269"/>
      <c r="OF80" s="269"/>
      <c r="OG80" s="269"/>
      <c r="OH80" s="269"/>
      <c r="OI80" s="269"/>
      <c r="OJ80" s="269"/>
      <c r="OK80" s="269"/>
      <c r="OL80" s="269"/>
      <c r="OM80" s="269"/>
      <c r="ON80" s="269"/>
      <c r="OO80" s="269"/>
      <c r="OP80" s="269"/>
      <c r="OQ80" s="269"/>
      <c r="OR80" s="269"/>
      <c r="OS80" s="269"/>
      <c r="OT80" s="269"/>
      <c r="OU80" s="269"/>
      <c r="OV80" s="269"/>
      <c r="OW80" s="269"/>
      <c r="OX80" s="269"/>
      <c r="OY80" s="269"/>
      <c r="OZ80" s="269"/>
      <c r="PA80" s="269"/>
      <c r="PB80" s="269"/>
      <c r="PC80" s="269"/>
    </row>
    <row r="81" spans="1:419">
      <c r="A81" s="269"/>
      <c r="B81" s="287" t="s">
        <v>24</v>
      </c>
      <c r="C81" s="269"/>
      <c r="D81" s="269"/>
      <c r="E81" s="269"/>
      <c r="F81" s="269"/>
      <c r="G81" s="273">
        <v>6.3559322033898358E-2</v>
      </c>
      <c r="H81" s="273">
        <v>2.7888446215139417E-2</v>
      </c>
      <c r="I81" s="273">
        <v>3.0534351145038219E-2</v>
      </c>
      <c r="J81" s="273">
        <v>3.1128404669260812E-2</v>
      </c>
      <c r="K81" s="275">
        <v>2.7888446215139417E-2</v>
      </c>
      <c r="L81" s="275">
        <v>4.2635658914728536E-2</v>
      </c>
      <c r="M81" s="287" t="s">
        <v>24</v>
      </c>
      <c r="N81" s="269"/>
      <c r="O81" s="269"/>
      <c r="P81" s="269"/>
      <c r="Q81" s="269"/>
      <c r="R81" s="273">
        <v>0.10105896581221785</v>
      </c>
      <c r="S81" s="273">
        <v>5.4723003678857296E-2</v>
      </c>
      <c r="T81" s="273">
        <v>6.2596124269455489E-2</v>
      </c>
      <c r="U81" s="273">
        <v>5.9113172155064619E-2</v>
      </c>
      <c r="V81" s="275">
        <v>5.7331154392262995E-2</v>
      </c>
      <c r="W81" s="275">
        <v>7.7222948885640186E-2</v>
      </c>
      <c r="X81" s="290" t="s">
        <v>24</v>
      </c>
      <c r="Y81" s="269"/>
      <c r="Z81" s="269"/>
      <c r="AA81" s="269"/>
      <c r="AB81" s="269"/>
      <c r="AC81" s="269"/>
      <c r="AD81" s="269"/>
      <c r="AE81" s="269"/>
      <c r="AF81" s="269"/>
      <c r="AG81" s="269"/>
      <c r="AH81" s="269"/>
      <c r="AI81" s="269"/>
      <c r="AJ81" s="269"/>
      <c r="AK81" s="269"/>
      <c r="AL81" s="269"/>
      <c r="AM81" s="269"/>
      <c r="AN81" s="269"/>
      <c r="AO81" s="269"/>
      <c r="AP81" s="269"/>
      <c r="AQ81" s="269"/>
      <c r="AR81" s="269"/>
      <c r="AS81" s="269"/>
      <c r="AT81" s="269"/>
      <c r="AU81" s="269"/>
      <c r="AV81" s="269"/>
      <c r="AW81" s="269"/>
      <c r="AX81" s="269"/>
      <c r="AY81" s="269"/>
      <c r="AZ81" s="269"/>
      <c r="BA81" s="269"/>
      <c r="BB81" s="269"/>
      <c r="BC81" s="269"/>
      <c r="BD81" s="269"/>
      <c r="BE81" s="269"/>
      <c r="BF81" s="269"/>
      <c r="BG81" s="269"/>
      <c r="BH81" s="269"/>
      <c r="BI81" s="269"/>
      <c r="BJ81" s="269"/>
      <c r="BK81" s="269"/>
      <c r="BL81" s="269"/>
      <c r="BM81" s="269"/>
      <c r="BN81" s="269"/>
      <c r="BO81" s="269"/>
      <c r="BP81" s="269"/>
      <c r="BQ81" s="269"/>
      <c r="BR81" s="269"/>
      <c r="BS81" s="269"/>
      <c r="BT81" s="269"/>
      <c r="BU81" s="269"/>
      <c r="BV81" s="269"/>
      <c r="BW81" s="269"/>
      <c r="BX81" s="269"/>
      <c r="BY81" s="269"/>
      <c r="BZ81" s="269"/>
      <c r="CA81" s="269"/>
      <c r="CB81" s="269"/>
      <c r="CC81" s="269"/>
      <c r="CD81" s="269"/>
      <c r="CE81" s="269"/>
      <c r="CF81" s="269"/>
      <c r="CG81" s="269"/>
      <c r="CH81" s="269"/>
      <c r="CI81" s="269"/>
      <c r="CJ81" s="269"/>
      <c r="CK81" s="269"/>
      <c r="CL81" s="269"/>
      <c r="CM81" s="269"/>
      <c r="CN81" s="269"/>
      <c r="CO81" s="269"/>
      <c r="CP81" s="269"/>
      <c r="CQ81" s="269"/>
      <c r="CR81" s="269"/>
      <c r="CS81" s="269"/>
      <c r="CT81" s="269"/>
      <c r="CU81" s="269"/>
      <c r="CV81" s="269"/>
      <c r="CW81" s="269"/>
      <c r="CX81" s="269"/>
      <c r="CY81" s="269"/>
      <c r="CZ81" s="269"/>
      <c r="DA81" s="269"/>
      <c r="DB81" s="269"/>
      <c r="DC81" s="269"/>
      <c r="DD81" s="269"/>
      <c r="DE81" s="269"/>
      <c r="DF81" s="269"/>
      <c r="DG81" s="269"/>
      <c r="DH81" s="269"/>
      <c r="DI81" s="269"/>
      <c r="DJ81" s="269"/>
      <c r="DK81" s="269"/>
      <c r="DL81" s="269"/>
      <c r="DM81" s="269"/>
      <c r="DN81" s="269"/>
      <c r="DO81" s="269"/>
      <c r="DP81" s="269"/>
      <c r="DQ81" s="269"/>
      <c r="DR81" s="269"/>
      <c r="DS81" s="269"/>
      <c r="DT81" s="269"/>
      <c r="DU81" s="269"/>
      <c r="DV81" s="269"/>
      <c r="DW81" s="269"/>
      <c r="DX81" s="269"/>
      <c r="DY81" s="269"/>
      <c r="DZ81" s="269"/>
      <c r="EA81" s="269"/>
      <c r="EB81" s="269"/>
      <c r="EC81" s="269"/>
      <c r="ED81" s="269"/>
      <c r="EE81" s="269"/>
      <c r="EF81" s="269"/>
      <c r="EG81" s="269"/>
      <c r="EH81" s="269"/>
      <c r="EI81" s="269"/>
      <c r="EJ81" s="269"/>
      <c r="EK81" s="269"/>
      <c r="EL81" s="269"/>
      <c r="EM81" s="269"/>
      <c r="EN81" s="269"/>
      <c r="EO81" s="269"/>
      <c r="EP81" s="269"/>
      <c r="EQ81" s="269"/>
      <c r="ER81" s="269"/>
      <c r="ES81" s="269"/>
      <c r="ET81" s="269"/>
      <c r="EU81" s="269"/>
      <c r="EV81" s="269"/>
      <c r="EW81" s="269"/>
      <c r="EX81" s="269"/>
      <c r="EY81" s="269"/>
      <c r="EZ81" s="269"/>
      <c r="FA81" s="269"/>
      <c r="FB81" s="269"/>
      <c r="FC81" s="269"/>
      <c r="FD81" s="269"/>
      <c r="FE81" s="269"/>
      <c r="FF81" s="269"/>
      <c r="FG81" s="269"/>
      <c r="FH81" s="269"/>
      <c r="FI81" s="269"/>
      <c r="FJ81" s="269"/>
      <c r="FK81" s="269"/>
      <c r="FL81" s="269"/>
      <c r="FM81" s="269"/>
      <c r="FN81" s="269"/>
      <c r="FO81" s="269"/>
      <c r="FP81" s="269"/>
      <c r="FQ81" s="269"/>
      <c r="FR81" s="269"/>
      <c r="FS81" s="269"/>
      <c r="FT81" s="269"/>
      <c r="FU81" s="269"/>
      <c r="FV81" s="269"/>
      <c r="FW81" s="269"/>
      <c r="FX81" s="269"/>
      <c r="FY81" s="269"/>
      <c r="FZ81" s="269"/>
      <c r="GA81" s="269"/>
      <c r="GB81" s="269"/>
      <c r="GC81" s="269"/>
      <c r="GD81" s="269"/>
      <c r="GE81" s="269"/>
      <c r="GF81" s="269"/>
      <c r="GG81" s="269"/>
      <c r="GH81" s="269"/>
      <c r="GI81" s="269"/>
      <c r="GJ81" s="269"/>
      <c r="GK81" s="269"/>
      <c r="GL81" s="269"/>
      <c r="GM81" s="269"/>
      <c r="GN81" s="269"/>
      <c r="GO81" s="269"/>
      <c r="GP81" s="269"/>
      <c r="GQ81" s="269"/>
      <c r="GR81" s="269"/>
      <c r="GS81" s="269"/>
      <c r="GT81" s="269"/>
      <c r="GU81" s="269"/>
      <c r="GV81" s="269"/>
      <c r="GW81" s="269"/>
      <c r="GX81" s="269"/>
      <c r="GY81" s="269"/>
      <c r="GZ81" s="269"/>
      <c r="HA81" s="269"/>
      <c r="HB81" s="269"/>
      <c r="HC81" s="269"/>
      <c r="HD81" s="269"/>
      <c r="HE81" s="269"/>
      <c r="HF81" s="269"/>
      <c r="HG81" s="269"/>
      <c r="HH81" s="269"/>
      <c r="HI81" s="269"/>
      <c r="HJ81" s="269"/>
      <c r="HK81" s="269"/>
      <c r="HL81" s="269"/>
      <c r="HM81" s="269"/>
      <c r="HN81" s="269"/>
      <c r="HO81" s="269"/>
      <c r="HP81" s="269"/>
      <c r="HQ81" s="269"/>
      <c r="HR81" s="269"/>
      <c r="HS81" s="269"/>
      <c r="HT81" s="269"/>
      <c r="HU81" s="269"/>
      <c r="HV81" s="269"/>
      <c r="HW81" s="269"/>
      <c r="HX81" s="269"/>
      <c r="HY81" s="269"/>
      <c r="HZ81" s="269"/>
      <c r="IA81" s="269"/>
      <c r="IB81" s="269"/>
      <c r="IC81" s="269"/>
      <c r="ID81" s="269"/>
      <c r="IE81" s="269"/>
      <c r="IF81" s="269"/>
      <c r="IG81" s="269"/>
      <c r="IH81" s="269"/>
      <c r="II81" s="269"/>
      <c r="IJ81" s="269"/>
      <c r="IK81" s="269"/>
      <c r="IL81" s="269"/>
      <c r="IM81" s="269"/>
      <c r="IN81" s="269"/>
      <c r="IO81" s="269"/>
      <c r="IP81" s="269"/>
      <c r="IQ81" s="269"/>
      <c r="IR81" s="269"/>
      <c r="IS81" s="269"/>
      <c r="IT81" s="269"/>
      <c r="IU81" s="269"/>
      <c r="IV81" s="269"/>
      <c r="IW81" s="269"/>
      <c r="IX81" s="269"/>
      <c r="IY81" s="269"/>
      <c r="IZ81" s="269"/>
      <c r="JA81" s="269"/>
      <c r="JB81" s="269"/>
      <c r="JC81" s="269"/>
      <c r="JD81" s="269"/>
      <c r="JE81" s="269"/>
      <c r="JF81" s="269"/>
      <c r="JG81" s="269"/>
      <c r="JH81" s="269"/>
      <c r="JI81" s="269"/>
      <c r="JJ81" s="269"/>
      <c r="JK81" s="269"/>
      <c r="JL81" s="269"/>
      <c r="JM81" s="269"/>
      <c r="JN81" s="269"/>
      <c r="JO81" s="269"/>
      <c r="JP81" s="269"/>
      <c r="JQ81" s="269"/>
      <c r="JR81" s="269"/>
      <c r="JS81" s="269"/>
      <c r="JT81" s="269"/>
      <c r="JU81" s="269"/>
      <c r="JV81" s="269"/>
      <c r="JW81" s="269"/>
      <c r="JX81" s="269"/>
      <c r="JY81" s="269"/>
      <c r="JZ81" s="269"/>
      <c r="KA81" s="269"/>
      <c r="KB81" s="269"/>
      <c r="KC81" s="269"/>
      <c r="KD81" s="269"/>
      <c r="KE81" s="269"/>
      <c r="KF81" s="269"/>
      <c r="KG81" s="269"/>
      <c r="KH81" s="269"/>
      <c r="KI81" s="269"/>
      <c r="KJ81" s="269"/>
      <c r="KK81" s="269"/>
      <c r="KL81" s="269"/>
      <c r="KM81" s="269"/>
      <c r="KN81" s="269"/>
      <c r="KO81" s="269"/>
      <c r="KP81" s="269"/>
      <c r="KQ81" s="269"/>
      <c r="KR81" s="269"/>
      <c r="KS81" s="269"/>
      <c r="KT81" s="269"/>
      <c r="KU81" s="269"/>
      <c r="KV81" s="269"/>
      <c r="KW81" s="269"/>
      <c r="KX81" s="269"/>
      <c r="KY81" s="269"/>
      <c r="KZ81" s="269"/>
      <c r="LA81" s="269"/>
      <c r="LB81" s="269"/>
      <c r="LC81" s="269"/>
      <c r="LD81" s="269"/>
      <c r="LE81" s="269"/>
      <c r="LF81" s="269"/>
      <c r="LG81" s="269"/>
      <c r="LH81" s="269"/>
      <c r="LI81" s="269"/>
      <c r="LJ81" s="269"/>
      <c r="LK81" s="269"/>
      <c r="LL81" s="269"/>
      <c r="LM81" s="269"/>
      <c r="LN81" s="269"/>
      <c r="LO81" s="269"/>
      <c r="LP81" s="269"/>
      <c r="LQ81" s="269"/>
      <c r="LR81" s="269"/>
      <c r="LS81" s="269"/>
      <c r="LT81" s="269"/>
      <c r="LU81" s="269"/>
      <c r="LV81" s="269"/>
      <c r="LW81" s="269"/>
      <c r="LX81" s="269"/>
      <c r="LY81" s="269"/>
      <c r="LZ81" s="269"/>
      <c r="MA81" s="269"/>
      <c r="MB81" s="269"/>
      <c r="MC81" s="269"/>
      <c r="MD81" s="269"/>
      <c r="ME81" s="269"/>
      <c r="MF81" s="269"/>
      <c r="MG81" s="269"/>
      <c r="MH81" s="269"/>
      <c r="MI81" s="269"/>
      <c r="MJ81" s="269"/>
      <c r="MK81" s="269"/>
      <c r="ML81" s="269"/>
      <c r="MM81" s="269"/>
      <c r="MN81" s="269"/>
      <c r="MO81" s="269"/>
      <c r="MP81" s="269"/>
      <c r="MQ81" s="269"/>
      <c r="MR81" s="269"/>
      <c r="MS81" s="269"/>
      <c r="MT81" s="269"/>
      <c r="MU81" s="269"/>
      <c r="MV81" s="269"/>
      <c r="MW81" s="269"/>
      <c r="MX81" s="269"/>
      <c r="MY81" s="269"/>
      <c r="MZ81" s="269"/>
      <c r="NA81" s="269"/>
      <c r="NB81" s="269"/>
      <c r="NC81" s="269"/>
      <c r="ND81" s="269"/>
      <c r="NE81" s="269"/>
      <c r="NF81" s="269"/>
      <c r="NG81" s="269"/>
      <c r="NH81" s="269"/>
      <c r="NI81" s="269"/>
      <c r="NJ81" s="269"/>
      <c r="NK81" s="269"/>
      <c r="NL81" s="269"/>
      <c r="NM81" s="269"/>
      <c r="NN81" s="269"/>
      <c r="NO81" s="269"/>
      <c r="NP81" s="269"/>
      <c r="NQ81" s="269"/>
      <c r="NR81" s="269"/>
      <c r="NS81" s="269"/>
      <c r="NT81" s="269"/>
      <c r="NU81" s="269"/>
      <c r="NV81" s="269"/>
      <c r="NW81" s="269"/>
      <c r="NX81" s="269"/>
      <c r="NY81" s="269"/>
      <c r="NZ81" s="269"/>
      <c r="OA81" s="269"/>
      <c r="OB81" s="269"/>
      <c r="OC81" s="269"/>
      <c r="OD81" s="269"/>
      <c r="OE81" s="269"/>
      <c r="OF81" s="269"/>
      <c r="OG81" s="269"/>
      <c r="OH81" s="269"/>
      <c r="OI81" s="269"/>
      <c r="OJ81" s="269"/>
      <c r="OK81" s="269"/>
      <c r="OL81" s="269"/>
      <c r="OM81" s="269"/>
      <c r="ON81" s="269"/>
      <c r="OO81" s="269"/>
      <c r="OP81" s="269"/>
      <c r="OQ81" s="269"/>
      <c r="OR81" s="269"/>
      <c r="OS81" s="269"/>
      <c r="OT81" s="269"/>
      <c r="OU81" s="269"/>
      <c r="OV81" s="269"/>
      <c r="OW81" s="269"/>
      <c r="OX81" s="269"/>
      <c r="OY81" s="269"/>
      <c r="OZ81" s="269"/>
      <c r="PA81" s="269"/>
      <c r="PB81" s="269"/>
      <c r="PC81" s="269"/>
    </row>
    <row r="82" spans="1:419">
      <c r="A82" s="269"/>
      <c r="B82" s="287" t="s">
        <v>42</v>
      </c>
      <c r="C82" s="269"/>
      <c r="D82" s="269"/>
      <c r="E82" s="269"/>
      <c r="F82" s="269"/>
      <c r="G82" s="273">
        <v>-1.9354838709677469E-2</v>
      </c>
      <c r="H82" s="273">
        <v>-1.19760479041916E-2</v>
      </c>
      <c r="I82" s="273">
        <v>-4.9999999999999933E-2</v>
      </c>
      <c r="J82" s="273">
        <v>-2.4844720496894568E-2</v>
      </c>
      <c r="K82" s="273">
        <v>1.3157894736842257E-2</v>
      </c>
      <c r="L82" s="274">
        <v>-1.2121212121212088E-2</v>
      </c>
      <c r="M82" s="287" t="s">
        <v>42</v>
      </c>
      <c r="N82" s="269"/>
      <c r="O82" s="269"/>
      <c r="P82" s="269"/>
      <c r="Q82" s="269"/>
      <c r="R82" s="273">
        <v>0</v>
      </c>
      <c r="S82" s="273">
        <v>1.1861056198813946E-2</v>
      </c>
      <c r="T82" s="273">
        <v>-3.9266007955857662E-2</v>
      </c>
      <c r="U82" s="273">
        <v>-1.1101373064563269E-2</v>
      </c>
      <c r="V82" s="273">
        <v>3.5290443472829613E-2</v>
      </c>
      <c r="W82" s="274">
        <v>6.4192017862128026E-3</v>
      </c>
      <c r="X82" s="287" t="s">
        <v>42</v>
      </c>
      <c r="Y82" s="269"/>
      <c r="Z82" s="269"/>
      <c r="AA82" s="269"/>
      <c r="AB82" s="269"/>
      <c r="AC82" s="269"/>
      <c r="AD82" s="269"/>
      <c r="AE82" s="269"/>
      <c r="AF82" s="269"/>
      <c r="AG82" s="269"/>
      <c r="AH82" s="269"/>
      <c r="AI82" s="269"/>
      <c r="AJ82" s="269"/>
      <c r="AK82" s="269"/>
      <c r="AL82" s="269"/>
      <c r="AM82" s="269"/>
      <c r="AN82" s="269"/>
      <c r="AO82" s="269"/>
      <c r="AP82" s="269"/>
      <c r="AQ82" s="269"/>
      <c r="AR82" s="269"/>
      <c r="AS82" s="269"/>
      <c r="AT82" s="269"/>
      <c r="AU82" s="269"/>
      <c r="AV82" s="269"/>
      <c r="AW82" s="269"/>
      <c r="AX82" s="269"/>
      <c r="AY82" s="269"/>
      <c r="AZ82" s="269"/>
      <c r="BA82" s="269"/>
      <c r="BB82" s="269"/>
      <c r="BC82" s="269"/>
      <c r="BD82" s="269"/>
      <c r="BE82" s="269"/>
      <c r="BF82" s="269"/>
      <c r="BG82" s="269"/>
      <c r="BH82" s="269"/>
      <c r="BI82" s="269"/>
      <c r="BJ82" s="269"/>
      <c r="BK82" s="269"/>
      <c r="BL82" s="269"/>
      <c r="BM82" s="269"/>
      <c r="BN82" s="269"/>
      <c r="BO82" s="269"/>
      <c r="BP82" s="269"/>
      <c r="BQ82" s="269"/>
      <c r="BR82" s="269"/>
      <c r="BS82" s="269"/>
      <c r="BT82" s="269"/>
      <c r="BU82" s="269"/>
      <c r="BV82" s="269"/>
      <c r="BW82" s="269"/>
      <c r="BX82" s="269"/>
      <c r="BY82" s="269"/>
      <c r="BZ82" s="269"/>
      <c r="CA82" s="269"/>
      <c r="CB82" s="269"/>
      <c r="CC82" s="269"/>
      <c r="CD82" s="269"/>
      <c r="CE82" s="269"/>
      <c r="CF82" s="269"/>
      <c r="CG82" s="269"/>
      <c r="CH82" s="269"/>
      <c r="CI82" s="269"/>
      <c r="CJ82" s="269"/>
      <c r="CK82" s="269"/>
      <c r="CL82" s="269"/>
      <c r="CM82" s="269"/>
      <c r="CN82" s="269"/>
      <c r="CO82" s="269"/>
      <c r="CP82" s="269"/>
      <c r="CQ82" s="269"/>
      <c r="CR82" s="269"/>
      <c r="CS82" s="269"/>
      <c r="CT82" s="269"/>
      <c r="CU82" s="269"/>
      <c r="CV82" s="269"/>
      <c r="CW82" s="269"/>
      <c r="CX82" s="269"/>
      <c r="CY82" s="269"/>
      <c r="CZ82" s="269"/>
      <c r="DA82" s="269"/>
      <c r="DB82" s="269"/>
      <c r="DC82" s="269"/>
      <c r="DD82" s="269"/>
      <c r="DE82" s="269"/>
      <c r="DF82" s="269"/>
      <c r="DG82" s="269"/>
      <c r="DH82" s="269"/>
      <c r="DI82" s="269"/>
      <c r="DJ82" s="269"/>
      <c r="DK82" s="269"/>
      <c r="DL82" s="269"/>
      <c r="DM82" s="269"/>
      <c r="DN82" s="269"/>
      <c r="DO82" s="269"/>
      <c r="DP82" s="269"/>
      <c r="DQ82" s="269"/>
      <c r="DR82" s="269"/>
      <c r="DS82" s="269"/>
      <c r="DT82" s="269"/>
      <c r="DU82" s="269"/>
      <c r="DV82" s="269"/>
      <c r="DW82" s="269"/>
      <c r="DX82" s="269"/>
      <c r="DY82" s="269"/>
      <c r="DZ82" s="269"/>
      <c r="EA82" s="269"/>
      <c r="EB82" s="269"/>
      <c r="EC82" s="269"/>
      <c r="ED82" s="269"/>
      <c r="EE82" s="269"/>
      <c r="EF82" s="269"/>
      <c r="EG82" s="269"/>
      <c r="EH82" s="269"/>
      <c r="EI82" s="269"/>
      <c r="EJ82" s="269"/>
      <c r="EK82" s="269"/>
      <c r="EL82" s="269"/>
      <c r="EM82" s="269"/>
      <c r="EN82" s="269"/>
      <c r="EO82" s="269"/>
      <c r="EP82" s="269"/>
      <c r="EQ82" s="269"/>
      <c r="ER82" s="269"/>
      <c r="ES82" s="269"/>
      <c r="ET82" s="269"/>
      <c r="EU82" s="269"/>
      <c r="EV82" s="269"/>
      <c r="EW82" s="269"/>
      <c r="EX82" s="269"/>
      <c r="EY82" s="269"/>
      <c r="EZ82" s="269"/>
      <c r="FA82" s="269"/>
      <c r="FB82" s="269"/>
      <c r="FC82" s="269"/>
      <c r="FD82" s="269"/>
      <c r="FE82" s="269"/>
      <c r="FF82" s="269"/>
      <c r="FG82" s="269"/>
      <c r="FH82" s="269"/>
      <c r="FI82" s="269"/>
      <c r="FJ82" s="269"/>
      <c r="FK82" s="269"/>
      <c r="FL82" s="269"/>
      <c r="FM82" s="269"/>
      <c r="FN82" s="269"/>
      <c r="FO82" s="269"/>
      <c r="FP82" s="269"/>
      <c r="FQ82" s="269"/>
      <c r="FR82" s="269"/>
      <c r="FS82" s="269"/>
      <c r="FT82" s="269"/>
      <c r="FU82" s="269"/>
      <c r="FV82" s="269"/>
      <c r="FW82" s="269"/>
      <c r="FX82" s="269"/>
      <c r="FY82" s="269"/>
      <c r="FZ82" s="269"/>
      <c r="GA82" s="269"/>
      <c r="GB82" s="269"/>
      <c r="GC82" s="269"/>
      <c r="GD82" s="269"/>
      <c r="GE82" s="269"/>
      <c r="GF82" s="269"/>
      <c r="GG82" s="269"/>
      <c r="GH82" s="269"/>
      <c r="GI82" s="269"/>
      <c r="GJ82" s="269"/>
      <c r="GK82" s="269"/>
      <c r="GL82" s="269"/>
      <c r="GM82" s="269"/>
      <c r="GN82" s="269"/>
      <c r="GO82" s="269"/>
      <c r="GP82" s="269"/>
      <c r="GQ82" s="269"/>
      <c r="GR82" s="269"/>
      <c r="GS82" s="269"/>
      <c r="GT82" s="269"/>
      <c r="GU82" s="269"/>
      <c r="GV82" s="269"/>
      <c r="GW82" s="269"/>
      <c r="GX82" s="269"/>
      <c r="GY82" s="269"/>
      <c r="GZ82" s="269"/>
      <c r="HA82" s="269"/>
      <c r="HB82" s="269"/>
      <c r="HC82" s="269"/>
      <c r="HD82" s="269"/>
      <c r="HE82" s="269"/>
      <c r="HF82" s="269"/>
      <c r="HG82" s="269"/>
      <c r="HH82" s="269"/>
      <c r="HI82" s="269"/>
      <c r="HJ82" s="269"/>
      <c r="HK82" s="269"/>
      <c r="HL82" s="269"/>
      <c r="HM82" s="269"/>
      <c r="HN82" s="269"/>
      <c r="HO82" s="269"/>
      <c r="HP82" s="269"/>
      <c r="HQ82" s="269"/>
      <c r="HR82" s="269"/>
      <c r="HS82" s="269"/>
      <c r="HT82" s="269"/>
      <c r="HU82" s="269"/>
      <c r="HV82" s="269"/>
      <c r="HW82" s="269"/>
      <c r="HX82" s="269"/>
      <c r="HY82" s="269"/>
      <c r="HZ82" s="269"/>
      <c r="IA82" s="269"/>
      <c r="IB82" s="269"/>
      <c r="IC82" s="269"/>
      <c r="ID82" s="269"/>
      <c r="IE82" s="269"/>
      <c r="IF82" s="269"/>
      <c r="IG82" s="269"/>
      <c r="IH82" s="269"/>
      <c r="II82" s="269"/>
      <c r="IJ82" s="269"/>
      <c r="IK82" s="269"/>
      <c r="IL82" s="269"/>
      <c r="IM82" s="269"/>
      <c r="IN82" s="269"/>
      <c r="IO82" s="269"/>
      <c r="IP82" s="269"/>
      <c r="IQ82" s="269"/>
      <c r="IR82" s="269"/>
      <c r="IS82" s="269"/>
      <c r="IT82" s="269"/>
      <c r="IU82" s="269"/>
      <c r="IV82" s="269"/>
      <c r="IW82" s="269"/>
      <c r="IX82" s="269"/>
      <c r="IY82" s="269"/>
      <c r="IZ82" s="269"/>
      <c r="JA82" s="269"/>
      <c r="JB82" s="269"/>
      <c r="JC82" s="269"/>
      <c r="JD82" s="269"/>
      <c r="JE82" s="269"/>
      <c r="JF82" s="269"/>
      <c r="JG82" s="269"/>
      <c r="JH82" s="269"/>
      <c r="JI82" s="269"/>
      <c r="JJ82" s="269"/>
      <c r="JK82" s="269"/>
      <c r="JL82" s="269"/>
      <c r="JM82" s="269"/>
      <c r="JN82" s="269"/>
      <c r="JO82" s="269"/>
      <c r="JP82" s="269"/>
      <c r="JQ82" s="269"/>
      <c r="JR82" s="269"/>
      <c r="JS82" s="269"/>
      <c r="JT82" s="269"/>
      <c r="JU82" s="269"/>
      <c r="JV82" s="269"/>
      <c r="JW82" s="269"/>
      <c r="JX82" s="269"/>
      <c r="JY82" s="269"/>
      <c r="JZ82" s="269"/>
      <c r="KA82" s="269"/>
      <c r="KB82" s="269"/>
      <c r="KC82" s="269"/>
      <c r="KD82" s="269"/>
      <c r="KE82" s="269"/>
      <c r="KF82" s="269"/>
      <c r="KG82" s="269"/>
      <c r="KH82" s="269"/>
      <c r="KI82" s="269"/>
      <c r="KJ82" s="269"/>
      <c r="KK82" s="269"/>
      <c r="KL82" s="269"/>
      <c r="KM82" s="269"/>
      <c r="KN82" s="269"/>
      <c r="KO82" s="269"/>
      <c r="KP82" s="269"/>
      <c r="KQ82" s="269"/>
      <c r="KR82" s="269"/>
      <c r="KS82" s="269"/>
      <c r="KT82" s="269"/>
      <c r="KU82" s="269"/>
      <c r="KV82" s="269"/>
      <c r="KW82" s="269"/>
      <c r="KX82" s="269"/>
      <c r="KY82" s="269"/>
      <c r="KZ82" s="269"/>
      <c r="LA82" s="269"/>
      <c r="LB82" s="269"/>
      <c r="LC82" s="269"/>
      <c r="LD82" s="269"/>
      <c r="LE82" s="269"/>
      <c r="LF82" s="269"/>
      <c r="LG82" s="269"/>
      <c r="LH82" s="269"/>
      <c r="LI82" s="269"/>
      <c r="LJ82" s="269"/>
      <c r="LK82" s="269"/>
      <c r="LL82" s="269"/>
      <c r="LM82" s="269"/>
      <c r="LN82" s="269"/>
      <c r="LO82" s="269"/>
      <c r="LP82" s="269"/>
      <c r="LQ82" s="269"/>
      <c r="LR82" s="269"/>
      <c r="LS82" s="269"/>
      <c r="LT82" s="269"/>
      <c r="LU82" s="269"/>
      <c r="LV82" s="269"/>
      <c r="LW82" s="269"/>
      <c r="LX82" s="269"/>
      <c r="LY82" s="269"/>
      <c r="LZ82" s="269"/>
      <c r="MA82" s="269"/>
      <c r="MB82" s="269"/>
      <c r="MC82" s="269"/>
      <c r="MD82" s="269"/>
      <c r="ME82" s="269"/>
      <c r="MF82" s="269"/>
      <c r="MG82" s="269"/>
      <c r="MH82" s="269"/>
      <c r="MI82" s="269"/>
      <c r="MJ82" s="269"/>
      <c r="MK82" s="269"/>
      <c r="ML82" s="269"/>
      <c r="MM82" s="269"/>
      <c r="MN82" s="269"/>
      <c r="MO82" s="269"/>
      <c r="MP82" s="269"/>
      <c r="MQ82" s="269"/>
      <c r="MR82" s="269"/>
      <c r="MS82" s="269"/>
      <c r="MT82" s="269"/>
      <c r="MU82" s="269"/>
      <c r="MV82" s="269"/>
      <c r="MW82" s="269"/>
      <c r="MX82" s="269"/>
      <c r="MY82" s="269"/>
      <c r="MZ82" s="269"/>
      <c r="NA82" s="269"/>
      <c r="NB82" s="269"/>
      <c r="NC82" s="269"/>
      <c r="ND82" s="269"/>
      <c r="NE82" s="269"/>
      <c r="NF82" s="269"/>
      <c r="NG82" s="269"/>
      <c r="NH82" s="269"/>
      <c r="NI82" s="269"/>
      <c r="NJ82" s="269"/>
      <c r="NK82" s="269"/>
      <c r="NL82" s="269"/>
      <c r="NM82" s="269"/>
      <c r="NN82" s="269"/>
      <c r="NO82" s="269"/>
      <c r="NP82" s="269"/>
      <c r="NQ82" s="269"/>
      <c r="NR82" s="269"/>
      <c r="NS82" s="269"/>
      <c r="NT82" s="269"/>
      <c r="NU82" s="269"/>
      <c r="NV82" s="269"/>
      <c r="NW82" s="269"/>
      <c r="NX82" s="269"/>
      <c r="NY82" s="269"/>
      <c r="NZ82" s="269"/>
      <c r="OA82" s="269"/>
      <c r="OB82" s="269"/>
      <c r="OC82" s="269"/>
      <c r="OD82" s="269"/>
      <c r="OE82" s="269"/>
      <c r="OF82" s="269"/>
      <c r="OG82" s="269"/>
      <c r="OH82" s="269"/>
      <c r="OI82" s="269"/>
      <c r="OJ82" s="269"/>
      <c r="OK82" s="269"/>
      <c r="OL82" s="269"/>
      <c r="OM82" s="269"/>
      <c r="ON82" s="269"/>
      <c r="OO82" s="269"/>
      <c r="OP82" s="269"/>
      <c r="OQ82" s="269"/>
      <c r="OR82" s="269"/>
      <c r="OS82" s="269"/>
      <c r="OT82" s="269"/>
      <c r="OU82" s="269"/>
      <c r="OV82" s="269"/>
      <c r="OW82" s="269"/>
      <c r="OX82" s="269"/>
      <c r="OY82" s="269"/>
      <c r="OZ82" s="269"/>
      <c r="PA82" s="269"/>
      <c r="PB82" s="269"/>
      <c r="PC82" s="269"/>
    </row>
    <row r="83" spans="1:419">
      <c r="A83" s="269"/>
      <c r="B83" s="287" t="s">
        <v>46</v>
      </c>
      <c r="C83" s="269"/>
      <c r="D83" s="269"/>
      <c r="E83" s="269"/>
      <c r="F83" s="269"/>
      <c r="G83" s="273">
        <v>-2.1897810218978075E-2</v>
      </c>
      <c r="H83" s="273">
        <v>-1.4705882352941124E-2</v>
      </c>
      <c r="I83" s="273">
        <v>-5.8394160583941535E-2</v>
      </c>
      <c r="J83" s="273">
        <v>-2.8985507246376829E-2</v>
      </c>
      <c r="K83" s="273">
        <v>-2.2388059701492602E-2</v>
      </c>
      <c r="L83" s="274">
        <v>-7.4626865671642006E-3</v>
      </c>
      <c r="M83" s="287" t="s">
        <v>46</v>
      </c>
      <c r="N83" s="269"/>
      <c r="O83" s="269"/>
      <c r="P83" s="269"/>
      <c r="Q83" s="269"/>
      <c r="R83" s="273">
        <v>-1.1085180863477317E-2</v>
      </c>
      <c r="S83" s="273">
        <v>-8.7599766400624501E-3</v>
      </c>
      <c r="T83" s="273">
        <v>-4.8220882753256755E-2</v>
      </c>
      <c r="U83" s="273">
        <v>-9.5093191327501048E-3</v>
      </c>
      <c r="V83" s="273">
        <v>-1.2782694198623434E-2</v>
      </c>
      <c r="W83" s="274">
        <v>5.1060487038492308E-3</v>
      </c>
      <c r="X83" s="287" t="s">
        <v>46</v>
      </c>
      <c r="Y83" s="269"/>
      <c r="Z83" s="269"/>
      <c r="AA83" s="269"/>
      <c r="AB83" s="269"/>
      <c r="AC83" s="269"/>
      <c r="AD83" s="269"/>
      <c r="AE83" s="269"/>
      <c r="AF83" s="269"/>
      <c r="AG83" s="269"/>
      <c r="AH83" s="269"/>
      <c r="AI83" s="269"/>
      <c r="AJ83" s="269"/>
      <c r="AK83" s="269"/>
      <c r="AL83" s="269"/>
      <c r="AM83" s="269"/>
      <c r="AN83" s="269"/>
      <c r="AO83" s="269"/>
      <c r="AP83" s="269"/>
      <c r="AQ83" s="269"/>
      <c r="AR83" s="269"/>
      <c r="AS83" s="269"/>
      <c r="AT83" s="269"/>
      <c r="AU83" s="269"/>
      <c r="AV83" s="269"/>
      <c r="AW83" s="269"/>
      <c r="AX83" s="269"/>
      <c r="AY83" s="269"/>
      <c r="AZ83" s="269"/>
      <c r="BA83" s="269"/>
      <c r="BB83" s="269"/>
      <c r="BC83" s="269"/>
      <c r="BD83" s="269"/>
      <c r="BE83" s="269"/>
      <c r="BF83" s="269"/>
      <c r="BG83" s="269"/>
      <c r="BH83" s="269"/>
      <c r="BI83" s="269"/>
      <c r="BJ83" s="269"/>
      <c r="BK83" s="269"/>
      <c r="BL83" s="269"/>
      <c r="BM83" s="269"/>
      <c r="BN83" s="269"/>
      <c r="BO83" s="269"/>
      <c r="BP83" s="269"/>
      <c r="BQ83" s="269"/>
      <c r="BR83" s="269"/>
      <c r="BS83" s="269"/>
      <c r="BT83" s="269"/>
      <c r="BU83" s="269"/>
      <c r="BV83" s="269"/>
      <c r="BW83" s="269"/>
      <c r="BX83" s="269"/>
      <c r="BY83" s="269"/>
      <c r="BZ83" s="269"/>
      <c r="CA83" s="269"/>
      <c r="CB83" s="269"/>
      <c r="CC83" s="269"/>
      <c r="CD83" s="269"/>
      <c r="CE83" s="269"/>
      <c r="CF83" s="269"/>
      <c r="CG83" s="269"/>
      <c r="CH83" s="269"/>
      <c r="CI83" s="269"/>
      <c r="CJ83" s="269"/>
      <c r="CK83" s="269"/>
      <c r="CL83" s="269"/>
      <c r="CM83" s="269"/>
      <c r="CN83" s="269"/>
      <c r="CO83" s="269"/>
      <c r="CP83" s="269"/>
      <c r="CQ83" s="269"/>
      <c r="CR83" s="269"/>
      <c r="CS83" s="269"/>
      <c r="CT83" s="269"/>
      <c r="CU83" s="269"/>
      <c r="CV83" s="269"/>
      <c r="CW83" s="269"/>
      <c r="CX83" s="269"/>
      <c r="CY83" s="269"/>
      <c r="CZ83" s="269"/>
      <c r="DA83" s="269"/>
      <c r="DB83" s="269"/>
      <c r="DC83" s="269"/>
      <c r="DD83" s="269"/>
      <c r="DE83" s="269"/>
      <c r="DF83" s="269"/>
      <c r="DG83" s="269"/>
      <c r="DH83" s="269"/>
      <c r="DI83" s="269"/>
      <c r="DJ83" s="269"/>
      <c r="DK83" s="269"/>
      <c r="DL83" s="269"/>
      <c r="DM83" s="269"/>
      <c r="DN83" s="269"/>
      <c r="DO83" s="269"/>
      <c r="DP83" s="269"/>
      <c r="DQ83" s="269"/>
      <c r="DR83" s="269"/>
      <c r="DS83" s="269"/>
      <c r="DT83" s="269"/>
      <c r="DU83" s="269"/>
      <c r="DV83" s="269"/>
      <c r="DW83" s="269"/>
      <c r="DX83" s="269"/>
      <c r="DY83" s="269"/>
      <c r="DZ83" s="269"/>
      <c r="EA83" s="269"/>
      <c r="EB83" s="269"/>
      <c r="EC83" s="269"/>
      <c r="ED83" s="269"/>
      <c r="EE83" s="269"/>
      <c r="EF83" s="269"/>
      <c r="EG83" s="269"/>
      <c r="EH83" s="269"/>
      <c r="EI83" s="269"/>
      <c r="EJ83" s="269"/>
      <c r="EK83" s="269"/>
      <c r="EL83" s="269"/>
      <c r="EM83" s="269"/>
      <c r="EN83" s="269"/>
      <c r="EO83" s="269"/>
      <c r="EP83" s="269"/>
      <c r="EQ83" s="269"/>
      <c r="ER83" s="269"/>
      <c r="ES83" s="269"/>
      <c r="ET83" s="269"/>
      <c r="EU83" s="269"/>
      <c r="EV83" s="269"/>
      <c r="EW83" s="269"/>
      <c r="EX83" s="269"/>
      <c r="EY83" s="269"/>
      <c r="EZ83" s="269"/>
      <c r="FA83" s="269"/>
      <c r="FB83" s="269"/>
      <c r="FC83" s="269"/>
      <c r="FD83" s="269"/>
      <c r="FE83" s="269"/>
      <c r="FF83" s="269"/>
      <c r="FG83" s="269"/>
      <c r="FH83" s="269"/>
      <c r="FI83" s="269"/>
      <c r="FJ83" s="269"/>
      <c r="FK83" s="269"/>
      <c r="FL83" s="269"/>
      <c r="FM83" s="269"/>
      <c r="FN83" s="269"/>
      <c r="FO83" s="269"/>
      <c r="FP83" s="269"/>
      <c r="FQ83" s="269"/>
      <c r="FR83" s="269"/>
      <c r="FS83" s="269"/>
      <c r="FT83" s="269"/>
      <c r="FU83" s="269"/>
      <c r="FV83" s="269"/>
      <c r="FW83" s="269"/>
      <c r="FX83" s="269"/>
      <c r="FY83" s="269"/>
      <c r="FZ83" s="269"/>
      <c r="GA83" s="269"/>
      <c r="GB83" s="269"/>
      <c r="GC83" s="269"/>
      <c r="GD83" s="269"/>
      <c r="GE83" s="269"/>
      <c r="GF83" s="269"/>
      <c r="GG83" s="269"/>
      <c r="GH83" s="269"/>
      <c r="GI83" s="269"/>
      <c r="GJ83" s="269"/>
      <c r="GK83" s="269"/>
      <c r="GL83" s="269"/>
      <c r="GM83" s="269"/>
      <c r="GN83" s="269"/>
      <c r="GO83" s="269"/>
      <c r="GP83" s="269"/>
      <c r="GQ83" s="269"/>
      <c r="GR83" s="269"/>
      <c r="GS83" s="269"/>
      <c r="GT83" s="269"/>
      <c r="GU83" s="269"/>
      <c r="GV83" s="269"/>
      <c r="GW83" s="269"/>
      <c r="GX83" s="269"/>
      <c r="GY83" s="269"/>
      <c r="GZ83" s="269"/>
      <c r="HA83" s="269"/>
      <c r="HB83" s="269"/>
      <c r="HC83" s="269"/>
      <c r="HD83" s="269"/>
      <c r="HE83" s="269"/>
      <c r="HF83" s="269"/>
      <c r="HG83" s="269"/>
      <c r="HH83" s="269"/>
      <c r="HI83" s="269"/>
      <c r="HJ83" s="269"/>
      <c r="HK83" s="269"/>
      <c r="HL83" s="269"/>
      <c r="HM83" s="269"/>
      <c r="HN83" s="269"/>
      <c r="HO83" s="269"/>
      <c r="HP83" s="269"/>
      <c r="HQ83" s="269"/>
      <c r="HR83" s="269"/>
      <c r="HS83" s="269"/>
      <c r="HT83" s="269"/>
      <c r="HU83" s="269"/>
      <c r="HV83" s="269"/>
      <c r="HW83" s="269"/>
      <c r="HX83" s="269"/>
      <c r="HY83" s="269"/>
      <c r="HZ83" s="269"/>
      <c r="IA83" s="269"/>
      <c r="IB83" s="269"/>
      <c r="IC83" s="269"/>
      <c r="ID83" s="269"/>
      <c r="IE83" s="269"/>
      <c r="IF83" s="269"/>
      <c r="IG83" s="269"/>
      <c r="IH83" s="269"/>
      <c r="II83" s="269"/>
      <c r="IJ83" s="269"/>
      <c r="IK83" s="269"/>
      <c r="IL83" s="269"/>
      <c r="IM83" s="269"/>
      <c r="IN83" s="269"/>
      <c r="IO83" s="269"/>
      <c r="IP83" s="269"/>
      <c r="IQ83" s="269"/>
      <c r="IR83" s="269"/>
      <c r="IS83" s="269"/>
      <c r="IT83" s="269"/>
      <c r="IU83" s="269"/>
      <c r="IV83" s="269"/>
      <c r="IW83" s="269"/>
      <c r="IX83" s="269"/>
      <c r="IY83" s="269"/>
      <c r="IZ83" s="269"/>
      <c r="JA83" s="269"/>
      <c r="JB83" s="269"/>
      <c r="JC83" s="269"/>
      <c r="JD83" s="269"/>
      <c r="JE83" s="269"/>
      <c r="JF83" s="269"/>
      <c r="JG83" s="269"/>
      <c r="JH83" s="269"/>
      <c r="JI83" s="269"/>
      <c r="JJ83" s="269"/>
      <c r="JK83" s="269"/>
      <c r="JL83" s="269"/>
      <c r="JM83" s="269"/>
      <c r="JN83" s="269"/>
      <c r="JO83" s="269"/>
      <c r="JP83" s="269"/>
      <c r="JQ83" s="269"/>
      <c r="JR83" s="269"/>
      <c r="JS83" s="269"/>
      <c r="JT83" s="269"/>
      <c r="JU83" s="269"/>
      <c r="JV83" s="269"/>
      <c r="JW83" s="269"/>
      <c r="JX83" s="269"/>
      <c r="JY83" s="269"/>
      <c r="JZ83" s="269"/>
      <c r="KA83" s="269"/>
      <c r="KB83" s="269"/>
      <c r="KC83" s="269"/>
      <c r="KD83" s="269"/>
      <c r="KE83" s="269"/>
      <c r="KF83" s="269"/>
      <c r="KG83" s="269"/>
      <c r="KH83" s="269"/>
      <c r="KI83" s="269"/>
      <c r="KJ83" s="269"/>
      <c r="KK83" s="269"/>
      <c r="KL83" s="269"/>
      <c r="KM83" s="269"/>
      <c r="KN83" s="269"/>
      <c r="KO83" s="269"/>
      <c r="KP83" s="269"/>
      <c r="KQ83" s="269"/>
      <c r="KR83" s="269"/>
      <c r="KS83" s="269"/>
      <c r="KT83" s="269"/>
      <c r="KU83" s="269"/>
      <c r="KV83" s="269"/>
      <c r="KW83" s="269"/>
      <c r="KX83" s="269"/>
      <c r="KY83" s="269"/>
      <c r="KZ83" s="269"/>
      <c r="LA83" s="269"/>
      <c r="LB83" s="269"/>
      <c r="LC83" s="269"/>
      <c r="LD83" s="269"/>
      <c r="LE83" s="269"/>
      <c r="LF83" s="269"/>
      <c r="LG83" s="269"/>
      <c r="LH83" s="269"/>
      <c r="LI83" s="269"/>
      <c r="LJ83" s="269"/>
      <c r="LK83" s="269"/>
      <c r="LL83" s="269"/>
      <c r="LM83" s="269"/>
      <c r="LN83" s="269"/>
      <c r="LO83" s="269"/>
      <c r="LP83" s="269"/>
      <c r="LQ83" s="269"/>
      <c r="LR83" s="269"/>
      <c r="LS83" s="269"/>
      <c r="LT83" s="269"/>
      <c r="LU83" s="269"/>
      <c r="LV83" s="269"/>
      <c r="LW83" s="269"/>
      <c r="LX83" s="269"/>
      <c r="LY83" s="269"/>
      <c r="LZ83" s="269"/>
      <c r="MA83" s="269"/>
      <c r="MB83" s="269"/>
      <c r="MC83" s="269"/>
      <c r="MD83" s="269"/>
      <c r="ME83" s="269"/>
      <c r="MF83" s="269"/>
      <c r="MG83" s="269"/>
      <c r="MH83" s="269"/>
      <c r="MI83" s="269"/>
      <c r="MJ83" s="269"/>
      <c r="MK83" s="269"/>
      <c r="ML83" s="269"/>
      <c r="MM83" s="269"/>
      <c r="MN83" s="269"/>
      <c r="MO83" s="269"/>
      <c r="MP83" s="269"/>
      <c r="MQ83" s="269"/>
      <c r="MR83" s="269"/>
      <c r="MS83" s="269"/>
      <c r="MT83" s="269"/>
      <c r="MU83" s="269"/>
      <c r="MV83" s="269"/>
      <c r="MW83" s="269"/>
      <c r="MX83" s="269"/>
      <c r="MY83" s="269"/>
      <c r="MZ83" s="269"/>
      <c r="NA83" s="269"/>
      <c r="NB83" s="269"/>
      <c r="NC83" s="269"/>
      <c r="ND83" s="269"/>
      <c r="NE83" s="269"/>
      <c r="NF83" s="269"/>
      <c r="NG83" s="269"/>
      <c r="NH83" s="269"/>
      <c r="NI83" s="269"/>
      <c r="NJ83" s="269"/>
      <c r="NK83" s="269"/>
      <c r="NL83" s="269"/>
      <c r="NM83" s="269"/>
      <c r="NN83" s="269"/>
      <c r="NO83" s="269"/>
      <c r="NP83" s="269"/>
      <c r="NQ83" s="269"/>
      <c r="NR83" s="269"/>
      <c r="NS83" s="269"/>
      <c r="NT83" s="269"/>
      <c r="NU83" s="269"/>
      <c r="NV83" s="269"/>
      <c r="NW83" s="269"/>
      <c r="NX83" s="269"/>
      <c r="NY83" s="269"/>
      <c r="NZ83" s="269"/>
      <c r="OA83" s="269"/>
      <c r="OB83" s="269"/>
      <c r="OC83" s="269"/>
      <c r="OD83" s="269"/>
      <c r="OE83" s="269"/>
      <c r="OF83" s="269"/>
      <c r="OG83" s="269"/>
      <c r="OH83" s="269"/>
      <c r="OI83" s="269"/>
      <c r="OJ83" s="269"/>
      <c r="OK83" s="269"/>
      <c r="OL83" s="269"/>
      <c r="OM83" s="269"/>
      <c r="ON83" s="269"/>
      <c r="OO83" s="269"/>
      <c r="OP83" s="269"/>
      <c r="OQ83" s="269"/>
      <c r="OR83" s="269"/>
      <c r="OS83" s="269"/>
      <c r="OT83" s="269"/>
      <c r="OU83" s="269"/>
      <c r="OV83" s="269"/>
      <c r="OW83" s="269"/>
      <c r="OX83" s="269"/>
      <c r="OY83" s="269"/>
      <c r="OZ83" s="269"/>
      <c r="PA83" s="269"/>
      <c r="PB83" s="269"/>
      <c r="PC83" s="269"/>
    </row>
    <row r="84" spans="1:419">
      <c r="A84" s="269"/>
      <c r="B84" s="287" t="s">
        <v>47</v>
      </c>
      <c r="C84" s="269"/>
      <c r="D84" s="269"/>
      <c r="E84" s="269"/>
      <c r="F84" s="269"/>
      <c r="G84" s="273">
        <v>9.4339622641509413E-2</v>
      </c>
      <c r="H84" s="273">
        <v>6.4748201438848962E-2</v>
      </c>
      <c r="I84" s="273">
        <v>-4.895104895104907E-2</v>
      </c>
      <c r="J84" s="273">
        <v>-4.4776119402985093E-2</v>
      </c>
      <c r="K84" s="273">
        <v>-7.7586206896551713E-2</v>
      </c>
      <c r="L84" s="274">
        <v>-7.4324324324324453E-2</v>
      </c>
      <c r="M84" s="287" t="s">
        <v>47</v>
      </c>
      <c r="N84" s="269"/>
      <c r="O84" s="269"/>
      <c r="P84" s="269"/>
      <c r="Q84" s="269"/>
      <c r="R84" s="273">
        <v>0.13006349901467051</v>
      </c>
      <c r="S84" s="273">
        <v>0.11212474380098869</v>
      </c>
      <c r="T84" s="273">
        <v>-3.1816225100770978E-2</v>
      </c>
      <c r="U84" s="273">
        <v>-3.5727455238251271E-2</v>
      </c>
      <c r="V84" s="273">
        <v>-6.4231738035264496E-2</v>
      </c>
      <c r="W84" s="274">
        <v>-5.9877859285223933E-2</v>
      </c>
      <c r="X84" s="287" t="s">
        <v>47</v>
      </c>
      <c r="Y84" s="269"/>
      <c r="Z84" s="269"/>
      <c r="AA84" s="269"/>
      <c r="AB84" s="269"/>
      <c r="AC84" s="269"/>
      <c r="AD84" s="269"/>
      <c r="AE84" s="269"/>
      <c r="AF84" s="269"/>
      <c r="AG84" s="269"/>
      <c r="AH84" s="269"/>
      <c r="AI84" s="269"/>
      <c r="AJ84" s="269"/>
      <c r="AK84" s="269"/>
      <c r="AL84" s="269"/>
      <c r="AM84" s="269"/>
      <c r="AN84" s="269"/>
      <c r="AO84" s="269"/>
      <c r="AP84" s="269"/>
      <c r="AQ84" s="269"/>
      <c r="AR84" s="269"/>
      <c r="AS84" s="269"/>
      <c r="AT84" s="269"/>
      <c r="AU84" s="269"/>
      <c r="AV84" s="269"/>
      <c r="AW84" s="269"/>
      <c r="AX84" s="269"/>
      <c r="AY84" s="269"/>
      <c r="AZ84" s="269"/>
      <c r="BA84" s="269"/>
      <c r="BB84" s="269"/>
      <c r="BC84" s="269"/>
      <c r="BD84" s="269"/>
      <c r="BE84" s="269"/>
      <c r="BF84" s="269"/>
      <c r="BG84" s="269"/>
      <c r="BH84" s="269"/>
      <c r="BI84" s="269"/>
      <c r="BJ84" s="269"/>
      <c r="BK84" s="269"/>
      <c r="BL84" s="269"/>
      <c r="BM84" s="269"/>
      <c r="BN84" s="269"/>
      <c r="BO84" s="269"/>
      <c r="BP84" s="269"/>
      <c r="BQ84" s="269"/>
      <c r="BR84" s="269"/>
      <c r="BS84" s="269"/>
      <c r="BT84" s="269"/>
      <c r="BU84" s="269"/>
      <c r="BV84" s="269"/>
      <c r="BW84" s="269"/>
      <c r="BX84" s="269"/>
      <c r="BY84" s="269"/>
      <c r="BZ84" s="269"/>
      <c r="CA84" s="269"/>
      <c r="CB84" s="269"/>
      <c r="CC84" s="269"/>
      <c r="CD84" s="269"/>
      <c r="CE84" s="269"/>
      <c r="CF84" s="269"/>
      <c r="CG84" s="269"/>
      <c r="CH84" s="269"/>
      <c r="CI84" s="269"/>
      <c r="CJ84" s="269"/>
      <c r="CK84" s="269"/>
      <c r="CL84" s="269"/>
      <c r="CM84" s="269"/>
      <c r="CN84" s="269"/>
      <c r="CO84" s="269"/>
      <c r="CP84" s="269"/>
      <c r="CQ84" s="269"/>
      <c r="CR84" s="269"/>
      <c r="CS84" s="269"/>
      <c r="CT84" s="269"/>
      <c r="CU84" s="269"/>
      <c r="CV84" s="269"/>
      <c r="CW84" s="269"/>
      <c r="CX84" s="269"/>
      <c r="CY84" s="269"/>
      <c r="CZ84" s="269"/>
      <c r="DA84" s="269"/>
      <c r="DB84" s="269"/>
      <c r="DC84" s="269"/>
      <c r="DD84" s="269"/>
      <c r="DE84" s="269"/>
      <c r="DF84" s="269"/>
      <c r="DG84" s="269"/>
      <c r="DH84" s="269"/>
      <c r="DI84" s="269"/>
      <c r="DJ84" s="269"/>
      <c r="DK84" s="269"/>
      <c r="DL84" s="269"/>
      <c r="DM84" s="269"/>
      <c r="DN84" s="269"/>
      <c r="DO84" s="269"/>
      <c r="DP84" s="269"/>
      <c r="DQ84" s="269"/>
      <c r="DR84" s="269"/>
      <c r="DS84" s="269"/>
      <c r="DT84" s="269"/>
      <c r="DU84" s="269"/>
      <c r="DV84" s="269"/>
      <c r="DW84" s="269"/>
      <c r="DX84" s="269"/>
      <c r="DY84" s="269"/>
      <c r="DZ84" s="269"/>
      <c r="EA84" s="269"/>
      <c r="EB84" s="269"/>
      <c r="EC84" s="269"/>
      <c r="ED84" s="269"/>
      <c r="EE84" s="269"/>
      <c r="EF84" s="269"/>
      <c r="EG84" s="269"/>
      <c r="EH84" s="269"/>
      <c r="EI84" s="269"/>
      <c r="EJ84" s="269"/>
      <c r="EK84" s="269"/>
      <c r="EL84" s="269"/>
      <c r="EM84" s="269"/>
      <c r="EN84" s="269"/>
      <c r="EO84" s="269"/>
      <c r="EP84" s="269"/>
      <c r="EQ84" s="269"/>
      <c r="ER84" s="269"/>
      <c r="ES84" s="269"/>
      <c r="ET84" s="269"/>
      <c r="EU84" s="269"/>
      <c r="EV84" s="269"/>
      <c r="EW84" s="269"/>
      <c r="EX84" s="269"/>
      <c r="EY84" s="269"/>
      <c r="EZ84" s="269"/>
      <c r="FA84" s="269"/>
      <c r="FB84" s="269"/>
      <c r="FC84" s="269"/>
      <c r="FD84" s="269"/>
      <c r="FE84" s="269"/>
      <c r="FF84" s="269"/>
      <c r="FG84" s="269"/>
      <c r="FH84" s="269"/>
      <c r="FI84" s="269"/>
      <c r="FJ84" s="269"/>
      <c r="FK84" s="269"/>
      <c r="FL84" s="269"/>
      <c r="FM84" s="269"/>
      <c r="FN84" s="269"/>
      <c r="FO84" s="269"/>
      <c r="FP84" s="269"/>
      <c r="FQ84" s="269"/>
      <c r="FR84" s="269"/>
      <c r="FS84" s="269"/>
      <c r="FT84" s="269"/>
      <c r="FU84" s="269"/>
      <c r="FV84" s="269"/>
      <c r="FW84" s="269"/>
      <c r="FX84" s="269"/>
      <c r="FY84" s="269"/>
      <c r="FZ84" s="269"/>
      <c r="GA84" s="269"/>
      <c r="GB84" s="269"/>
      <c r="GC84" s="269"/>
      <c r="GD84" s="269"/>
      <c r="GE84" s="269"/>
      <c r="GF84" s="269"/>
      <c r="GG84" s="269"/>
      <c r="GH84" s="269"/>
      <c r="GI84" s="269"/>
      <c r="GJ84" s="269"/>
      <c r="GK84" s="269"/>
      <c r="GL84" s="269"/>
      <c r="GM84" s="269"/>
      <c r="GN84" s="269"/>
      <c r="GO84" s="269"/>
      <c r="GP84" s="269"/>
      <c r="GQ84" s="269"/>
      <c r="GR84" s="269"/>
      <c r="GS84" s="269"/>
      <c r="GT84" s="269"/>
      <c r="GU84" s="269"/>
      <c r="GV84" s="269"/>
      <c r="GW84" s="269"/>
      <c r="GX84" s="269"/>
      <c r="GY84" s="269"/>
      <c r="GZ84" s="269"/>
      <c r="HA84" s="269"/>
      <c r="HB84" s="269"/>
      <c r="HC84" s="269"/>
      <c r="HD84" s="269"/>
      <c r="HE84" s="269"/>
      <c r="HF84" s="269"/>
      <c r="HG84" s="269"/>
      <c r="HH84" s="269"/>
      <c r="HI84" s="269"/>
      <c r="HJ84" s="269"/>
      <c r="HK84" s="269"/>
      <c r="HL84" s="269"/>
      <c r="HM84" s="269"/>
      <c r="HN84" s="269"/>
      <c r="HO84" s="269"/>
      <c r="HP84" s="269"/>
      <c r="HQ84" s="269"/>
      <c r="HR84" s="269"/>
      <c r="HS84" s="269"/>
      <c r="HT84" s="269"/>
      <c r="HU84" s="269"/>
      <c r="HV84" s="269"/>
      <c r="HW84" s="269"/>
      <c r="HX84" s="269"/>
      <c r="HY84" s="269"/>
      <c r="HZ84" s="269"/>
      <c r="IA84" s="269"/>
      <c r="IB84" s="269"/>
      <c r="IC84" s="269"/>
      <c r="ID84" s="269"/>
      <c r="IE84" s="269"/>
      <c r="IF84" s="269"/>
      <c r="IG84" s="269"/>
      <c r="IH84" s="269"/>
      <c r="II84" s="269"/>
      <c r="IJ84" s="269"/>
      <c r="IK84" s="269"/>
      <c r="IL84" s="269"/>
      <c r="IM84" s="269"/>
      <c r="IN84" s="269"/>
      <c r="IO84" s="269"/>
      <c r="IP84" s="269"/>
      <c r="IQ84" s="269"/>
      <c r="IR84" s="269"/>
      <c r="IS84" s="269"/>
      <c r="IT84" s="269"/>
      <c r="IU84" s="269"/>
      <c r="IV84" s="269"/>
      <c r="IW84" s="269"/>
      <c r="IX84" s="269"/>
      <c r="IY84" s="269"/>
      <c r="IZ84" s="269"/>
      <c r="JA84" s="269"/>
      <c r="JB84" s="269"/>
      <c r="JC84" s="269"/>
      <c r="JD84" s="269"/>
      <c r="JE84" s="269"/>
      <c r="JF84" s="269"/>
      <c r="JG84" s="269"/>
      <c r="JH84" s="269"/>
      <c r="JI84" s="269"/>
      <c r="JJ84" s="269"/>
      <c r="JK84" s="269"/>
      <c r="JL84" s="269"/>
      <c r="JM84" s="269"/>
      <c r="JN84" s="269"/>
      <c r="JO84" s="269"/>
      <c r="JP84" s="269"/>
      <c r="JQ84" s="269"/>
      <c r="JR84" s="269"/>
      <c r="JS84" s="269"/>
      <c r="JT84" s="269"/>
      <c r="JU84" s="269"/>
      <c r="JV84" s="269"/>
      <c r="JW84" s="269"/>
      <c r="JX84" s="269"/>
      <c r="JY84" s="269"/>
      <c r="JZ84" s="269"/>
      <c r="KA84" s="269"/>
      <c r="KB84" s="269"/>
      <c r="KC84" s="269"/>
      <c r="KD84" s="269"/>
      <c r="KE84" s="269"/>
      <c r="KF84" s="269"/>
      <c r="KG84" s="269"/>
      <c r="KH84" s="269"/>
      <c r="KI84" s="269"/>
      <c r="KJ84" s="269"/>
      <c r="KK84" s="269"/>
      <c r="KL84" s="269"/>
      <c r="KM84" s="269"/>
      <c r="KN84" s="269"/>
      <c r="KO84" s="269"/>
      <c r="KP84" s="269"/>
      <c r="KQ84" s="269"/>
      <c r="KR84" s="269"/>
      <c r="KS84" s="269"/>
      <c r="KT84" s="269"/>
      <c r="KU84" s="269"/>
      <c r="KV84" s="269"/>
      <c r="KW84" s="269"/>
      <c r="KX84" s="269"/>
      <c r="KY84" s="269"/>
      <c r="KZ84" s="269"/>
      <c r="LA84" s="269"/>
      <c r="LB84" s="269"/>
      <c r="LC84" s="269"/>
      <c r="LD84" s="269"/>
      <c r="LE84" s="269"/>
      <c r="LF84" s="269"/>
      <c r="LG84" s="269"/>
      <c r="LH84" s="269"/>
      <c r="LI84" s="269"/>
      <c r="LJ84" s="269"/>
      <c r="LK84" s="269"/>
      <c r="LL84" s="269"/>
      <c r="LM84" s="269"/>
      <c r="LN84" s="269"/>
      <c r="LO84" s="269"/>
      <c r="LP84" s="269"/>
      <c r="LQ84" s="269"/>
      <c r="LR84" s="269"/>
      <c r="LS84" s="269"/>
      <c r="LT84" s="269"/>
      <c r="LU84" s="269"/>
      <c r="LV84" s="269"/>
      <c r="LW84" s="269"/>
      <c r="LX84" s="269"/>
      <c r="LY84" s="269"/>
      <c r="LZ84" s="269"/>
      <c r="MA84" s="269"/>
      <c r="MB84" s="269"/>
      <c r="MC84" s="269"/>
      <c r="MD84" s="269"/>
      <c r="ME84" s="269"/>
      <c r="MF84" s="269"/>
      <c r="MG84" s="269"/>
      <c r="MH84" s="269"/>
      <c r="MI84" s="269"/>
      <c r="MJ84" s="269"/>
      <c r="MK84" s="269"/>
      <c r="ML84" s="269"/>
      <c r="MM84" s="269"/>
      <c r="MN84" s="269"/>
      <c r="MO84" s="269"/>
      <c r="MP84" s="269"/>
      <c r="MQ84" s="269"/>
      <c r="MR84" s="269"/>
      <c r="MS84" s="269"/>
      <c r="MT84" s="269"/>
      <c r="MU84" s="269"/>
      <c r="MV84" s="269"/>
      <c r="MW84" s="269"/>
      <c r="MX84" s="269"/>
      <c r="MY84" s="269"/>
      <c r="MZ84" s="269"/>
      <c r="NA84" s="269"/>
      <c r="NB84" s="269"/>
      <c r="NC84" s="269"/>
      <c r="ND84" s="269"/>
      <c r="NE84" s="269"/>
      <c r="NF84" s="269"/>
      <c r="NG84" s="269"/>
      <c r="NH84" s="269"/>
      <c r="NI84" s="269"/>
      <c r="NJ84" s="269"/>
      <c r="NK84" s="269"/>
      <c r="NL84" s="269"/>
      <c r="NM84" s="269"/>
      <c r="NN84" s="269"/>
      <c r="NO84" s="269"/>
      <c r="NP84" s="269"/>
      <c r="NQ84" s="269"/>
      <c r="NR84" s="269"/>
      <c r="NS84" s="269"/>
      <c r="NT84" s="269"/>
      <c r="NU84" s="269"/>
      <c r="NV84" s="269"/>
      <c r="NW84" s="269"/>
      <c r="NX84" s="269"/>
      <c r="NY84" s="269"/>
      <c r="NZ84" s="269"/>
      <c r="OA84" s="269"/>
      <c r="OB84" s="269"/>
      <c r="OC84" s="269"/>
      <c r="OD84" s="269"/>
      <c r="OE84" s="269"/>
      <c r="OF84" s="269"/>
      <c r="OG84" s="269"/>
      <c r="OH84" s="269"/>
      <c r="OI84" s="269"/>
      <c r="OJ84" s="269"/>
      <c r="OK84" s="269"/>
      <c r="OL84" s="269"/>
      <c r="OM84" s="269"/>
      <c r="ON84" s="269"/>
      <c r="OO84" s="269"/>
      <c r="OP84" s="269"/>
      <c r="OQ84" s="269"/>
      <c r="OR84" s="269"/>
      <c r="OS84" s="269"/>
      <c r="OT84" s="269"/>
      <c r="OU84" s="269"/>
      <c r="OV84" s="269"/>
      <c r="OW84" s="269"/>
      <c r="OX84" s="269"/>
      <c r="OY84" s="269"/>
      <c r="OZ84" s="269"/>
      <c r="PA84" s="269"/>
      <c r="PB84" s="269"/>
      <c r="PC84" s="269"/>
    </row>
    <row r="85" spans="1:419">
      <c r="A85" s="269"/>
      <c r="B85" s="287" t="s">
        <v>43</v>
      </c>
      <c r="C85" s="269"/>
      <c r="D85" s="269"/>
      <c r="E85" s="269"/>
      <c r="F85" s="269"/>
      <c r="G85" s="273">
        <v>-1.6666666666666607E-2</v>
      </c>
      <c r="H85" s="273">
        <v>0</v>
      </c>
      <c r="I85" s="273">
        <v>-3.2258064516129115E-2</v>
      </c>
      <c r="J85" s="273">
        <v>0</v>
      </c>
      <c r="K85" s="273">
        <v>-5.0847457627118731E-2</v>
      </c>
      <c r="L85" s="274">
        <v>-6.6666666666666763E-2</v>
      </c>
      <c r="M85" s="287" t="s">
        <v>43</v>
      </c>
      <c r="N85" s="269"/>
      <c r="O85" s="269"/>
      <c r="P85" s="269"/>
      <c r="Q85" s="269"/>
      <c r="R85" s="273">
        <v>-1.4936034807454979E-2</v>
      </c>
      <c r="S85" s="273">
        <v>1.3034410844629862E-2</v>
      </c>
      <c r="T85" s="273">
        <v>-2.7104671496377741E-2</v>
      </c>
      <c r="U85" s="273">
        <v>-9.5638867635806646E-3</v>
      </c>
      <c r="V85" s="273">
        <v>-4.0147669589294055E-2</v>
      </c>
      <c r="W85" s="274">
        <v>-5.0887802367473034E-2</v>
      </c>
      <c r="X85" s="287" t="s">
        <v>43</v>
      </c>
      <c r="Y85" s="269"/>
      <c r="Z85" s="269"/>
      <c r="AA85" s="269"/>
      <c r="AB85" s="269"/>
      <c r="AC85" s="269"/>
      <c r="AD85" s="269"/>
      <c r="AE85" s="269"/>
      <c r="AF85" s="269"/>
      <c r="AG85" s="269"/>
      <c r="AH85" s="269"/>
      <c r="AI85" s="269"/>
      <c r="AJ85" s="269"/>
      <c r="AK85" s="269"/>
      <c r="AL85" s="269"/>
      <c r="AM85" s="269"/>
      <c r="AN85" s="269"/>
      <c r="AO85" s="269"/>
      <c r="AP85" s="269"/>
      <c r="AQ85" s="269"/>
      <c r="AR85" s="269"/>
      <c r="AS85" s="269"/>
      <c r="AT85" s="269"/>
      <c r="AU85" s="269"/>
      <c r="AV85" s="269"/>
      <c r="AW85" s="269"/>
      <c r="AX85" s="269"/>
      <c r="AY85" s="269"/>
      <c r="AZ85" s="269"/>
      <c r="BA85" s="269"/>
      <c r="BB85" s="269"/>
      <c r="BC85" s="269"/>
      <c r="BD85" s="269"/>
      <c r="BE85" s="269"/>
      <c r="BF85" s="269"/>
      <c r="BG85" s="269"/>
      <c r="BH85" s="269"/>
      <c r="BI85" s="269"/>
      <c r="BJ85" s="269"/>
      <c r="BK85" s="269"/>
      <c r="BL85" s="269"/>
      <c r="BM85" s="269"/>
      <c r="BN85" s="269"/>
      <c r="BO85" s="269"/>
      <c r="BP85" s="269"/>
      <c r="BQ85" s="269"/>
      <c r="BR85" s="269"/>
      <c r="BS85" s="269"/>
      <c r="BT85" s="269"/>
      <c r="BU85" s="269"/>
      <c r="BV85" s="269"/>
      <c r="BW85" s="269"/>
      <c r="BX85" s="269"/>
      <c r="BY85" s="269"/>
      <c r="BZ85" s="269"/>
      <c r="CA85" s="269"/>
      <c r="CB85" s="269"/>
      <c r="CC85" s="269"/>
      <c r="CD85" s="269"/>
      <c r="CE85" s="269"/>
      <c r="CF85" s="269"/>
      <c r="CG85" s="269"/>
      <c r="CH85" s="269"/>
      <c r="CI85" s="269"/>
      <c r="CJ85" s="269"/>
      <c r="CK85" s="269"/>
      <c r="CL85" s="269"/>
      <c r="CM85" s="269"/>
      <c r="CN85" s="269"/>
      <c r="CO85" s="269"/>
      <c r="CP85" s="269"/>
      <c r="CQ85" s="269"/>
      <c r="CR85" s="269"/>
      <c r="CS85" s="269"/>
      <c r="CT85" s="269"/>
      <c r="CU85" s="269"/>
      <c r="CV85" s="269"/>
      <c r="CW85" s="269"/>
      <c r="CX85" s="269"/>
      <c r="CY85" s="269"/>
      <c r="CZ85" s="269"/>
      <c r="DA85" s="269"/>
      <c r="DB85" s="269"/>
      <c r="DC85" s="269"/>
      <c r="DD85" s="269"/>
      <c r="DE85" s="269"/>
      <c r="DF85" s="269"/>
      <c r="DG85" s="269"/>
      <c r="DH85" s="269"/>
      <c r="DI85" s="269"/>
      <c r="DJ85" s="269"/>
      <c r="DK85" s="269"/>
      <c r="DL85" s="269"/>
      <c r="DM85" s="269"/>
      <c r="DN85" s="269"/>
      <c r="DO85" s="269"/>
      <c r="DP85" s="269"/>
      <c r="DQ85" s="269"/>
      <c r="DR85" s="269"/>
      <c r="DS85" s="269"/>
      <c r="DT85" s="269"/>
      <c r="DU85" s="269"/>
      <c r="DV85" s="269"/>
      <c r="DW85" s="269"/>
      <c r="DX85" s="269"/>
      <c r="DY85" s="269"/>
      <c r="DZ85" s="269"/>
      <c r="EA85" s="269"/>
      <c r="EB85" s="269"/>
      <c r="EC85" s="269"/>
      <c r="ED85" s="269"/>
      <c r="EE85" s="269"/>
      <c r="EF85" s="269"/>
      <c r="EG85" s="269"/>
      <c r="EH85" s="269"/>
      <c r="EI85" s="269"/>
      <c r="EJ85" s="269"/>
      <c r="EK85" s="269"/>
      <c r="EL85" s="269"/>
      <c r="EM85" s="269"/>
      <c r="EN85" s="269"/>
      <c r="EO85" s="269"/>
      <c r="EP85" s="269"/>
      <c r="EQ85" s="269"/>
      <c r="ER85" s="269"/>
      <c r="ES85" s="269"/>
      <c r="ET85" s="269"/>
      <c r="EU85" s="269"/>
      <c r="EV85" s="269"/>
      <c r="EW85" s="269"/>
      <c r="EX85" s="269"/>
      <c r="EY85" s="269"/>
      <c r="EZ85" s="269"/>
      <c r="FA85" s="269"/>
      <c r="FB85" s="269"/>
      <c r="FC85" s="269"/>
      <c r="FD85" s="269"/>
      <c r="FE85" s="269"/>
      <c r="FF85" s="269"/>
      <c r="FG85" s="269"/>
      <c r="FH85" s="269"/>
      <c r="FI85" s="269"/>
      <c r="FJ85" s="269"/>
      <c r="FK85" s="269"/>
      <c r="FL85" s="269"/>
      <c r="FM85" s="269"/>
      <c r="FN85" s="269"/>
      <c r="FO85" s="269"/>
      <c r="FP85" s="269"/>
      <c r="FQ85" s="269"/>
      <c r="FR85" s="269"/>
      <c r="FS85" s="269"/>
      <c r="FT85" s="269"/>
      <c r="FU85" s="269"/>
      <c r="FV85" s="269"/>
      <c r="FW85" s="269"/>
      <c r="FX85" s="269"/>
      <c r="FY85" s="269"/>
      <c r="FZ85" s="269"/>
      <c r="GA85" s="269"/>
      <c r="GB85" s="269"/>
      <c r="GC85" s="269"/>
      <c r="GD85" s="269"/>
      <c r="GE85" s="269"/>
      <c r="GF85" s="269"/>
      <c r="GG85" s="269"/>
      <c r="GH85" s="269"/>
      <c r="GI85" s="269"/>
      <c r="GJ85" s="269"/>
      <c r="GK85" s="269"/>
      <c r="GL85" s="269"/>
      <c r="GM85" s="269"/>
      <c r="GN85" s="269"/>
      <c r="GO85" s="269"/>
      <c r="GP85" s="269"/>
      <c r="GQ85" s="269"/>
      <c r="GR85" s="269"/>
      <c r="GS85" s="269"/>
      <c r="GT85" s="269"/>
      <c r="GU85" s="269"/>
      <c r="GV85" s="269"/>
      <c r="GW85" s="269"/>
      <c r="GX85" s="269"/>
      <c r="GY85" s="269"/>
      <c r="GZ85" s="269"/>
      <c r="HA85" s="269"/>
      <c r="HB85" s="269"/>
      <c r="HC85" s="269"/>
      <c r="HD85" s="269"/>
      <c r="HE85" s="269"/>
      <c r="HF85" s="269"/>
      <c r="HG85" s="269"/>
      <c r="HH85" s="269"/>
      <c r="HI85" s="269"/>
      <c r="HJ85" s="269"/>
      <c r="HK85" s="269"/>
      <c r="HL85" s="269"/>
      <c r="HM85" s="269"/>
      <c r="HN85" s="269"/>
      <c r="HO85" s="269"/>
      <c r="HP85" s="269"/>
      <c r="HQ85" s="269"/>
      <c r="HR85" s="269"/>
      <c r="HS85" s="269"/>
      <c r="HT85" s="269"/>
      <c r="HU85" s="269"/>
      <c r="HV85" s="269"/>
      <c r="HW85" s="269"/>
      <c r="HX85" s="269"/>
      <c r="HY85" s="269"/>
      <c r="HZ85" s="269"/>
      <c r="IA85" s="269"/>
      <c r="IB85" s="269"/>
      <c r="IC85" s="269"/>
      <c r="ID85" s="269"/>
      <c r="IE85" s="269"/>
      <c r="IF85" s="269"/>
      <c r="IG85" s="269"/>
      <c r="IH85" s="269"/>
      <c r="II85" s="269"/>
      <c r="IJ85" s="269"/>
      <c r="IK85" s="269"/>
      <c r="IL85" s="269"/>
      <c r="IM85" s="269"/>
      <c r="IN85" s="269"/>
      <c r="IO85" s="269"/>
      <c r="IP85" s="269"/>
      <c r="IQ85" s="269"/>
      <c r="IR85" s="269"/>
      <c r="IS85" s="269"/>
      <c r="IT85" s="269"/>
      <c r="IU85" s="269"/>
      <c r="IV85" s="269"/>
      <c r="IW85" s="269"/>
      <c r="IX85" s="269"/>
      <c r="IY85" s="269"/>
      <c r="IZ85" s="269"/>
      <c r="JA85" s="269"/>
      <c r="JB85" s="269"/>
      <c r="JC85" s="269"/>
      <c r="JD85" s="269"/>
      <c r="JE85" s="269"/>
      <c r="JF85" s="269"/>
      <c r="JG85" s="269"/>
      <c r="JH85" s="269"/>
      <c r="JI85" s="269"/>
      <c r="JJ85" s="269"/>
      <c r="JK85" s="269"/>
      <c r="JL85" s="269"/>
      <c r="JM85" s="269"/>
      <c r="JN85" s="269"/>
      <c r="JO85" s="269"/>
      <c r="JP85" s="269"/>
      <c r="JQ85" s="269"/>
      <c r="JR85" s="269"/>
      <c r="JS85" s="269"/>
      <c r="JT85" s="269"/>
      <c r="JU85" s="269"/>
      <c r="JV85" s="269"/>
      <c r="JW85" s="269"/>
      <c r="JX85" s="269"/>
      <c r="JY85" s="269"/>
      <c r="JZ85" s="269"/>
      <c r="KA85" s="269"/>
      <c r="KB85" s="269"/>
      <c r="KC85" s="269"/>
      <c r="KD85" s="269"/>
      <c r="KE85" s="269"/>
      <c r="KF85" s="269"/>
      <c r="KG85" s="269"/>
      <c r="KH85" s="269"/>
      <c r="KI85" s="269"/>
      <c r="KJ85" s="269"/>
      <c r="KK85" s="269"/>
      <c r="KL85" s="269"/>
      <c r="KM85" s="269"/>
      <c r="KN85" s="269"/>
      <c r="KO85" s="269"/>
      <c r="KP85" s="269"/>
      <c r="KQ85" s="269"/>
      <c r="KR85" s="269"/>
      <c r="KS85" s="269"/>
      <c r="KT85" s="269"/>
      <c r="KU85" s="269"/>
      <c r="KV85" s="269"/>
      <c r="KW85" s="269"/>
      <c r="KX85" s="269"/>
      <c r="KY85" s="269"/>
      <c r="KZ85" s="269"/>
      <c r="LA85" s="269"/>
      <c r="LB85" s="269"/>
      <c r="LC85" s="269"/>
      <c r="LD85" s="269"/>
      <c r="LE85" s="269"/>
      <c r="LF85" s="269"/>
      <c r="LG85" s="269"/>
      <c r="LH85" s="269"/>
      <c r="LI85" s="269"/>
      <c r="LJ85" s="269"/>
      <c r="LK85" s="269"/>
      <c r="LL85" s="269"/>
      <c r="LM85" s="269"/>
      <c r="LN85" s="269"/>
      <c r="LO85" s="269"/>
      <c r="LP85" s="269"/>
      <c r="LQ85" s="269"/>
      <c r="LR85" s="269"/>
      <c r="LS85" s="269"/>
      <c r="LT85" s="269"/>
      <c r="LU85" s="269"/>
      <c r="LV85" s="269"/>
      <c r="LW85" s="269"/>
      <c r="LX85" s="269"/>
      <c r="LY85" s="269"/>
      <c r="LZ85" s="269"/>
      <c r="MA85" s="269"/>
      <c r="MB85" s="269"/>
      <c r="MC85" s="269"/>
      <c r="MD85" s="269"/>
      <c r="ME85" s="269"/>
      <c r="MF85" s="269"/>
      <c r="MG85" s="269"/>
      <c r="MH85" s="269"/>
      <c r="MI85" s="269"/>
      <c r="MJ85" s="269"/>
      <c r="MK85" s="269"/>
      <c r="ML85" s="269"/>
      <c r="MM85" s="269"/>
      <c r="MN85" s="269"/>
      <c r="MO85" s="269"/>
      <c r="MP85" s="269"/>
      <c r="MQ85" s="269"/>
      <c r="MR85" s="269"/>
      <c r="MS85" s="269"/>
      <c r="MT85" s="269"/>
      <c r="MU85" s="269"/>
      <c r="MV85" s="269"/>
      <c r="MW85" s="269"/>
      <c r="MX85" s="269"/>
      <c r="MY85" s="269"/>
      <c r="MZ85" s="269"/>
      <c r="NA85" s="269"/>
      <c r="NB85" s="269"/>
      <c r="NC85" s="269"/>
      <c r="ND85" s="269"/>
      <c r="NE85" s="269"/>
      <c r="NF85" s="269"/>
      <c r="NG85" s="269"/>
      <c r="NH85" s="269"/>
      <c r="NI85" s="269"/>
      <c r="NJ85" s="269"/>
      <c r="NK85" s="269"/>
      <c r="NL85" s="269"/>
      <c r="NM85" s="269"/>
      <c r="NN85" s="269"/>
      <c r="NO85" s="269"/>
      <c r="NP85" s="269"/>
      <c r="NQ85" s="269"/>
      <c r="NR85" s="269"/>
      <c r="NS85" s="269"/>
      <c r="NT85" s="269"/>
      <c r="NU85" s="269"/>
      <c r="NV85" s="269"/>
      <c r="NW85" s="269"/>
      <c r="NX85" s="269"/>
      <c r="NY85" s="269"/>
      <c r="NZ85" s="269"/>
      <c r="OA85" s="269"/>
      <c r="OB85" s="269"/>
      <c r="OC85" s="269"/>
      <c r="OD85" s="269"/>
      <c r="OE85" s="269"/>
      <c r="OF85" s="269"/>
      <c r="OG85" s="269"/>
      <c r="OH85" s="269"/>
      <c r="OI85" s="269"/>
      <c r="OJ85" s="269"/>
      <c r="OK85" s="269"/>
      <c r="OL85" s="269"/>
      <c r="OM85" s="269"/>
      <c r="ON85" s="269"/>
      <c r="OO85" s="269"/>
      <c r="OP85" s="269"/>
      <c r="OQ85" s="269"/>
      <c r="OR85" s="269"/>
      <c r="OS85" s="269"/>
      <c r="OT85" s="269"/>
      <c r="OU85" s="269"/>
      <c r="OV85" s="269"/>
      <c r="OW85" s="269"/>
      <c r="OX85" s="269"/>
      <c r="OY85" s="269"/>
      <c r="OZ85" s="269"/>
      <c r="PA85" s="269"/>
      <c r="PB85" s="269"/>
      <c r="PC85" s="26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Total Employment</vt:lpstr>
      <vt:lpstr>Temp Employment</vt:lpstr>
      <vt:lpstr>Data-total_employment</vt:lpstr>
      <vt:lpstr>last_qrtr_totalemp</vt:lpstr>
      <vt:lpstr>data_validate_totalemp</vt:lpstr>
      <vt:lpstr>Temporary Employment</vt:lpstr>
      <vt:lpstr>Data-temp_employment</vt:lpstr>
      <vt:lpstr>last_qrtr_tempemp</vt:lpstr>
      <vt:lpstr>data_validate_tempemp</vt:lpstr>
      <vt:lpstr>Agency Work</vt:lpstr>
      <vt:lpstr>WEC data_formatted</vt:lpstr>
      <vt:lpstr>Agency Work Correlations</vt:lpstr>
      <vt:lpstr>Agency Work with correlation_2</vt:lpstr>
      <vt:lpstr>Notes</vt:lpstr>
      <vt:lpstr>data-processing-steps</vt:lpstr>
      <vt:lpstr>Notes_2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Sreedevi Thiyagarajan</dc:creator>
  <cp:lastModifiedBy>Robin Lechtenfeld</cp:lastModifiedBy>
  <dcterms:created xsi:type="dcterms:W3CDTF">2016-03-05T00:01:50Z</dcterms:created>
  <dcterms:modified xsi:type="dcterms:W3CDTF">2018-12-14T16:04:26Z</dcterms:modified>
  <cp:contentStatus/>
</cp:coreProperties>
</file>